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C+FOR\A.S.O\Tour de France 2025\Englos\"/>
    </mc:Choice>
  </mc:AlternateContent>
  <bookViews>
    <workbookView xWindow="0" yWindow="0" windowWidth="20490" windowHeight="7755" tabRatio="866" activeTab="6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11" i="1" l="1"/>
  <c r="D211" i="1" s="1"/>
  <c r="D210" i="1"/>
  <c r="B210" i="1"/>
  <c r="D209" i="1"/>
  <c r="B209" i="1"/>
  <c r="B208" i="1"/>
  <c r="D207" i="1"/>
  <c r="B207" i="1"/>
  <c r="B206" i="1"/>
  <c r="D205" i="1"/>
  <c r="B205" i="1"/>
  <c r="B204" i="1"/>
  <c r="D203" i="1"/>
  <c r="B203" i="1"/>
  <c r="B202" i="1"/>
  <c r="D201" i="1"/>
  <c r="B201" i="1"/>
  <c r="B200" i="1"/>
  <c r="D199" i="1"/>
  <c r="B199" i="1"/>
  <c r="B198" i="1"/>
  <c r="D197" i="1"/>
  <c r="B197" i="1"/>
  <c r="B196" i="1"/>
  <c r="D195" i="1"/>
  <c r="B195" i="1"/>
  <c r="B194" i="1"/>
  <c r="D193" i="1"/>
  <c r="B193" i="1"/>
  <c r="B192" i="1"/>
  <c r="D65" i="1"/>
  <c r="D67" i="1"/>
  <c r="D69" i="1"/>
  <c r="D71" i="1"/>
  <c r="D73" i="1"/>
  <c r="D142" i="1"/>
  <c r="B142" i="1"/>
  <c r="D257" i="1"/>
  <c r="B257" i="1"/>
  <c r="D256" i="1"/>
  <c r="B256" i="1"/>
  <c r="B255" i="1"/>
  <c r="D254" i="1"/>
  <c r="B254" i="1"/>
  <c r="B253" i="1"/>
  <c r="D252" i="1"/>
  <c r="B252" i="1"/>
  <c r="B251" i="1"/>
  <c r="D250" i="1"/>
  <c r="B250" i="1"/>
  <c r="B249" i="1"/>
  <c r="D248" i="1"/>
  <c r="B248" i="1"/>
  <c r="B247" i="1"/>
  <c r="D246" i="1"/>
  <c r="B246" i="1"/>
  <c r="B245" i="1"/>
  <c r="B244" i="1"/>
  <c r="D101" i="1"/>
  <c r="B101" i="1"/>
  <c r="D100" i="1"/>
  <c r="B100" i="1"/>
  <c r="B99" i="1"/>
  <c r="D98" i="1"/>
  <c r="B98" i="1"/>
  <c r="B97" i="1"/>
  <c r="D96" i="1"/>
  <c r="B96" i="1"/>
  <c r="B95" i="1"/>
  <c r="D94" i="1"/>
  <c r="B94" i="1"/>
  <c r="B93" i="1"/>
  <c r="D92" i="1"/>
  <c r="B92" i="1"/>
  <c r="B91" i="1"/>
  <c r="D90" i="1"/>
  <c r="B90" i="1"/>
  <c r="B89" i="1"/>
  <c r="B88" i="1"/>
  <c r="B54" i="1"/>
  <c r="D54" i="1" s="1"/>
  <c r="B53" i="1"/>
  <c r="B52" i="1"/>
  <c r="D53" i="1"/>
  <c r="D50" i="1"/>
  <c r="D52" i="1"/>
  <c r="D51" i="1"/>
  <c r="B51" i="1"/>
  <c r="D49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D48" i="1"/>
  <c r="D46" i="1"/>
  <c r="D44" i="1"/>
  <c r="D42" i="1"/>
  <c r="D40" i="1"/>
  <c r="D38" i="1"/>
  <c r="B231" i="1" l="1"/>
  <c r="D224" i="1"/>
  <c r="B224" i="1"/>
  <c r="B223" i="1"/>
  <c r="D222" i="1"/>
  <c r="B222" i="1"/>
  <c r="B221" i="1"/>
  <c r="D220" i="1"/>
  <c r="B220" i="1"/>
  <c r="B219" i="1"/>
  <c r="B218" i="1"/>
  <c r="B179" i="1"/>
  <c r="D178" i="1"/>
  <c r="B178" i="1"/>
  <c r="B177" i="1"/>
  <c r="D176" i="1"/>
  <c r="B176" i="1"/>
  <c r="B175" i="1"/>
  <c r="D174" i="1"/>
  <c r="B174" i="1"/>
  <c r="B173" i="1"/>
  <c r="D172" i="1"/>
  <c r="B172" i="1"/>
  <c r="B171" i="1"/>
  <c r="D170" i="1"/>
  <c r="B170" i="1"/>
  <c r="B169" i="1"/>
  <c r="D168" i="1"/>
  <c r="B168" i="1"/>
  <c r="B167" i="1"/>
  <c r="B166" i="1"/>
  <c r="B128" i="1"/>
  <c r="B127" i="1"/>
  <c r="D128" i="1"/>
  <c r="D126" i="1"/>
  <c r="B126" i="1"/>
  <c r="B125" i="1"/>
  <c r="D124" i="1"/>
  <c r="B124" i="1"/>
  <c r="B123" i="1"/>
  <c r="D122" i="1"/>
  <c r="B120" i="1"/>
  <c r="B122" i="1"/>
  <c r="B121" i="1"/>
  <c r="D120" i="1"/>
  <c r="B119" i="1"/>
  <c r="D118" i="1"/>
  <c r="B118" i="1"/>
  <c r="B117" i="1"/>
  <c r="D116" i="1"/>
  <c r="B116" i="1"/>
  <c r="B115" i="1"/>
  <c r="B114" i="1"/>
  <c r="D75" i="1"/>
  <c r="B75" i="1"/>
  <c r="B73" i="1"/>
  <c r="B71" i="1"/>
  <c r="B69" i="1"/>
  <c r="B67" i="1"/>
  <c r="B65" i="1"/>
  <c r="B141" i="1"/>
  <c r="B36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BQ4" i="2" s="1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HI4" i="2" l="1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V7" i="2" l="1"/>
  <c r="EX7" i="2"/>
  <c r="EW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V18" i="2"/>
  <c r="EW18" i="2"/>
  <c r="EX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EV20" i="2"/>
  <c r="EW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B22" i="2"/>
  <c r="EC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V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W38" i="2"/>
  <c r="EX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V61" i="2"/>
  <c r="EW61" i="2"/>
  <c r="EX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R74" i="2"/>
  <c r="FS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EA105" i="2"/>
  <c r="FS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X112" i="2"/>
  <c r="EC112" i="2"/>
  <c r="EB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B113" i="2"/>
  <c r="FS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V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Q118" i="2"/>
  <c r="FS118" i="2"/>
  <c r="EC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FQ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FR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FS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FS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W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EB139" i="2" s="1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FR140" i="2"/>
  <c r="EX140" i="2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EB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R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EV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C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Y154" i="2" l="1"/>
  <c r="DI154" i="2"/>
  <c r="EW155" i="2"/>
  <c r="EX155" i="2"/>
  <c r="EA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Y155" i="2" l="1"/>
  <c r="AB156" i="2"/>
  <c r="FS156" i="2"/>
  <c r="EX156" i="2"/>
  <c r="EB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X157" i="2"/>
  <c r="EC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EC160" i="2"/>
  <c r="D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D160" i="2" l="1"/>
  <c r="FS161" i="2"/>
  <c r="EX161" i="2"/>
  <c r="EA161" i="2"/>
  <c r="EB161" i="2"/>
  <c r="AW161" i="2"/>
  <c r="EC161" i="2"/>
  <c r="ED161" i="2" s="1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DI161" i="2" l="1"/>
  <c r="EY161" i="2"/>
  <c r="EB162" i="2"/>
  <c r="EW162" i="2"/>
  <c r="EC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V163" i="2"/>
  <c r="EA163" i="2"/>
  <c r="FS163" i="2"/>
  <c r="EC163" i="2"/>
  <c r="ED163" i="2" s="1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EV164" i="2"/>
  <c r="EA164" i="2"/>
  <c r="DH164" i="2"/>
  <c r="DI163" i="2"/>
  <c r="FR164" i="2"/>
  <c r="FS164" i="2"/>
  <c r="EX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B165" i="2"/>
  <c r="EC165" i="2"/>
  <c r="ED165" i="2" s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FR167" i="2"/>
  <c r="EX167" i="2"/>
  <c r="EA167" i="2"/>
  <c r="EB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V168" i="2"/>
  <c r="EW168" i="2"/>
  <c r="DG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Y171" i="2"/>
  <c r="EW172" i="2"/>
  <c r="EC172" i="2"/>
  <c r="ED172" i="2" s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FS175" i="2" l="1"/>
  <c r="EW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FQ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W178" i="2" l="1"/>
  <c r="FQ178" i="2"/>
  <c r="FS178" i="2"/>
  <c r="EA178" i="2"/>
  <c r="EB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V179" i="2" l="1"/>
  <c r="EB179" i="2"/>
  <c r="DF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ED180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EC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FS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W185" i="2"/>
  <c r="EV185" i="2"/>
  <c r="EB185" i="2"/>
  <c r="EA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EB186" i="2"/>
  <c r="FR186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B187" i="2"/>
  <c r="EC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V189" i="2" l="1"/>
  <c r="EY188" i="2"/>
  <c r="EB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V190" i="2" l="1"/>
  <c r="EY189" i="2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W192" i="2"/>
  <c r="EC192" i="2"/>
  <c r="EV192" i="2"/>
  <c r="EB192" i="2"/>
  <c r="EA192" i="2"/>
  <c r="ED192" i="2" s="1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B193" i="2"/>
  <c r="FQ193" i="2"/>
  <c r="EX193" i="2"/>
  <c r="EA193" i="2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CN193" i="2"/>
  <c r="FQ194" i="2"/>
  <c r="EA194" i="2"/>
  <c r="ED194" i="2" s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Y194" i="2"/>
  <c r="EA195" i="2"/>
  <c r="FQ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FS197" i="2" l="1"/>
  <c r="EY196" i="2"/>
  <c r="EW197" i="2"/>
  <c r="EC197" i="2"/>
  <c r="EA197" i="2"/>
  <c r="EX197" i="2"/>
  <c r="EB197" i="2"/>
  <c r="ED197" i="2" s="1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W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V199" i="2"/>
  <c r="EW199" i="2"/>
  <c r="FS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 l="1"/>
  <c r="DI200" i="2"/>
  <c r="FS201" i="2"/>
  <c r="EB201" i="2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 l="1"/>
  <c r="EX202" i="2"/>
  <c r="EW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AX200" i="2"/>
  <c r="EI16" i="2" l="1" a="1"/>
  <c r="EI16" i="2" s="1"/>
  <c r="EI153" i="2" a="1"/>
  <c r="EI153" i="2" s="1"/>
  <c r="EI106" i="2" a="1"/>
  <c r="EI106" i="2" s="1"/>
  <c r="EI87" i="2" a="1"/>
  <c r="EI87" i="2" s="1"/>
  <c r="EI113" i="2" a="1"/>
  <c r="EI113" i="2" s="1"/>
  <c r="EI36" i="2" a="1"/>
  <c r="EI36" i="2" s="1"/>
  <c r="EY202" i="2"/>
  <c r="EI170" i="2" a="1"/>
  <c r="EI170" i="2" s="1"/>
  <c r="EI57" i="2" a="1"/>
  <c r="EI57" i="2" s="1"/>
  <c r="EI195" i="2" a="1"/>
  <c r="EI195" i="2" s="1"/>
  <c r="EI29" i="2" a="1"/>
  <c r="EI29" i="2" s="1"/>
  <c r="EI128" i="2" a="1"/>
  <c r="EI128" i="2" s="1"/>
  <c r="EI109" i="2" a="1"/>
  <c r="EI109" i="2" s="1"/>
  <c r="EI142" i="2" a="1"/>
  <c r="EI142" i="2" s="1"/>
  <c r="EI166" i="2" a="1"/>
  <c r="EI166" i="2" s="1"/>
  <c r="EI38" i="2" a="1"/>
  <c r="EI38" i="2" s="1"/>
  <c r="EI178" i="2" a="1"/>
  <c r="EI178" i="2" s="1"/>
  <c r="EI198" i="2" a="1"/>
  <c r="EI198" i="2" s="1"/>
  <c r="EI20" i="2" a="1"/>
  <c r="EI20" i="2" s="1"/>
  <c r="EI35" i="2" a="1"/>
  <c r="EI35" i="2" s="1"/>
  <c r="EI34" i="2" a="1"/>
  <c r="EI34" i="2" s="1"/>
  <c r="EI145" i="2" a="1"/>
  <c r="EI145" i="2" s="1"/>
  <c r="EI139" i="2" a="1"/>
  <c r="EI139" i="2" s="1"/>
  <c r="EI165" i="2" a="1"/>
  <c r="EI165" i="2" s="1"/>
  <c r="EI162" i="2" a="1"/>
  <c r="EI162" i="2" s="1"/>
  <c r="EI37" i="2" a="1"/>
  <c r="EI37" i="2" s="1"/>
  <c r="EI67" i="2" a="1"/>
  <c r="EI67" i="2" s="1"/>
  <c r="EI71" i="2" a="1"/>
  <c r="EI71" i="2" s="1"/>
  <c r="EI150" i="2" a="1"/>
  <c r="EI150" i="2" s="1"/>
  <c r="AH62" i="2" a="1"/>
  <c r="AH62" i="2" s="1"/>
  <c r="AH19" i="2" a="1"/>
  <c r="AH19" i="2" s="1"/>
  <c r="AH90" i="2" a="1"/>
  <c r="AH90" i="2" s="1"/>
  <c r="AH166" i="2" a="1"/>
  <c r="AH166" i="2" s="1"/>
  <c r="AH92" i="2" a="1"/>
  <c r="AH92" i="2" s="1"/>
  <c r="AH163" i="2" a="1"/>
  <c r="AH163" i="2" s="1"/>
  <c r="AH151" i="2" a="1"/>
  <c r="AH151" i="2" s="1"/>
  <c r="AH199" i="2" a="1"/>
  <c r="AH199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Y203" i="2" l="1"/>
  <c r="CN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J39" i="2" l="1"/>
  <c r="FJ156" i="2"/>
  <c r="FJ78" i="2"/>
  <c r="FJ38" i="2"/>
  <c r="FJ126" i="2"/>
  <c r="FJ167" i="2"/>
  <c r="FJ176" i="2"/>
  <c r="FJ68" i="2"/>
  <c r="FJ96" i="2"/>
  <c r="FJ55" i="2"/>
  <c r="FJ165" i="2"/>
  <c r="FJ24" i="2"/>
  <c r="FJ109" i="2"/>
  <c r="FJ99" i="2"/>
  <c r="FJ129" i="2"/>
  <c r="FJ65" i="2"/>
  <c r="FJ11" i="2"/>
  <c r="FJ42" i="2"/>
  <c r="FJ184" i="2"/>
  <c r="FJ172" i="2"/>
  <c r="FJ137" i="2"/>
  <c r="FJ130" i="2"/>
  <c r="FJ110" i="2"/>
  <c r="FJ70" i="2"/>
  <c r="FJ169" i="2"/>
  <c r="FJ89" i="2"/>
  <c r="FJ191" i="2"/>
  <c r="FJ128" i="2"/>
  <c r="FJ160" i="2"/>
  <c r="FJ113" i="2"/>
  <c r="FJ84" i="2"/>
  <c r="FJ14" i="2"/>
  <c r="FJ32" i="2"/>
  <c r="FJ19" i="2"/>
  <c r="FJ185" i="2"/>
  <c r="FJ101" i="2"/>
  <c r="FJ59" i="2"/>
  <c r="FJ179" i="2"/>
  <c r="FJ52" i="2"/>
  <c r="FJ148" i="2"/>
  <c r="FJ134" i="2"/>
  <c r="FJ123" i="2"/>
  <c r="FJ18" i="2"/>
  <c r="FJ125" i="2"/>
  <c r="FJ177" i="2"/>
  <c r="FJ60" i="2"/>
  <c r="FJ41" i="2"/>
  <c r="FJ26" i="2"/>
  <c r="FJ135" i="2"/>
  <c r="FJ171" i="2"/>
  <c r="FJ30" i="2"/>
  <c r="FJ79" i="2"/>
  <c r="FJ182" i="2"/>
  <c r="FJ22" i="2"/>
  <c r="FJ198" i="2"/>
  <c r="FJ196" i="2"/>
  <c r="FJ139" i="2"/>
  <c r="FJ111" i="2"/>
  <c r="FJ25" i="2"/>
  <c r="FJ154" i="2"/>
  <c r="FJ112" i="2"/>
  <c r="FJ122" i="2"/>
  <c r="FJ7" i="2"/>
  <c r="FJ193" i="2"/>
  <c r="FJ202" i="2"/>
  <c r="FJ43" i="2"/>
  <c r="FJ71" i="2"/>
  <c r="FJ102" i="2"/>
  <c r="FJ161" i="2"/>
  <c r="FJ131" i="2"/>
  <c r="FJ200" i="2"/>
  <c r="FJ13" i="2"/>
  <c r="FJ114" i="2"/>
  <c r="FJ175" i="2"/>
  <c r="FJ91" i="2"/>
  <c r="FJ157" i="2"/>
  <c r="FJ133" i="2"/>
  <c r="FJ34" i="2"/>
  <c r="FJ86" i="2"/>
  <c r="FJ187" i="2"/>
  <c r="FJ74" i="2"/>
  <c r="FJ36" i="2"/>
  <c r="FJ174" i="2"/>
  <c r="FJ127" i="2"/>
  <c r="FJ155" i="2"/>
  <c r="FJ159" i="2"/>
  <c r="FJ92" i="2"/>
  <c r="FJ69" i="2"/>
  <c r="FJ180" i="2"/>
  <c r="FJ6" i="2"/>
  <c r="FJ49" i="2"/>
  <c r="FJ75" i="2"/>
  <c r="FJ203" i="2"/>
  <c r="FJ188" i="2"/>
  <c r="FJ37" i="2"/>
  <c r="FJ164" i="2"/>
  <c r="FJ53" i="2"/>
  <c r="FJ31" i="2"/>
  <c r="FJ168" i="2"/>
  <c r="FJ15" i="2"/>
  <c r="FJ95" i="2"/>
  <c r="FJ4" i="2"/>
  <c r="FJ50" i="2"/>
  <c r="FJ16" i="2"/>
  <c r="FJ51" i="2"/>
  <c r="FJ194" i="2"/>
  <c r="FJ144" i="2"/>
  <c r="FJ138" i="2"/>
  <c r="FJ46" i="2"/>
  <c r="FJ153" i="2"/>
  <c r="FJ97" i="2"/>
  <c r="FJ23" i="2"/>
  <c r="FJ119" i="2"/>
  <c r="FJ197" i="2"/>
  <c r="FJ44" i="2"/>
  <c r="FJ88" i="2"/>
  <c r="FJ124" i="2"/>
  <c r="FJ120" i="2"/>
  <c r="FJ190" i="2"/>
  <c r="FJ76" i="2"/>
  <c r="FJ58" i="2"/>
  <c r="FJ166" i="2"/>
  <c r="FJ20" i="2"/>
  <c r="FJ199" i="2"/>
  <c r="FJ48" i="2"/>
  <c r="FJ21" i="2"/>
  <c r="FJ47" i="2"/>
  <c r="FJ82" i="2"/>
  <c r="FJ40" i="2"/>
  <c r="FJ149" i="2"/>
  <c r="FJ83" i="2"/>
  <c r="FJ189" i="2"/>
  <c r="FJ56" i="2"/>
  <c r="FJ81" i="2"/>
  <c r="FJ118" i="2"/>
  <c r="FJ57" i="2"/>
  <c r="FJ183" i="2"/>
  <c r="FJ3" i="2"/>
  <c r="C13" i="4" s="1"/>
  <c r="E13" i="4" s="1"/>
  <c r="F13" i="4" s="1"/>
  <c r="G13" i="4" s="1"/>
  <c r="L13" i="4" s="1"/>
  <c r="FJ62" i="2"/>
  <c r="FJ10" i="2"/>
  <c r="FJ72" i="2"/>
  <c r="FJ28" i="2"/>
  <c r="FJ151" i="2"/>
  <c r="FJ103" i="2"/>
  <c r="FJ80" i="2"/>
  <c r="FJ117" i="2"/>
  <c r="FJ29" i="2"/>
  <c r="FJ163" i="2"/>
  <c r="FJ142" i="2"/>
  <c r="FJ33" i="2"/>
  <c r="FJ192" i="2"/>
  <c r="FJ45" i="2"/>
  <c r="FJ106" i="2"/>
  <c r="FJ100" i="2"/>
  <c r="FJ8" i="2"/>
  <c r="FJ54" i="2"/>
  <c r="FJ93" i="2"/>
  <c r="FJ152" i="2"/>
  <c r="FJ12" i="2"/>
  <c r="FJ158" i="2"/>
  <c r="FJ121" i="2"/>
  <c r="FJ195" i="2"/>
  <c r="FJ107" i="2"/>
  <c r="FJ132" i="2"/>
  <c r="FJ186" i="2"/>
  <c r="FJ104" i="2"/>
  <c r="FJ108" i="2"/>
  <c r="FJ63" i="2"/>
  <c r="FJ77" i="2"/>
  <c r="FJ66" i="2"/>
  <c r="FJ94" i="2"/>
  <c r="FJ35" i="2"/>
  <c r="FJ147" i="2"/>
  <c r="FJ145" i="2"/>
  <c r="FJ27" i="2"/>
  <c r="FJ73" i="2"/>
  <c r="FJ17" i="2"/>
  <c r="FJ170" i="2"/>
  <c r="FJ5" i="2"/>
  <c r="FJ85" i="2"/>
  <c r="FJ98" i="2"/>
  <c r="FJ136" i="2"/>
  <c r="FJ61" i="2"/>
  <c r="FJ141" i="2"/>
  <c r="FJ115" i="2"/>
  <c r="FJ9" i="2"/>
  <c r="FJ178" i="2"/>
  <c r="FJ150" i="2"/>
  <c r="FJ140" i="2"/>
  <c r="FJ162" i="2"/>
  <c r="FJ87" i="2"/>
  <c r="FJ181" i="2"/>
  <c r="FJ146" i="2"/>
  <c r="FJ201" i="2"/>
  <c r="FJ90" i="2"/>
  <c r="FJ173" i="2"/>
  <c r="FJ143" i="2"/>
  <c r="FJ67" i="2"/>
  <c r="FJ116" i="2"/>
  <c r="FJ64" i="2"/>
  <c r="FJ105" i="2"/>
  <c r="FE115" i="2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GE11" i="2" l="1"/>
  <c r="GE152" i="2"/>
  <c r="GE15" i="2"/>
  <c r="GE57" i="2"/>
  <c r="GE187" i="2"/>
  <c r="GE172" i="2"/>
  <c r="GE63" i="2"/>
  <c r="GE195" i="2"/>
  <c r="GE4" i="2"/>
  <c r="GE14" i="2"/>
  <c r="GE124" i="2"/>
  <c r="GE171" i="2"/>
  <c r="GE82" i="2"/>
  <c r="GE56" i="2"/>
  <c r="GE12" i="2"/>
  <c r="GE51" i="2"/>
  <c r="GE111" i="2"/>
  <c r="GE107" i="2"/>
  <c r="GE69" i="2"/>
  <c r="GE110" i="2"/>
  <c r="GE53" i="2"/>
  <c r="GE49" i="2"/>
  <c r="GE146" i="2"/>
  <c r="GE90" i="2"/>
  <c r="GE164" i="2"/>
  <c r="GE96" i="2"/>
  <c r="GE202" i="2"/>
  <c r="GE201" i="2"/>
  <c r="GE102" i="2"/>
  <c r="GE29" i="2"/>
  <c r="GE145" i="2"/>
  <c r="GE78" i="2"/>
  <c r="GE129" i="2"/>
  <c r="GE80" i="2"/>
  <c r="GE168" i="2"/>
  <c r="GE64" i="2"/>
  <c r="GE189" i="2"/>
  <c r="GE159" i="2"/>
  <c r="GE183" i="2"/>
  <c r="GE75" i="2"/>
  <c r="GE98" i="2"/>
  <c r="GE74" i="2"/>
  <c r="GE117" i="2"/>
  <c r="GE101" i="2"/>
  <c r="GE151" i="2"/>
  <c r="GE60" i="2"/>
  <c r="GE32" i="2"/>
  <c r="GE44" i="2"/>
  <c r="GE42" i="2"/>
  <c r="GE81" i="2"/>
  <c r="GE127" i="2"/>
  <c r="GE165" i="2"/>
  <c r="GE144" i="2"/>
  <c r="GE149" i="2"/>
  <c r="GE137" i="2"/>
  <c r="GE169" i="2"/>
  <c r="GE25" i="2"/>
  <c r="GE26" i="2"/>
  <c r="GE190" i="2"/>
  <c r="GE3" i="2"/>
  <c r="C14" i="4" s="1"/>
  <c r="E14" i="4" s="1"/>
  <c r="F14" i="4" s="1"/>
  <c r="G14" i="4" s="1"/>
  <c r="L14" i="4" s="1"/>
  <c r="GE154" i="2"/>
  <c r="GE22" i="2"/>
  <c r="GE79" i="2"/>
  <c r="GE116" i="2"/>
  <c r="GE55" i="2"/>
  <c r="GE93" i="2"/>
  <c r="GE120" i="2"/>
  <c r="GE23" i="2"/>
  <c r="GE6" i="2"/>
  <c r="GE108" i="2"/>
  <c r="GE173" i="2"/>
  <c r="GE88" i="2"/>
  <c r="GE182" i="2"/>
  <c r="GE67" i="2"/>
  <c r="GE28" i="2"/>
  <c r="GE31" i="2"/>
  <c r="GE43" i="2"/>
  <c r="GE45" i="2"/>
  <c r="GE91" i="2"/>
  <c r="GE73" i="2"/>
  <c r="GE71" i="2"/>
  <c r="GE5" i="2"/>
  <c r="GE161" i="2"/>
  <c r="GE9" i="2"/>
  <c r="GE177" i="2"/>
  <c r="GE163" i="2"/>
  <c r="GE77" i="2"/>
  <c r="GE119" i="2"/>
  <c r="GE126" i="2"/>
  <c r="GE135" i="2"/>
  <c r="GE105" i="2"/>
  <c r="GE153" i="2"/>
  <c r="GE21" i="2"/>
  <c r="GE92" i="2"/>
  <c r="GE112" i="2"/>
  <c r="GE87" i="2"/>
  <c r="GE200" i="2"/>
  <c r="GE123" i="2"/>
  <c r="GE193" i="2"/>
  <c r="GE68" i="2"/>
  <c r="GE104" i="2"/>
  <c r="GE180" i="2"/>
  <c r="GE128" i="2"/>
  <c r="GE59" i="2"/>
  <c r="GE148" i="2"/>
  <c r="GE198" i="2"/>
  <c r="GE147" i="2"/>
  <c r="GE141" i="2"/>
  <c r="GE97" i="2"/>
  <c r="GE65" i="2"/>
  <c r="GE167" i="2"/>
  <c r="GE142" i="2"/>
  <c r="GE39" i="2"/>
  <c r="GE140" i="2"/>
  <c r="GE54" i="2"/>
  <c r="GE61" i="2"/>
  <c r="GE16" i="2"/>
  <c r="GE143" i="2"/>
  <c r="GE125" i="2"/>
  <c r="GE83" i="2"/>
  <c r="GE86" i="2"/>
  <c r="GE94" i="2"/>
  <c r="GE27" i="2"/>
  <c r="GE176" i="2"/>
  <c r="GE24" i="2"/>
  <c r="GE175" i="2"/>
  <c r="GE10" i="2"/>
  <c r="GE48" i="2"/>
  <c r="GE18" i="2"/>
  <c r="GE36" i="2"/>
  <c r="GE114" i="2"/>
  <c r="GE34" i="2"/>
  <c r="GE46" i="2"/>
  <c r="GE203" i="2"/>
  <c r="GE99" i="2"/>
  <c r="GE85" i="2"/>
  <c r="GE103" i="2"/>
  <c r="GE100" i="2"/>
  <c r="GE58" i="2"/>
  <c r="GE84" i="2"/>
  <c r="GE17" i="2"/>
  <c r="GE38" i="2"/>
  <c r="GE118" i="2"/>
  <c r="GE170" i="2"/>
  <c r="GE184" i="2"/>
  <c r="GE132" i="2"/>
  <c r="GE156" i="2"/>
  <c r="GE155" i="2"/>
  <c r="GE179" i="2"/>
  <c r="GE37" i="2"/>
  <c r="GE89" i="2"/>
  <c r="GE131" i="2"/>
  <c r="GE109" i="2"/>
  <c r="GE30" i="2"/>
  <c r="GE70" i="2"/>
  <c r="GE52" i="2"/>
  <c r="GE19" i="2"/>
  <c r="GE115" i="2"/>
  <c r="GE20" i="2"/>
  <c r="GE139" i="2"/>
  <c r="GE130" i="2"/>
  <c r="GE76" i="2"/>
  <c r="GE33" i="2"/>
  <c r="GE133" i="2"/>
  <c r="GE7" i="2"/>
  <c r="GE192" i="2"/>
  <c r="GE121" i="2"/>
  <c r="GE138" i="2"/>
  <c r="GE158" i="2"/>
  <c r="GE178" i="2"/>
  <c r="GE113" i="2"/>
  <c r="GE136" i="2"/>
  <c r="GE174" i="2"/>
  <c r="GE50" i="2"/>
  <c r="GE188" i="2"/>
  <c r="GE157" i="2"/>
  <c r="GE66" i="2"/>
  <c r="GE181" i="2"/>
  <c r="GE95" i="2"/>
  <c r="GE8" i="2"/>
  <c r="GE186" i="2"/>
  <c r="GE166" i="2"/>
  <c r="GE47" i="2"/>
  <c r="GE106" i="2"/>
  <c r="GE134" i="2"/>
  <c r="GE40" i="2"/>
  <c r="GE194" i="2"/>
  <c r="GE35" i="2"/>
  <c r="GE150" i="2"/>
  <c r="GE122" i="2"/>
  <c r="GE196" i="2"/>
  <c r="GE62" i="2"/>
  <c r="GE13" i="2"/>
  <c r="GE197" i="2"/>
  <c r="GE41" i="2"/>
  <c r="GE162" i="2"/>
  <c r="GE160" i="2"/>
  <c r="GE191" i="2"/>
  <c r="GE199" i="2"/>
  <c r="GE72" i="2"/>
  <c r="GE185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47" i="2" l="1"/>
  <c r="BI182" i="2"/>
  <c r="BI64" i="2"/>
  <c r="BI53" i="2"/>
  <c r="BI100" i="2"/>
  <c r="BI129" i="2"/>
  <c r="BI7" i="2"/>
  <c r="BI18" i="2"/>
  <c r="BI67" i="2"/>
  <c r="BI4" i="2"/>
  <c r="BI168" i="2"/>
  <c r="BI66" i="2"/>
  <c r="BI27" i="2"/>
  <c r="BI103" i="2"/>
  <c r="BI106" i="2"/>
  <c r="BI140" i="2"/>
  <c r="BI34" i="2"/>
  <c r="BI175" i="2"/>
  <c r="BI44" i="2"/>
  <c r="BI49" i="2"/>
  <c r="BI110" i="2"/>
  <c r="BI51" i="2"/>
  <c r="BI189" i="2"/>
  <c r="BI92" i="2"/>
  <c r="BI35" i="2"/>
  <c r="BI93" i="2"/>
  <c r="BI8" i="2"/>
  <c r="BI17" i="2"/>
  <c r="BI22" i="2"/>
  <c r="BI72" i="2"/>
  <c r="BI186" i="2"/>
  <c r="BI177" i="2"/>
  <c r="BI199" i="2"/>
  <c r="BI50" i="2"/>
  <c r="BI112" i="2"/>
  <c r="BI173" i="2"/>
  <c r="BI108" i="2"/>
  <c r="BI178" i="2"/>
  <c r="BI10" i="2"/>
  <c r="BI82" i="2"/>
  <c r="BI97" i="2"/>
  <c r="BI136" i="2"/>
  <c r="BI151" i="2"/>
  <c r="BI142" i="2"/>
  <c r="BI32" i="2"/>
  <c r="BI166" i="2"/>
  <c r="BI54" i="2"/>
  <c r="BI157" i="2"/>
  <c r="BI85" i="2"/>
  <c r="BI102" i="2"/>
  <c r="BI24" i="2"/>
  <c r="BI115" i="2"/>
  <c r="BI128" i="2"/>
  <c r="BI117" i="2"/>
  <c r="BI15" i="2"/>
  <c r="BI84" i="2"/>
  <c r="BI133" i="2"/>
  <c r="BI149" i="2"/>
  <c r="BI30" i="2"/>
  <c r="BI38" i="2"/>
  <c r="BI113" i="2"/>
  <c r="BI187" i="2"/>
  <c r="BI101" i="2"/>
  <c r="BI88" i="2"/>
  <c r="BI197" i="2"/>
  <c r="BI98" i="2"/>
  <c r="BI91" i="2"/>
  <c r="BI20" i="2"/>
  <c r="BI125" i="2"/>
  <c r="BI191" i="2"/>
  <c r="BI181" i="2"/>
  <c r="BI96" i="2"/>
  <c r="BI13" i="2"/>
  <c r="BI124" i="2"/>
  <c r="BI138" i="2"/>
  <c r="BI130" i="2"/>
  <c r="BI174" i="2"/>
  <c r="BI76" i="2"/>
  <c r="BI170" i="2"/>
  <c r="BI200" i="2"/>
  <c r="BI202" i="2"/>
  <c r="BI120" i="2"/>
  <c r="BI139" i="2"/>
  <c r="BI154" i="2"/>
  <c r="BI36" i="2"/>
  <c r="BI109" i="2"/>
  <c r="BI158" i="2"/>
  <c r="BI195" i="2"/>
  <c r="BI146" i="2"/>
  <c r="BI121" i="2"/>
  <c r="BI160" i="2"/>
  <c r="BI163" i="2"/>
  <c r="BI194" i="2"/>
  <c r="BI147" i="2"/>
  <c r="BI171" i="2"/>
  <c r="BI198" i="2"/>
  <c r="BI162" i="2"/>
  <c r="BI192" i="2"/>
  <c r="BI185" i="2"/>
  <c r="BI114" i="2"/>
  <c r="BI135" i="2"/>
  <c r="BI11" i="2"/>
  <c r="BI156" i="2"/>
  <c r="BI144" i="2"/>
  <c r="BI21" i="2"/>
  <c r="BI60" i="2"/>
  <c r="BI57" i="2"/>
  <c r="BI161" i="2"/>
  <c r="BI155" i="2"/>
  <c r="BI193" i="2"/>
  <c r="BI77" i="2"/>
  <c r="BI41" i="2"/>
  <c r="BI95" i="2"/>
  <c r="BI150" i="2"/>
  <c r="BI104" i="2"/>
  <c r="BI132" i="2"/>
  <c r="BI153" i="2"/>
  <c r="BI131" i="2"/>
  <c r="BI25" i="2"/>
  <c r="BI167" i="2"/>
  <c r="BI145" i="2"/>
  <c r="BI184" i="2"/>
  <c r="BI148" i="2"/>
  <c r="BI52" i="2"/>
  <c r="BI45" i="2"/>
  <c r="BI26" i="2"/>
  <c r="BI46" i="2"/>
  <c r="BI23" i="2"/>
  <c r="BI179" i="2"/>
  <c r="BI28" i="2"/>
  <c r="BI105" i="2"/>
  <c r="BI141" i="2"/>
  <c r="BI159" i="2"/>
  <c r="BI48" i="2"/>
  <c r="BI169" i="2"/>
  <c r="BI190" i="2"/>
  <c r="BI58" i="2"/>
  <c r="BI59" i="2"/>
  <c r="BI3" i="2"/>
  <c r="C8" i="4" s="1"/>
  <c r="E8" i="4" s="1"/>
  <c r="F8" i="4" s="1"/>
  <c r="G8" i="4" s="1"/>
  <c r="L8" i="4" s="1"/>
  <c r="BI79" i="2"/>
  <c r="BI71" i="2"/>
  <c r="BI126" i="2"/>
  <c r="BI6" i="2"/>
  <c r="BI73" i="2"/>
  <c r="BI37" i="2"/>
  <c r="BI118" i="2"/>
  <c r="BI55" i="2"/>
  <c r="BI116" i="2"/>
  <c r="BI176" i="2"/>
  <c r="BI172" i="2"/>
  <c r="BI119" i="2"/>
  <c r="BI183" i="2"/>
  <c r="BI62" i="2"/>
  <c r="BI107" i="2"/>
  <c r="BI134" i="2"/>
  <c r="BI75" i="2"/>
  <c r="BI188" i="2"/>
  <c r="BI43" i="2"/>
  <c r="BI69" i="2"/>
  <c r="BI19" i="2"/>
  <c r="BI180" i="2"/>
  <c r="BI87" i="2"/>
  <c r="BI165" i="2"/>
  <c r="BI63" i="2"/>
  <c r="BI111" i="2"/>
  <c r="BI80" i="2"/>
  <c r="BI127" i="2"/>
  <c r="BI137" i="2"/>
  <c r="BI143" i="2"/>
  <c r="BI68" i="2"/>
  <c r="BI61" i="2"/>
  <c r="BI78" i="2"/>
  <c r="BI70" i="2"/>
  <c r="BI14" i="2"/>
  <c r="BI152" i="2"/>
  <c r="BI123" i="2"/>
  <c r="BI81" i="2"/>
  <c r="BI122" i="2"/>
  <c r="BI31" i="2"/>
  <c r="BI29" i="2"/>
  <c r="BI65" i="2"/>
  <c r="BI164" i="2"/>
  <c r="BI196" i="2"/>
  <c r="BI16" i="2"/>
  <c r="BI39" i="2"/>
  <c r="BI42" i="2"/>
  <c r="BI89" i="2"/>
  <c r="BI83" i="2"/>
  <c r="BI56" i="2"/>
  <c r="BI201" i="2"/>
  <c r="BI5" i="2"/>
  <c r="BI12" i="2"/>
  <c r="BI9" i="2"/>
  <c r="BI94" i="2"/>
  <c r="BI86" i="2"/>
  <c r="BI203" i="2"/>
  <c r="BI90" i="2"/>
  <c r="BI40" i="2"/>
  <c r="BI99" i="2"/>
  <c r="BI33" i="2"/>
  <c r="BI74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<sst xmlns="http://schemas.openxmlformats.org/spreadsheetml/2006/main" count="1178" uniqueCount="324">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</sst>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224.39984380548495</c:v>
                </c:pt>
                <c:pt idx="27">
                  <c:v>242.32965686946352</c:v>
                </c:pt>
                <c:pt idx="28">
                  <c:v>260.22929949690081</c:v>
                </c:pt>
                <c:pt idx="29">
                  <c:v>278.10113875777256</c:v>
                </c:pt>
                <c:pt idx="30">
                  <c:v>295.94721255485501</c:v>
                </c:pt>
                <c:pt idx="31">
                  <c:v>208.0004464477073</c:v>
                </c:pt>
                <c:pt idx="32">
                  <c:v>229.08024217931526</c:v>
                </c:pt>
                <c:pt idx="33">
                  <c:v>250.11566977871595</c:v>
                </c:pt>
                <c:pt idx="34">
                  <c:v>271.11098488765992</c:v>
                </c:pt>
                <c:pt idx="35">
                  <c:v>292.06972985560316</c:v>
                </c:pt>
                <c:pt idx="36">
                  <c:v>313.76929290842918</c:v>
                </c:pt>
                <c:pt idx="37">
                  <c:v>335.43558947776108</c:v>
                </c:pt>
                <c:pt idx="38">
                  <c:v>357.07106927741569</c:v>
                </c:pt>
                <c:pt idx="39">
                  <c:v>378.67786100909785</c:v>
                </c:pt>
                <c:pt idx="40">
                  <c:v>400.25783072357075</c:v>
                </c:pt>
                <c:pt idx="41">
                  <c:v>314.15647495690467</c:v>
                </c:pt>
                <c:pt idx="42">
                  <c:v>336.20880231759611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402.18336673633206</c:v>
                </c:pt>
                <c:pt idx="46">
                  <c:v>423.35133170920318</c:v>
                </c:pt>
                <c:pt idx="47">
                  <c:v>444.49652417922852</c:v>
                </c:pt>
                <c:pt idx="48">
                  <c:v>465.62017905920681</c:v>
                </c:pt>
                <c:pt idx="49">
                  <c:v>486.72341015001922</c:v>
                </c:pt>
                <c:pt idx="50">
                  <c:v>507.80722686130622</c:v>
                </c:pt>
                <c:pt idx="51">
                  <c:v>419.8890759024078</c:v>
                </c:pt>
                <c:pt idx="52">
                  <c:v>439.50055712660463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516.23552610410309</c:v>
                </c:pt>
                <c:pt idx="57">
                  <c:v>534.23177896582058</c:v>
                </c:pt>
                <c:pt idx="58">
                  <c:v>552.21528751868721</c:v>
                </c:pt>
                <c:pt idx="59">
                  <c:v>570.18652494495905</c:v>
                </c:pt>
                <c:pt idx="60">
                  <c:v>588.14593218796961</c:v>
                </c:pt>
                <c:pt idx="61">
                  <c:v>497.84269099902514</c:v>
                </c:pt>
                <c:pt idx="62">
                  <c:v>514.70332559574479</c:v>
                </c:pt>
                <c:pt idx="63">
                  <c:v>531.5523056174153</c:v>
                </c:pt>
                <c:pt idx="64">
                  <c:v>548.39005229891836</c:v>
                </c:pt>
                <c:pt idx="65">
                  <c:v>565.21695891368051</c:v>
                </c:pt>
                <c:pt idx="66">
                  <c:v>580.8871438306777</c:v>
                </c:pt>
                <c:pt idx="67">
                  <c:v>596.54851588925385</c:v>
                </c:pt>
                <c:pt idx="68">
                  <c:v>612.20133890996374</c:v>
                </c:pt>
                <c:pt idx="69">
                  <c:v>627.84586213083389</c:v>
                </c:pt>
                <c:pt idx="70">
                  <c:v>643.4823213641663</c:v>
                </c:pt>
                <c:pt idx="71">
                  <c:v>551.06777546888077</c:v>
                </c:pt>
                <c:pt idx="72">
                  <c:v>565.59926555628579</c:v>
                </c:pt>
                <c:pt idx="73">
                  <c:v>580.12295123245474</c:v>
                </c:pt>
                <c:pt idx="74">
                  <c:v>594.63905531968828</c:v>
                </c:pt>
                <c:pt idx="75">
                  <c:v>609.14778887966042</c:v>
                </c:pt>
                <c:pt idx="76">
                  <c:v>622.88628757946447</c:v>
                </c:pt>
                <c:pt idx="77">
                  <c:v>636.61851280143765</c:v>
                </c:pt>
                <c:pt idx="78">
                  <c:v>650.34461886630652</c:v>
                </c:pt>
                <c:pt idx="79">
                  <c:v>664.06475305298818</c:v>
                </c:pt>
                <c:pt idx="80">
                  <c:v>677.77905606178604</c:v>
                </c:pt>
                <c:pt idx="81">
                  <c:v>583.56165301259614</c:v>
                </c:pt>
                <c:pt idx="82">
                  <c:v>596.16663396016554</c:v>
                </c:pt>
                <c:pt idx="83">
                  <c:v>608.76607282046439</c:v>
                </c:pt>
                <c:pt idx="84">
                  <c:v>621.36010041874761</c:v>
                </c:pt>
                <c:pt idx="85">
                  <c:v>633.94884184664022</c:v>
                </c:pt>
                <c:pt idx="86">
                  <c:v>646.53241682467012</c:v>
                </c:pt>
                <c:pt idx="87">
                  <c:v>659.11094003512619</c:v>
                </c:pt>
                <c:pt idx="88">
                  <c:v>671.68452142819672</c:v>
                </c:pt>
                <c:pt idx="89">
                  <c:v>684.25326650400723</c:v>
                </c:pt>
                <c:pt idx="90">
                  <c:v>696.81727657286899</c:v>
                </c:pt>
                <c:pt idx="91">
                  <c:v>601.32161215624581</c:v>
                </c:pt>
                <c:pt idx="92">
                  <c:v>612.58301041135371</c:v>
                </c:pt>
                <c:pt idx="93">
                  <c:v>623.84011521480932</c:v>
                </c:pt>
                <c:pt idx="94">
                  <c:v>635.09301493951591</c:v>
                </c:pt>
                <c:pt idx="95">
                  <c:v>646.34179457229243</c:v>
                </c:pt>
                <c:pt idx="96">
                  <c:v>657.5865359015296</c:v>
                </c:pt>
                <c:pt idx="97">
                  <c:v>668.82731769134716</c:v>
                </c:pt>
                <c:pt idx="98">
                  <c:v>680.06421584344059</c:v>
                </c:pt>
                <c:pt idx="99">
                  <c:v>691.29730354767992</c:v>
                </c:pt>
                <c:pt idx="100">
                  <c:v>702.52665142241437</c:v>
                </c:pt>
                <c:pt idx="101">
                  <c:v>607.62089481714156</c:v>
                </c:pt>
                <c:pt idx="102">
                  <c:v>617.5442922766041</c:v>
                </c:pt>
                <c:pt idx="103">
                  <c:v>627.46438526884378</c:v>
                </c:pt>
                <c:pt idx="104">
                  <c:v>637.38123339273818</c:v>
                </c:pt>
                <c:pt idx="105">
                  <c:v>647.29489424172436</c:v>
                </c:pt>
                <c:pt idx="106">
                  <c:v>657.20542350161361</c:v>
                </c:pt>
                <c:pt idx="107">
                  <c:v>667.11287504220047</c:v>
                </c:pt>
                <c:pt idx="108">
                  <c:v>677.01730100315001</c:v>
                </c:pt>
                <c:pt idx="109">
                  <c:v>686.91875187459846</c:v>
                </c:pt>
                <c:pt idx="110">
                  <c:v>696.81727657286831</c:v>
                </c:pt>
                <c:pt idx="111">
                  <c:v>608.19348941446731</c:v>
                </c:pt>
                <c:pt idx="112">
                  <c:v>616.78107210210862</c:v>
                </c:pt>
                <c:pt idx="113">
                  <c:v>625.36617664098833</c:v>
                </c:pt>
                <c:pt idx="114">
                  <c:v>633.94884184663977</c:v>
                </c:pt>
                <c:pt idx="115">
                  <c:v>642.52910539795437</c:v>
                </c:pt>
                <c:pt idx="116">
                  <c:v>651.10700388552482</c:v>
                </c:pt>
                <c:pt idx="117">
                  <c:v>659.68257285730908</c:v>
                </c:pt>
                <c:pt idx="118">
                  <c:v>668.25584686179945</c:v>
                </c:pt>
                <c:pt idx="119">
                  <c:v>676.82685948885739</c:v>
                </c:pt>
                <c:pt idx="120">
                  <c:v>685.39564340837785</c:v>
                </c:pt>
                <c:pt idx="121">
                  <c:v>603.54878720323211</c:v>
                </c:pt>
                <c:pt idx="122">
                  <c:v>611.31075286882106</c:v>
                </c:pt>
                <c:pt idx="123">
                  <c:v>619.07067399707273</c:v>
                </c:pt>
                <c:pt idx="124">
                  <c:v>626.82857983087058</c:v>
                </c:pt>
                <c:pt idx="125">
                  <c:v>634.58449883019921</c:v>
                </c:pt>
                <c:pt idx="126">
                  <c:v>642.33845870262405</c:v>
                </c:pt>
                <c:pt idx="127">
                  <c:v>650.09048643222127</c:v>
                </c:pt>
                <c:pt idx="128">
                  <c:v>657.84060830705721</c:v>
                </c:pt>
                <c:pt idx="129">
                  <c:v>665.58884994530615</c:v>
                </c:pt>
                <c:pt idx="130">
                  <c:v>673.33523632008735</c:v>
                </c:pt>
                <c:pt idx="131">
                  <c:v>681.07979178310245</c:v>
                </c:pt>
                <c:pt idx="132">
                  <c:v>688.8225400871396</c:v>
                </c:pt>
                <c:pt idx="133">
                  <c:v>696.5635044075143</c:v>
                </c:pt>
                <c:pt idx="134">
                  <c:v>704.30270736250952</c:v>
                </c:pt>
                <c:pt idx="135">
                  <c:v>712.04017103286799</c:v>
                </c:pt>
                <c:pt idx="136">
                  <c:v>595.02095762588726</c:v>
                </c:pt>
                <c:pt idx="137">
                  <c:v>601.89433065861647</c:v>
                </c:pt>
                <c:pt idx="138">
                  <c:v>608.76607282046393</c:v>
                </c:pt>
                <c:pt idx="139">
                  <c:v>615.63620511984993</c:v>
                </c:pt>
                <c:pt idx="140">
                  <c:v>622.50474805800343</c:v>
                </c:pt>
                <c:pt idx="141">
                  <c:v>629.37172164679021</c:v>
                </c:pt>
                <c:pt idx="142">
                  <c:v>636.237145425721</c:v>
                </c:pt>
                <c:pt idx="143">
                  <c:v>643.1010384781888</c:v>
                </c:pt>
                <c:pt idx="144">
                  <c:v>649.96341944697565</c:v>
                </c:pt>
                <c:pt idx="145">
                  <c:v>656.82430654907159</c:v>
                </c:pt>
                <c:pt idx="146">
                  <c:v>663.68371758984233</c:v>
                </c:pt>
                <c:pt idx="147">
                  <c:v>670.54166997657933</c:v>
                </c:pt>
                <c:pt idx="148">
                  <c:v>677.39818073146876</c:v>
                </c:pt>
                <c:pt idx="149">
                  <c:v>684.25326650400712</c:v>
                </c:pt>
                <c:pt idx="150">
                  <c:v>691.10694358289345</c:v>
                </c:pt>
                <c:pt idx="151">
                  <c:v>1.5435705246133045E-12</c:v>
                </c:pt>
                <c:pt idx="152">
                  <c:v>1.5435705246133045E-12</c:v>
                </c:pt>
                <c:pt idx="153">
                  <c:v>1.5435705246133045E-12</c:v>
                </c:pt>
                <c:pt idx="154">
                  <c:v>1.5435705246133045E-12</c:v>
                </c:pt>
                <c:pt idx="155">
                  <c:v>1.5435705246133045E-12</c:v>
                </c:pt>
                <c:pt idx="156">
                  <c:v>1.5435705246133045E-12</c:v>
                </c:pt>
                <c:pt idx="157">
                  <c:v>1.5435705246133045E-12</c:v>
                </c:pt>
                <c:pt idx="158">
                  <c:v>1.5435705246133045E-12</c:v>
                </c:pt>
                <c:pt idx="159">
                  <c:v>1.5435705246133045E-12</c:v>
                </c:pt>
                <c:pt idx="160">
                  <c:v>1.5435705246133045E-12</c:v>
                </c:pt>
                <c:pt idx="161">
                  <c:v>1.5435705246133045E-12</c:v>
                </c:pt>
                <c:pt idx="162">
                  <c:v>1.5435705246133045E-12</c:v>
                </c:pt>
                <c:pt idx="163">
                  <c:v>1.5435705246133045E-12</c:v>
                </c:pt>
                <c:pt idx="164">
                  <c:v>1.5435705246133045E-12</c:v>
                </c:pt>
                <c:pt idx="165">
                  <c:v>1.5435705246133045E-12</c:v>
                </c:pt>
                <c:pt idx="166">
                  <c:v>1.5435705246133045E-12</c:v>
                </c:pt>
                <c:pt idx="167">
                  <c:v>1.5435705246133045E-12</c:v>
                </c:pt>
                <c:pt idx="168">
                  <c:v>1.5435705246133045E-12</c:v>
                </c:pt>
                <c:pt idx="169">
                  <c:v>1.5435705246133045E-12</c:v>
                </c:pt>
                <c:pt idx="170">
                  <c:v>1.5435705246133045E-12</c:v>
                </c:pt>
                <c:pt idx="171">
                  <c:v>1.5435705246133045E-12</c:v>
                </c:pt>
                <c:pt idx="172">
                  <c:v>1.5435705246133045E-12</c:v>
                </c:pt>
                <c:pt idx="173">
                  <c:v>1.5435705246133045E-12</c:v>
                </c:pt>
                <c:pt idx="174">
                  <c:v>1.5435705246133045E-12</c:v>
                </c:pt>
                <c:pt idx="175">
                  <c:v>1.5435705246133045E-12</c:v>
                </c:pt>
                <c:pt idx="176">
                  <c:v>1.5435705246133045E-12</c:v>
                </c:pt>
                <c:pt idx="177">
                  <c:v>1.5435705246133045E-12</c:v>
                </c:pt>
                <c:pt idx="178">
                  <c:v>1.5435705246133045E-12</c:v>
                </c:pt>
                <c:pt idx="179">
                  <c:v>1.5435705246133045E-12</c:v>
                </c:pt>
                <c:pt idx="180">
                  <c:v>1.5435705246133045E-12</c:v>
                </c:pt>
                <c:pt idx="181">
                  <c:v>1.5435705246133045E-12</c:v>
                </c:pt>
                <c:pt idx="182">
                  <c:v>1.5435705246133045E-12</c:v>
                </c:pt>
                <c:pt idx="183">
                  <c:v>1.5435705246133045E-12</c:v>
                </c:pt>
                <c:pt idx="184">
                  <c:v>1.5435705246133045E-12</c:v>
                </c:pt>
                <c:pt idx="185">
                  <c:v>1.5435705246133045E-12</c:v>
                </c:pt>
                <c:pt idx="186">
                  <c:v>1.5435705246133045E-12</c:v>
                </c:pt>
                <c:pt idx="187">
                  <c:v>1.5435705246133045E-12</c:v>
                </c:pt>
                <c:pt idx="188">
                  <c:v>1.5435705246133045E-12</c:v>
                </c:pt>
                <c:pt idx="189">
                  <c:v>1.5435705246133045E-12</c:v>
                </c:pt>
                <c:pt idx="190">
                  <c:v>1.5435705246133045E-12</c:v>
                </c:pt>
                <c:pt idx="191">
                  <c:v>1.5435705246133045E-12</c:v>
                </c:pt>
                <c:pt idx="192">
                  <c:v>1.5435705246133045E-12</c:v>
                </c:pt>
                <c:pt idx="193">
                  <c:v>1.5435705246133045E-12</c:v>
                </c:pt>
                <c:pt idx="194">
                  <c:v>1.5435705246133045E-12</c:v>
                </c:pt>
                <c:pt idx="195">
                  <c:v>1.5435705246133045E-12</c:v>
                </c:pt>
                <c:pt idx="196">
                  <c:v>1.5435705246133045E-12</c:v>
                </c:pt>
                <c:pt idx="197">
                  <c:v>1.5435705246133045E-12</c:v>
                </c:pt>
                <c:pt idx="198">
                  <c:v>1.5435705246133045E-12</c:v>
                </c:pt>
                <c:pt idx="199">
                  <c:v>1.5435705246133045E-12</c:v>
                </c:pt>
                <c:pt idx="200">
                  <c:v>1.5435705246133045E-12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21316048"/>
        <c:axId val="-621321488"/>
      </c:scatterChart>
      <c:valAx>
        <c:axId val="-6213160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21321488"/>
        <c:crosses val="autoZero"/>
        <c:crossBetween val="midCat"/>
      </c:valAx>
      <c:valAx>
        <c:axId val="-621321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213160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48042768"/>
        <c:axId val="-648041136"/>
      </c:scatterChart>
      <c:valAx>
        <c:axId val="-6480427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48041136"/>
        <c:crosses val="autoZero"/>
        <c:crossBetween val="midCat"/>
      </c:valAx>
      <c:valAx>
        <c:axId val="-648041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480427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2.6650117287285462</c:v>
                </c:pt>
                <c:pt idx="2">
                  <c:v>3.2354654067477706</c:v>
                </c:pt>
                <c:pt idx="3">
                  <c:v>3.9284869234853752</c:v>
                </c:pt>
                <c:pt idx="4">
                  <c:v>4.770504601663986</c:v>
                </c:pt>
                <c:pt idx="5">
                  <c:v>5.7936641476729482</c:v>
                </c:pt>
                <c:pt idx="6">
                  <c:v>7.0370693192090075</c:v>
                </c:pt>
                <c:pt idx="7">
                  <c:v>8.5482925779705372</c:v>
                </c:pt>
                <c:pt idx="8">
                  <c:v>10.385214631800892</c:v>
                </c:pt>
                <c:pt idx="9">
                  <c:v>12.618264652585031</c:v>
                </c:pt>
                <c:pt idx="10">
                  <c:v>15.33314866131672</c:v>
                </c:pt>
                <c:pt idx="11">
                  <c:v>18.634172720004408</c:v>
                </c:pt>
                <c:pt idx="12">
                  <c:v>22.64829091777025</c:v>
                </c:pt>
                <c:pt idx="13">
                  <c:v>27.530036608323286</c:v>
                </c:pt>
                <c:pt idx="14">
                  <c:v>33.46753007373961</c:v>
                </c:pt>
                <c:pt idx="15">
                  <c:v>40.689798128782996</c:v>
                </c:pt>
                <c:pt idx="16">
                  <c:v>49.475692816958805</c:v>
                </c:pt>
                <c:pt idx="17">
                  <c:v>60.164759329410423</c:v>
                </c:pt>
                <c:pt idx="18">
                  <c:v>73.170480096564106</c:v>
                </c:pt>
                <c:pt idx="19">
                  <c:v>88.99641570607578</c:v>
                </c:pt>
                <c:pt idx="20">
                  <c:v>108.25587760652975</c:v>
                </c:pt>
                <c:pt idx="21">
                  <c:v>128.9130744021389</c:v>
                </c:pt>
                <c:pt idx="22">
                  <c:v>149.49002281670286</c:v>
                </c:pt>
                <c:pt idx="23">
                  <c:v>169.99934455849356</c:v>
                </c:pt>
                <c:pt idx="24">
                  <c:v>190.45035477579154</c:v>
                </c:pt>
                <c:pt idx="25">
                  <c:v>210.85019924163907</c:v>
                </c:pt>
                <c:pt idx="26">
                  <c:v>185.24975095506522</c:v>
                </c:pt>
                <c:pt idx="27">
                  <c:v>207.88589861014086</c:v>
                </c:pt>
                <c:pt idx="28">
                  <c:v>230.46511069348855</c:v>
                </c:pt>
                <c:pt idx="29">
                  <c:v>252.99374979192666</c:v>
                </c:pt>
                <c:pt idx="30">
                  <c:v>275.47695163372049</c:v>
                </c:pt>
                <c:pt idx="31">
                  <c:v>299.0216509304434</c:v>
                </c:pt>
                <c:pt idx="32">
                  <c:v>322.52505476163668</c:v>
                </c:pt>
                <c:pt idx="33">
                  <c:v>345.99059370648024</c:v>
                </c:pt>
                <c:pt idx="34">
                  <c:v>369.42119511414563</c:v>
                </c:pt>
                <c:pt idx="35">
                  <c:v>392.81938482304872</c:v>
                </c:pt>
                <c:pt idx="36">
                  <c:v>289.09398574595861</c:v>
                </c:pt>
                <c:pt idx="37">
                  <c:v>313.71588765662</c:v>
                </c:pt>
                <c:pt idx="38">
                  <c:v>338.294948711404</c:v>
                </c:pt>
                <c:pt idx="39">
                  <c:v>362.83471688970462</c:v>
                </c:pt>
                <c:pt idx="40">
                  <c:v>387.33822121677059</c:v>
                </c:pt>
                <c:pt idx="41">
                  <c:v>412.53802704609888</c:v>
                </c:pt>
                <c:pt idx="42">
                  <c:v>437.70462758915545</c:v>
                </c:pt>
                <c:pt idx="43">
                  <c:v>462.84019859006793</c:v>
                </c:pt>
                <c:pt idx="44">
                  <c:v>487.94666038986742</c:v>
                </c:pt>
                <c:pt idx="45">
                  <c:v>513.02571977154469</c:v>
                </c:pt>
                <c:pt idx="46">
                  <c:v>410.34809118885158</c:v>
                </c:pt>
                <c:pt idx="47">
                  <c:v>435.15294270927825</c:v>
                </c:pt>
                <c:pt idx="48">
                  <c:v>459.92745587773499</c:v>
                </c:pt>
                <c:pt idx="49">
                  <c:v>484.67349306043229</c:v>
                </c:pt>
                <c:pt idx="50">
                  <c:v>509.39271110335471</c:v>
                </c:pt>
                <c:pt idx="51">
                  <c:v>533.72362475342334</c:v>
                </c:pt>
                <c:pt idx="52">
                  <c:v>558.03122014259679</c:v>
                </c:pt>
                <c:pt idx="53">
                  <c:v>582.31665474406691</c:v>
                </c:pt>
                <c:pt idx="54">
                  <c:v>606.58098171901804</c:v>
                </c:pt>
                <c:pt idx="55">
                  <c:v>630.82516319719264</c:v>
                </c:pt>
                <c:pt idx="56">
                  <c:v>527.55236536708924</c:v>
                </c:pt>
                <c:pt idx="57">
                  <c:v>551.14032081646064</c:v>
                </c:pt>
                <c:pt idx="58">
                  <c:v>574.7071209020188</c:v>
                </c:pt>
                <c:pt idx="59">
                  <c:v>598.25375422735704</c:v>
                </c:pt>
                <c:pt idx="60">
                  <c:v>621.78112531404167</c:v>
                </c:pt>
                <c:pt idx="61">
                  <c:v>644.20543127173016</c:v>
                </c:pt>
                <c:pt idx="62">
                  <c:v>666.61363333729264</c:v>
                </c:pt>
                <c:pt idx="63">
                  <c:v>689.006348405685</c:v>
                </c:pt>
                <c:pt idx="64">
                  <c:v>711.38415005145782</c:v>
                </c:pt>
                <c:pt idx="65">
                  <c:v>733.74757286509896</c:v>
                </c:pt>
                <c:pt idx="66">
                  <c:v>628.65484029812285</c:v>
                </c:pt>
                <c:pt idx="67">
                  <c:v>649.98970921008811</c:v>
                </c:pt>
                <c:pt idx="68">
                  <c:v>671.31014346170321</c:v>
                </c:pt>
                <c:pt idx="69">
                  <c:v>692.61666551890175</c:v>
                </c:pt>
                <c:pt idx="70">
                  <c:v>713.90976311819679</c:v>
                </c:pt>
                <c:pt idx="71">
                  <c:v>733.74757286509896</c:v>
                </c:pt>
                <c:pt idx="72">
                  <c:v>753.57446075706082</c:v>
                </c:pt>
                <c:pt idx="73">
                  <c:v>773.39075429462207</c:v>
                </c:pt>
                <c:pt idx="74">
                  <c:v>793.19676284650984</c:v>
                </c:pt>
                <c:pt idx="75">
                  <c:v>812.99277909027751</c:v>
                </c:pt>
                <c:pt idx="76">
                  <c:v>705.61063085359956</c:v>
                </c:pt>
                <c:pt idx="77">
                  <c:v>724.37108110022939</c:v>
                </c:pt>
                <c:pt idx="78">
                  <c:v>743.12162419643846</c:v>
                </c:pt>
                <c:pt idx="79">
                  <c:v>761.86254506494254</c:v>
                </c:pt>
                <c:pt idx="80">
                  <c:v>780.59411348307538</c:v>
                </c:pt>
                <c:pt idx="81">
                  <c:v>797.87671246011939</c:v>
                </c:pt>
                <c:pt idx="82">
                  <c:v>815.15175193693824</c:v>
                </c:pt>
                <c:pt idx="83">
                  <c:v>832.41941451556761</c:v>
                </c:pt>
                <c:pt idx="84">
                  <c:v>849.67987461282746</c:v>
                </c:pt>
                <c:pt idx="85">
                  <c:v>866.93329898942159</c:v>
                </c:pt>
                <c:pt idx="86">
                  <c:v>762.40300850854248</c:v>
                </c:pt>
                <c:pt idx="87">
                  <c:v>778.43324765234229</c:v>
                </c:pt>
                <c:pt idx="88">
                  <c:v>794.45680403437666</c:v>
                </c:pt>
                <c:pt idx="89">
                  <c:v>810.47383130192986</c:v>
                </c:pt>
                <c:pt idx="90">
                  <c:v>826.48447654013432</c:v>
                </c:pt>
                <c:pt idx="91">
                  <c:v>842.48888067652013</c:v>
                </c:pt>
                <c:pt idx="92">
                  <c:v>858.48717885326153</c:v>
                </c:pt>
                <c:pt idx="93">
                  <c:v>874.47950077026019</c:v>
                </c:pt>
                <c:pt idx="94">
                  <c:v>890.46597100185636</c:v>
                </c:pt>
                <c:pt idx="95">
                  <c:v>906.44670928963933</c:v>
                </c:pt>
                <c:pt idx="96">
                  <c:v>811.19354675848274</c:v>
                </c:pt>
                <c:pt idx="97">
                  <c:v>825.58516883989205</c:v>
                </c:pt>
                <c:pt idx="98">
                  <c:v>839.97174204805378</c:v>
                </c:pt>
                <c:pt idx="99">
                  <c:v>854.35336496332911</c:v>
                </c:pt>
                <c:pt idx="100">
                  <c:v>868.73013257971525</c:v>
                </c:pt>
                <c:pt idx="101">
                  <c:v>883.10213649372565</c:v>
                </c:pt>
                <c:pt idx="102">
                  <c:v>897.46946508035262</c:v>
                </c:pt>
                <c:pt idx="103">
                  <c:v>911.83220365718444</c:v>
                </c:pt>
                <c:pt idx="104">
                  <c:v>926.1904346376582</c:v>
                </c:pt>
                <c:pt idx="105">
                  <c:v>940.54423767432684</c:v>
                </c:pt>
                <c:pt idx="106">
                  <c:v>851.11792645574042</c:v>
                </c:pt>
                <c:pt idx="107">
                  <c:v>864.0582099934544</c:v>
                </c:pt>
                <c:pt idx="108">
                  <c:v>876.99461115440192</c:v>
                </c:pt>
                <c:pt idx="109">
                  <c:v>889.92719522725372</c:v>
                </c:pt>
                <c:pt idx="110">
                  <c:v>902.85602545009397</c:v>
                </c:pt>
                <c:pt idx="111">
                  <c:v>915.78116310387611</c:v>
                </c:pt>
                <c:pt idx="112">
                  <c:v>928.70266760032712</c:v>
                </c:pt>
                <c:pt idx="113">
                  <c:v>941.62059656471547</c:v>
                </c:pt>
                <c:pt idx="114">
                  <c:v>954.5350059138442</c:v>
                </c:pt>
                <c:pt idx="115">
                  <c:v>967.44594992960674</c:v>
                </c:pt>
                <c:pt idx="116">
                  <c:v>883.82061324075357</c:v>
                </c:pt>
                <c:pt idx="117">
                  <c:v>895.31466045688728</c:v>
                </c:pt>
                <c:pt idx="118">
                  <c:v>906.80576205324132</c:v>
                </c:pt>
                <c:pt idx="119">
                  <c:v>918.29396058680368</c:v>
                </c:pt>
                <c:pt idx="120">
                  <c:v>929.77929746384177</c:v>
                </c:pt>
                <c:pt idx="121">
                  <c:v>941.26181298514211</c:v>
                </c:pt>
                <c:pt idx="122">
                  <c:v>952.74154638892969</c:v>
                </c:pt>
                <c:pt idx="123">
                  <c:v>964.21853589161526</c:v>
                </c:pt>
                <c:pt idx="124">
                  <c:v>975.69281872650174</c:v>
                </c:pt>
                <c:pt idx="125">
                  <c:v>987.16443118057657</c:v>
                </c:pt>
                <c:pt idx="126">
                  <c:v>906.08765368982722</c:v>
                </c:pt>
                <c:pt idx="127">
                  <c:v>916.49911923931393</c:v>
                </c:pt>
                <c:pt idx="128">
                  <c:v>926.90822930245065</c:v>
                </c:pt>
                <c:pt idx="129">
                  <c:v>937.31501403861023</c:v>
                </c:pt>
                <c:pt idx="130">
                  <c:v>947.71950288339883</c:v>
                </c:pt>
                <c:pt idx="131">
                  <c:v>958.12172457394684</c:v>
                </c:pt>
                <c:pt idx="132">
                  <c:v>968.52170717304398</c:v>
                </c:pt>
                <c:pt idx="133">
                  <c:v>978.91947809218345</c:v>
                </c:pt>
                <c:pt idx="134">
                  <c:v>989.31506411358021</c:v>
                </c:pt>
                <c:pt idx="135">
                  <c:v>999.7084914112146</c:v>
                </c:pt>
                <c:pt idx="136">
                  <c:v>920.6869737353968</c:v>
                </c:pt>
                <c:pt idx="137">
                  <c:v>929.54004852710386</c:v>
                </c:pt>
                <c:pt idx="138">
                  <c:v>938.39144644330747</c:v>
                </c:pt>
                <c:pt idx="139">
                  <c:v>947.24118551961294</c:v>
                </c:pt>
                <c:pt idx="140">
                  <c:v>956.08928342739136</c:v>
                </c:pt>
                <c:pt idx="141">
                  <c:v>964.93575748450849</c:v>
                </c:pt>
                <c:pt idx="142">
                  <c:v>973.78062466564097</c:v>
                </c:pt>
                <c:pt idx="143">
                  <c:v>982.62390161219776</c:v>
                </c:pt>
                <c:pt idx="144">
                  <c:v>991.46560464186643</c:v>
                </c:pt>
                <c:pt idx="145">
                  <c:v>1000.3057497578019</c:v>
                </c:pt>
                <c:pt idx="146">
                  <c:v>1009.1443526574726</c:v>
                </c:pt>
                <c:pt idx="147">
                  <c:v>1017.9814287411829</c:v>
                </c:pt>
                <c:pt idx="148">
                  <c:v>1026.8169931202824</c:v>
                </c:pt>
                <c:pt idx="149">
                  <c:v>1035.6510606250799</c:v>
                </c:pt>
                <c:pt idx="150">
                  <c:v>1044.483645812473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21319856"/>
        <c:axId val="-621325840"/>
      </c:scatterChart>
      <c:valAx>
        <c:axId val="-6213198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21325840"/>
        <c:crosses val="autoZero"/>
        <c:crossBetween val="midCat"/>
      </c:valAx>
      <c:valAx>
        <c:axId val="-621325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213198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2.6519655211592874</c:v>
                </c:pt>
                <c:pt idx="2">
                  <c:v>3.2610223314459752</c:v>
                </c:pt>
                <c:pt idx="3">
                  <c:v>4.0104905158163051</c:v>
                </c:pt>
                <c:pt idx="4">
                  <c:v>4.9328564726428068</c:v>
                </c:pt>
                <c:pt idx="5">
                  <c:v>6.068147991440398</c:v>
                </c:pt>
                <c:pt idx="6">
                  <c:v>7.4656903389318279</c:v>
                </c:pt>
                <c:pt idx="7">
                  <c:v>9.1862724344194735</c:v>
                </c:pt>
                <c:pt idx="8">
                  <c:v>11.304819130811806</c:v>
                </c:pt>
                <c:pt idx="9">
                  <c:v>13.913688152008866</c:v>
                </c:pt>
                <c:pt idx="10">
                  <c:v>17.126738071781514</c:v>
                </c:pt>
                <c:pt idx="11">
                  <c:v>21.084348102790369</c:v>
                </c:pt>
                <c:pt idx="12">
                  <c:v>25.959612940843225</c:v>
                </c:pt>
                <c:pt idx="13">
                  <c:v>31.965988387315338</c:v>
                </c:pt>
                <c:pt idx="14">
                  <c:v>39.366728311080898</c:v>
                </c:pt>
                <c:pt idx="15">
                  <c:v>48.486533626988098</c:v>
                </c:pt>
                <c:pt idx="16">
                  <c:v>59.725932966858835</c:v>
                </c:pt>
                <c:pt idx="17">
                  <c:v>73.579037059713301</c:v>
                </c:pt>
                <c:pt idx="18">
                  <c:v>90.655460033245092</c:v>
                </c:pt>
                <c:pt idx="19">
                  <c:v>111.70738771533587</c:v>
                </c:pt>
                <c:pt idx="20">
                  <c:v>137.66300398229683</c:v>
                </c:pt>
                <c:pt idx="21">
                  <c:v>139.86706331239944</c:v>
                </c:pt>
                <c:pt idx="22">
                  <c:v>153.07440627470763</c:v>
                </c:pt>
                <c:pt idx="23">
                  <c:v>166.25463305956598</c:v>
                </c:pt>
                <c:pt idx="24">
                  <c:v>179.41019776275084</c:v>
                </c:pt>
                <c:pt idx="25">
                  <c:v>192.54316466070134</c:v>
                </c:pt>
                <c:pt idx="26">
                  <c:v>209.29406224425145</c:v>
                </c:pt>
                <c:pt idx="27">
                  <c:v>226.01402457681704</c:v>
                </c:pt>
                <c:pt idx="28">
                  <c:v>242.705662572889</c:v>
                </c:pt>
                <c:pt idx="29">
                  <c:v>259.37119846370371</c:v>
                </c:pt>
                <c:pt idx="30">
                  <c:v>276.01254545472335</c:v>
                </c:pt>
                <c:pt idx="31">
                  <c:v>194.00106723848819</c:v>
                </c:pt>
                <c:pt idx="32">
                  <c:v>213.65866040016556</c:v>
                </c:pt>
                <c:pt idx="33">
                  <c:v>233.27460027305111</c:v>
                </c:pt>
                <c:pt idx="34">
                  <c:v>252.85288210026224</c:v>
                </c:pt>
                <c:pt idx="35">
                  <c:v>272.39683147829231</c:v>
                </c:pt>
                <c:pt idx="36">
                  <c:v>292.63136713800856</c:v>
                </c:pt>
                <c:pt idx="37">
                  <c:v>312.83467185841931</c:v>
                </c:pt>
                <c:pt idx="38">
                  <c:v>333.00904545770453</c:v>
                </c:pt>
                <c:pt idx="39">
                  <c:v>353.15648638435545</c:v>
                </c:pt>
                <c:pt idx="40">
                  <c:v>373.27874650728046</c:v>
                </c:pt>
                <c:pt idx="41">
                  <c:v>292.99240696074884</c:v>
                </c:pt>
                <c:pt idx="42">
                  <c:v>313.55567069110157</c:v>
                </c:pt>
                <c:pt idx="43">
                  <c:v>334.08903883374995</c:v>
                </c:pt>
                <c:pt idx="44">
                  <c:v>354.59460634776497</c:v>
                </c:pt>
                <c:pt idx="45">
                  <c:v>375.07420618051674</c:v>
                </c:pt>
                <c:pt idx="46">
                  <c:v>394.81212266433721</c:v>
                </c:pt>
                <c:pt idx="47">
                  <c:v>414.52866007289896</c:v>
                </c:pt>
                <c:pt idx="48">
                  <c:v>434.22497775587243</c:v>
                </c:pt>
                <c:pt idx="49">
                  <c:v>453.90212136173159</c:v>
                </c:pt>
                <c:pt idx="50">
                  <c:v>473.56103853531022</c:v>
                </c:pt>
                <c:pt idx="51">
                  <c:v>391.58377731754786</c:v>
                </c:pt>
                <c:pt idx="52">
                  <c:v>409.87025351058588</c:v>
                </c:pt>
                <c:pt idx="53">
                  <c:v>428.1391190250547</c:v>
                </c:pt>
                <c:pt idx="54">
                  <c:v>446.39123070522641</c:v>
                </c:pt>
                <c:pt idx="55">
                  <c:v>464.62736964269271</c:v>
                </c:pt>
                <c:pt idx="56">
                  <c:v>481.41969782516429</c:v>
                </c:pt>
                <c:pt idx="57">
                  <c:v>498.1995836401374</c:v>
                </c:pt>
                <c:pt idx="58">
                  <c:v>514.96750495828326</c:v>
                </c:pt>
                <c:pt idx="59">
                  <c:v>531.7239060082901</c:v>
                </c:pt>
                <c:pt idx="60">
                  <c:v>548.46920075259266</c:v>
                </c:pt>
                <c:pt idx="61">
                  <c:v>464.26994718146648</c:v>
                </c:pt>
                <c:pt idx="62">
                  <c:v>479.99105490653488</c:v>
                </c:pt>
                <c:pt idx="63">
                  <c:v>495.70122118881301</c:v>
                </c:pt>
                <c:pt idx="64">
                  <c:v>511.40084148822433</c:v>
                </c:pt>
                <c:pt idx="65">
                  <c:v>527.09028501417185</c:v>
                </c:pt>
                <c:pt idx="66">
                  <c:v>541.70113831623894</c:v>
                </c:pt>
                <c:pt idx="67">
                  <c:v>556.30371801023148</c:v>
                </c:pt>
                <c:pt idx="68">
                  <c:v>570.89827177377742</c:v>
                </c:pt>
                <c:pt idx="69">
                  <c:v>585.48503359426809</c:v>
                </c:pt>
                <c:pt idx="70">
                  <c:v>600.06422485487667</c:v>
                </c:pt>
                <c:pt idx="71">
                  <c:v>513.89756085284444</c:v>
                </c:pt>
                <c:pt idx="72">
                  <c:v>527.44674775244664</c:v>
                </c:pt>
                <c:pt idx="73">
                  <c:v>540.98860778524408</c:v>
                </c:pt>
                <c:pt idx="74">
                  <c:v>554.52335013925483</c:v>
                </c:pt>
                <c:pt idx="75">
                  <c:v>568.05117296149103</c:v>
                </c:pt>
                <c:pt idx="76">
                  <c:v>580.86079271099516</c:v>
                </c:pt>
                <c:pt idx="77">
                  <c:v>593.664522850754</c:v>
                </c:pt>
                <c:pt idx="78">
                  <c:v>606.46250825875734</c:v>
                </c:pt>
                <c:pt idx="79">
                  <c:v>619.2548872020667</c:v>
                </c:pt>
                <c:pt idx="80">
                  <c:v>632.04179177166873</c:v>
                </c:pt>
                <c:pt idx="81">
                  <c:v>544.19484035365792</c:v>
                </c:pt>
                <c:pt idx="82">
                  <c:v>555.9476539976614</c:v>
                </c:pt>
                <c:pt idx="83">
                  <c:v>567.69526466939362</c:v>
                </c:pt>
                <c:pt idx="84">
                  <c:v>579.43779518903818</c:v>
                </c:pt>
                <c:pt idx="85">
                  <c:v>591.17536299398319</c:v>
                </c:pt>
                <c:pt idx="86">
                  <c:v>602.90808047917312</c:v>
                </c:pt>
                <c:pt idx="87">
                  <c:v>614.63605530959728</c:v>
                </c:pt>
                <c:pt idx="88">
                  <c:v>626.35939070769712</c:v>
                </c:pt>
                <c:pt idx="89">
                  <c:v>638.07818571814732</c:v>
                </c:pt>
                <c:pt idx="90">
                  <c:v>649.79253545217819</c:v>
                </c:pt>
                <c:pt idx="91">
                  <c:v>560.75411650027092</c:v>
                </c:pt>
                <c:pt idx="92">
                  <c:v>571.25413823451822</c:v>
                </c:pt>
                <c:pt idx="93">
                  <c:v>581.75012922929807</c:v>
                </c:pt>
                <c:pt idx="94">
                  <c:v>592.24217245006048</c:v>
                </c:pt>
                <c:pt idx="95">
                  <c:v>602.73034768336277</c:v>
                </c:pt>
                <c:pt idx="96">
                  <c:v>613.21473171304262</c:v>
                </c:pt>
                <c:pt idx="97">
                  <c:v>623.69539848371858</c:v>
                </c:pt>
                <c:pt idx="98">
                  <c:v>634.17241925273447</c:v>
                </c:pt>
                <c:pt idx="99">
                  <c:v>644.64586273154214</c:v>
                </c:pt>
                <c:pt idx="100">
                  <c:v>655.11579521742192</c:v>
                </c:pt>
                <c:pt idx="101">
                  <c:v>566.62751179237466</c:v>
                </c:pt>
                <c:pt idx="102">
                  <c:v>575.87998196277476</c:v>
                </c:pt>
                <c:pt idx="103">
                  <c:v>585.12934986312905</c:v>
                </c:pt>
                <c:pt idx="104">
                  <c:v>594.3756714455169</c:v>
                </c:pt>
                <c:pt idx="105">
                  <c:v>603.61900077928851</c:v>
                </c:pt>
                <c:pt idx="106">
                  <c:v>612.8593901428934</c:v>
                </c:pt>
                <c:pt idx="107">
                  <c:v>622.09689010988529</c:v>
                </c:pt>
                <c:pt idx="108">
                  <c:v>631.33154962955359</c:v>
                </c:pt>
                <c:pt idx="109">
                  <c:v>640.56341610259119</c:v>
                </c:pt>
                <c:pt idx="110">
                  <c:v>649.79253545217762</c:v>
                </c:pt>
                <c:pt idx="111">
                  <c:v>567.16139348415516</c:v>
                </c:pt>
                <c:pt idx="112">
                  <c:v>575.16836435383323</c:v>
                </c:pt>
                <c:pt idx="113">
                  <c:v>583.17300871029272</c:v>
                </c:pt>
                <c:pt idx="114">
                  <c:v>591.17536299398296</c:v>
                </c:pt>
                <c:pt idx="115">
                  <c:v>599.1754625782595</c:v>
                </c:pt>
                <c:pt idx="116">
                  <c:v>607.17334181477167</c:v>
                </c:pt>
                <c:pt idx="117">
                  <c:v>615.16903407633242</c:v>
                </c:pt>
                <c:pt idx="118">
                  <c:v>623.16257179744468</c:v>
                </c:pt>
                <c:pt idx="119">
                  <c:v>631.15398651263888</c:v>
                </c:pt>
                <c:pt idx="120">
                  <c:v>639.14330889276994</c:v>
                </c:pt>
                <c:pt idx="121">
                  <c:v>562.83071576489772</c:v>
                </c:pt>
                <c:pt idx="122">
                  <c:v>570.06789866925862</c:v>
                </c:pt>
                <c:pt idx="123">
                  <c:v>577.30316213955894</c:v>
                </c:pt>
                <c:pt idx="124">
                  <c:v>584.53653362933835</c:v>
                </c:pt>
                <c:pt idx="125">
                  <c:v>591.76803985714275</c:v>
                </c:pt>
                <c:pt idx="126">
                  <c:v>598.99770683513736</c:v>
                </c:pt>
                <c:pt idx="127">
                  <c:v>606.22555989626937</c:v>
                </c:pt>
                <c:pt idx="128">
                  <c:v>613.45162372006303</c:v>
                </c:pt>
                <c:pt idx="129">
                  <c:v>620.67592235714153</c:v>
                </c:pt>
                <c:pt idx="130">
                  <c:v>627.89847925254264</c:v>
                </c:pt>
                <c:pt idx="131">
                  <c:v>635.11931726791101</c:v>
                </c:pt>
                <c:pt idx="132">
                  <c:v>642.33845870262417</c:v>
                </c:pt>
                <c:pt idx="133">
                  <c:v>649.5559253139229</c:v>
                </c:pt>
                <c:pt idx="134">
                  <c:v>656.77173833609868</c:v>
                </c:pt>
                <c:pt idx="135">
                  <c:v>663.98591849879483</c:v>
                </c:pt>
                <c:pt idx="136">
                  <c:v>554.87943328207973</c:v>
                </c:pt>
                <c:pt idx="137">
                  <c:v>561.28811451546551</c:v>
                </c:pt>
                <c:pt idx="138">
                  <c:v>567.69526466939328</c:v>
                </c:pt>
                <c:pt idx="139">
                  <c:v>574.10090346679783</c:v>
                </c:pt>
                <c:pt idx="140">
                  <c:v>580.50505015445799</c:v>
                </c:pt>
                <c:pt idx="141">
                  <c:v>586.90772351973271</c:v>
                </c:pt>
                <c:pt idx="142">
                  <c:v>593.30894190652862</c:v>
                </c:pt>
                <c:pt idx="143">
                  <c:v>599.70872323054414</c:v>
                </c:pt>
                <c:pt idx="144">
                  <c:v>606.10708499382793</c:v>
                </c:pt>
                <c:pt idx="145">
                  <c:v>612.50404429868911</c:v>
                </c:pt>
                <c:pt idx="146">
                  <c:v>618.89961786100059</c:v>
                </c:pt>
                <c:pt idx="147">
                  <c:v>625.29382202291833</c:v>
                </c:pt>
                <c:pt idx="148">
                  <c:v>631.68667276505732</c:v>
                </c:pt>
                <c:pt idx="149">
                  <c:v>638.0781857181471</c:v>
                </c:pt>
                <c:pt idx="150">
                  <c:v>644.46837617419726</c:v>
                </c:pt>
                <c:pt idx="151">
                  <c:v>1.4484243304663672E-12</c:v>
                </c:pt>
                <c:pt idx="152">
                  <c:v>1.4484243304663672E-12</c:v>
                </c:pt>
                <c:pt idx="153">
                  <c:v>1.4484243304663672E-12</c:v>
                </c:pt>
                <c:pt idx="154">
                  <c:v>1.4484243304663672E-12</c:v>
                </c:pt>
                <c:pt idx="155">
                  <c:v>1.4484243304663672E-12</c:v>
                </c:pt>
                <c:pt idx="156">
                  <c:v>1.4484243304663672E-12</c:v>
                </c:pt>
                <c:pt idx="157">
                  <c:v>1.4484243304663672E-12</c:v>
                </c:pt>
                <c:pt idx="158">
                  <c:v>1.4484243304663672E-12</c:v>
                </c:pt>
                <c:pt idx="159">
                  <c:v>1.4484243304663672E-12</c:v>
                </c:pt>
                <c:pt idx="160">
                  <c:v>1.4484243304663672E-12</c:v>
                </c:pt>
                <c:pt idx="161">
                  <c:v>1.4484243304663672E-12</c:v>
                </c:pt>
                <c:pt idx="162">
                  <c:v>1.4484243304663672E-12</c:v>
                </c:pt>
                <c:pt idx="163">
                  <c:v>1.4484243304663672E-12</c:v>
                </c:pt>
                <c:pt idx="164">
                  <c:v>1.4484243304663672E-12</c:v>
                </c:pt>
                <c:pt idx="165">
                  <c:v>1.4484243304663672E-12</c:v>
                </c:pt>
                <c:pt idx="166">
                  <c:v>1.4484243304663672E-12</c:v>
                </c:pt>
                <c:pt idx="167">
                  <c:v>1.4484243304663672E-12</c:v>
                </c:pt>
                <c:pt idx="168">
                  <c:v>1.4484243304663672E-12</c:v>
                </c:pt>
                <c:pt idx="169">
                  <c:v>1.4484243304663672E-12</c:v>
                </c:pt>
                <c:pt idx="170">
                  <c:v>1.4484243304663672E-12</c:v>
                </c:pt>
                <c:pt idx="171">
                  <c:v>1.4484243304663672E-12</c:v>
                </c:pt>
                <c:pt idx="172">
                  <c:v>1.4484243304663672E-12</c:v>
                </c:pt>
                <c:pt idx="173">
                  <c:v>1.4484243304663672E-12</c:v>
                </c:pt>
                <c:pt idx="174">
                  <c:v>1.4484243304663672E-12</c:v>
                </c:pt>
                <c:pt idx="175">
                  <c:v>1.4484243304663672E-12</c:v>
                </c:pt>
                <c:pt idx="176">
                  <c:v>1.4484243304663672E-12</c:v>
                </c:pt>
                <c:pt idx="177">
                  <c:v>1.4484243304663672E-12</c:v>
                </c:pt>
                <c:pt idx="178">
                  <c:v>1.4484243304663672E-12</c:v>
                </c:pt>
                <c:pt idx="179">
                  <c:v>1.4484243304663672E-12</c:v>
                </c:pt>
                <c:pt idx="180">
                  <c:v>1.4484243304663672E-12</c:v>
                </c:pt>
                <c:pt idx="181">
                  <c:v>1.4484243304663672E-12</c:v>
                </c:pt>
                <c:pt idx="182">
                  <c:v>1.4484243304663672E-12</c:v>
                </c:pt>
                <c:pt idx="183">
                  <c:v>1.4484243304663672E-12</c:v>
                </c:pt>
                <c:pt idx="184">
                  <c:v>1.4484243304663672E-12</c:v>
                </c:pt>
                <c:pt idx="185">
                  <c:v>1.4484243304663672E-12</c:v>
                </c:pt>
                <c:pt idx="186">
                  <c:v>1.4484243304663672E-12</c:v>
                </c:pt>
                <c:pt idx="187">
                  <c:v>1.4484243304663672E-12</c:v>
                </c:pt>
                <c:pt idx="188">
                  <c:v>1.4484243304663672E-12</c:v>
                </c:pt>
                <c:pt idx="189">
                  <c:v>1.4484243304663672E-12</c:v>
                </c:pt>
                <c:pt idx="190">
                  <c:v>1.4484243304663672E-12</c:v>
                </c:pt>
                <c:pt idx="191">
                  <c:v>1.4484243304663672E-12</c:v>
                </c:pt>
                <c:pt idx="192">
                  <c:v>1.4484243304663672E-12</c:v>
                </c:pt>
                <c:pt idx="193">
                  <c:v>1.4484243304663672E-12</c:v>
                </c:pt>
                <c:pt idx="194">
                  <c:v>1.4484243304663672E-12</c:v>
                </c:pt>
                <c:pt idx="195">
                  <c:v>1.4484243304663672E-12</c:v>
                </c:pt>
                <c:pt idx="196">
                  <c:v>1.4484243304663672E-12</c:v>
                </c:pt>
                <c:pt idx="197">
                  <c:v>1.4484243304663672E-12</c:v>
                </c:pt>
                <c:pt idx="198">
                  <c:v>1.4484243304663672E-12</c:v>
                </c:pt>
                <c:pt idx="199">
                  <c:v>1.4484243304663672E-12</c:v>
                </c:pt>
                <c:pt idx="200">
                  <c:v>1.4484243304663672E-12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21315504"/>
        <c:axId val="-621314960"/>
      </c:scatterChart>
      <c:valAx>
        <c:axId val="-621315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21314960"/>
        <c:crosses val="autoZero"/>
        <c:crossBetween val="midCat"/>
      </c:valAx>
      <c:valAx>
        <c:axId val="-621314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21315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2.7080039376933152</c:v>
                </c:pt>
                <c:pt idx="2">
                  <c:v>3.5930625406193339</c:v>
                </c:pt>
                <c:pt idx="3">
                  <c:v>4.7685673694912243</c:v>
                </c:pt>
                <c:pt idx="4">
                  <c:v>6.3301979427399298</c:v>
                </c:pt>
                <c:pt idx="5">
                  <c:v>8.4052649664590611</c:v>
                </c:pt>
                <c:pt idx="6">
                  <c:v>11.163201820690032</c:v>
                </c:pt>
                <c:pt idx="7">
                  <c:v>14.829546369510851</c:v>
                </c:pt>
                <c:pt idx="8">
                  <c:v>19.704577452383194</c:v>
                </c:pt>
                <c:pt idx="9">
                  <c:v>26.188159806888876</c:v>
                </c:pt>
                <c:pt idx="10">
                  <c:v>34.812871081882669</c:v>
                </c:pt>
                <c:pt idx="11">
                  <c:v>60.664018535819736</c:v>
                </c:pt>
                <c:pt idx="12">
                  <c:v>86.220456011521705</c:v>
                </c:pt>
                <c:pt idx="13">
                  <c:v>111.58417594797608</c:v>
                </c:pt>
                <c:pt idx="14">
                  <c:v>136.80564128235048</c:v>
                </c:pt>
                <c:pt idx="15">
                  <c:v>161.91490916379078</c:v>
                </c:pt>
                <c:pt idx="16">
                  <c:v>189.72179649417237</c:v>
                </c:pt>
                <c:pt idx="17">
                  <c:v>217.43359129182582</c:v>
                </c:pt>
                <c:pt idx="18">
                  <c:v>245.06412551034919</c:v>
                </c:pt>
                <c:pt idx="19">
                  <c:v>272.62384956577989</c:v>
                </c:pt>
                <c:pt idx="20">
                  <c:v>300.12092542094678</c:v>
                </c:pt>
                <c:pt idx="21">
                  <c:v>173.41596585560683</c:v>
                </c:pt>
                <c:pt idx="22">
                  <c:v>202.28203779347825</c:v>
                </c:pt>
                <c:pt idx="23">
                  <c:v>231.05261384386529</c:v>
                </c:pt>
                <c:pt idx="24">
                  <c:v>259.74126239022559</c:v>
                </c:pt>
                <c:pt idx="25">
                  <c:v>288.35830325418613</c:v>
                </c:pt>
                <c:pt idx="26">
                  <c:v>316.36721565925205</c:v>
                </c:pt>
                <c:pt idx="27">
                  <c:v>344.32119451020958</c:v>
                </c:pt>
                <c:pt idx="28">
                  <c:v>372.22532259779024</c:v>
                </c:pt>
                <c:pt idx="29">
                  <c:v>400.08385864256996</c:v>
                </c:pt>
                <c:pt idx="30">
                  <c:v>427.90042017628565</c:v>
                </c:pt>
                <c:pt idx="31">
                  <c:v>311.12415475249094</c:v>
                </c:pt>
                <c:pt idx="32">
                  <c:v>336.91265856454464</c:v>
                </c:pt>
                <c:pt idx="33">
                  <c:v>362.65771103560229</c:v>
                </c:pt>
                <c:pt idx="34">
                  <c:v>388.3628277627119</c:v>
                </c:pt>
                <c:pt idx="35">
                  <c:v>414.03102119238071</c:v>
                </c:pt>
                <c:pt idx="36">
                  <c:v>436.48781208821373</c:v>
                </c:pt>
                <c:pt idx="37">
                  <c:v>458.91982014674477</c:v>
                </c:pt>
                <c:pt idx="38">
                  <c:v>481.32842611398883</c:v>
                </c:pt>
                <c:pt idx="39">
                  <c:v>503.71487178594833</c:v>
                </c:pt>
                <c:pt idx="40">
                  <c:v>526.08027967047417</c:v>
                </c:pt>
                <c:pt idx="41">
                  <c:v>406.72020501470411</c:v>
                </c:pt>
                <c:pt idx="42">
                  <c:v>425.972821892892</c:v>
                </c:pt>
                <c:pt idx="43">
                  <c:v>445.2067281132031</c:v>
                </c:pt>
                <c:pt idx="44">
                  <c:v>464.42284528573401</c:v>
                </c:pt>
                <c:pt idx="45">
                  <c:v>483.62201257744277</c:v>
                </c:pt>
                <c:pt idx="46">
                  <c:v>500.10886739874542</c:v>
                </c:pt>
                <c:pt idx="47">
                  <c:v>516.58422038800654</c:v>
                </c:pt>
                <c:pt idx="48">
                  <c:v>533.04848984160117</c:v>
                </c:pt>
                <c:pt idx="49">
                  <c:v>549.50206612243062</c:v>
                </c:pt>
                <c:pt idx="50">
                  <c:v>565.94531432305905</c:v>
                </c:pt>
                <c:pt idx="51">
                  <c:v>500.31108778131488</c:v>
                </c:pt>
                <c:pt idx="52">
                  <c:v>514.63067576927051</c:v>
                </c:pt>
                <c:pt idx="53">
                  <c:v>528.9418556817817</c:v>
                </c:pt>
                <c:pt idx="54">
                  <c:v>543.24488697768572</c:v>
                </c:pt>
                <c:pt idx="55">
                  <c:v>557.54001434426493</c:v>
                </c:pt>
                <c:pt idx="56">
                  <c:v>569.81087330219225</c:v>
                </c:pt>
                <c:pt idx="57">
                  <c:v>582.07621218003862</c:v>
                </c:pt>
                <c:pt idx="58">
                  <c:v>594.33616365495243</c:v>
                </c:pt>
                <c:pt idx="59">
                  <c:v>606.59085448568192</c:v>
                </c:pt>
                <c:pt idx="60">
                  <c:v>618.84040589332631</c:v>
                </c:pt>
                <c:pt idx="61">
                  <c:v>570.14698291036541</c:v>
                </c:pt>
                <c:pt idx="62">
                  <c:v>580.39635013312909</c:v>
                </c:pt>
                <c:pt idx="63">
                  <c:v>590.64194324033883</c:v>
                </c:pt>
                <c:pt idx="64">
                  <c:v>600.88383692097671</c:v>
                </c:pt>
                <c:pt idx="65">
                  <c:v>611.12210311064825</c:v>
                </c:pt>
                <c:pt idx="66">
                  <c:v>619.74633616183473</c:v>
                </c:pt>
                <c:pt idx="67">
                  <c:v>628.36808302354723</c:v>
                </c:pt>
                <c:pt idx="68">
                  <c:v>636.98738261624953</c:v>
                </c:pt>
                <c:pt idx="69">
                  <c:v>645.60427272129652</c:v>
                </c:pt>
                <c:pt idx="70">
                  <c:v>654.21879002935805</c:v>
                </c:pt>
                <c:pt idx="71">
                  <c:v>610.551539916406</c:v>
                </c:pt>
                <c:pt idx="72">
                  <c:v>618.70619166521715</c:v>
                </c:pt>
                <c:pt idx="73">
                  <c:v>626.85861645701573</c:v>
                </c:pt>
                <c:pt idx="74">
                  <c:v>635.00884733733517</c:v>
                </c:pt>
                <c:pt idx="75">
                  <c:v>643.15691643428784</c:v>
                </c:pt>
                <c:pt idx="76">
                  <c:v>650.02914381364258</c:v>
                </c:pt>
                <c:pt idx="77">
                  <c:v>656.89987320337946</c:v>
                </c:pt>
                <c:pt idx="78">
                  <c:v>663.7691224815411</c:v>
                </c:pt>
                <c:pt idx="79">
                  <c:v>670.63690912595075</c:v>
                </c:pt>
                <c:pt idx="80">
                  <c:v>677.50325022726634</c:v>
                </c:pt>
                <c:pt idx="81">
                  <c:v>8.7804887266415556E-12</c:v>
                </c:pt>
                <c:pt idx="82">
                  <c:v>8.7804887266415556E-12</c:v>
                </c:pt>
                <c:pt idx="83">
                  <c:v>8.7804887266415556E-12</c:v>
                </c:pt>
                <c:pt idx="84">
                  <c:v>8.7804887266415556E-12</c:v>
                </c:pt>
                <c:pt idx="85">
                  <c:v>8.7804887266415556E-12</c:v>
                </c:pt>
                <c:pt idx="86">
                  <c:v>8.7804887266415556E-12</c:v>
                </c:pt>
                <c:pt idx="87">
                  <c:v>8.7804887266415556E-12</c:v>
                </c:pt>
                <c:pt idx="88">
                  <c:v>8.7804887266415556E-12</c:v>
                </c:pt>
                <c:pt idx="89">
                  <c:v>8.7804887266415556E-12</c:v>
                </c:pt>
                <c:pt idx="90">
                  <c:v>8.7804887266415556E-12</c:v>
                </c:pt>
                <c:pt idx="91">
                  <c:v>8.7804887266415556E-12</c:v>
                </c:pt>
                <c:pt idx="92">
                  <c:v>8.7804887266415556E-12</c:v>
                </c:pt>
                <c:pt idx="93">
                  <c:v>8.7804887266415556E-12</c:v>
                </c:pt>
                <c:pt idx="94">
                  <c:v>8.7804887266415556E-12</c:v>
                </c:pt>
                <c:pt idx="95">
                  <c:v>8.7804887266415556E-12</c:v>
                </c:pt>
                <c:pt idx="96">
                  <c:v>8.7804887266415556E-12</c:v>
                </c:pt>
                <c:pt idx="97">
                  <c:v>8.7804887266415556E-12</c:v>
                </c:pt>
                <c:pt idx="98">
                  <c:v>8.7804887266415556E-12</c:v>
                </c:pt>
                <c:pt idx="99">
                  <c:v>8.7804887266415556E-12</c:v>
                </c:pt>
                <c:pt idx="100">
                  <c:v>8.7804887266415556E-12</c:v>
                </c:pt>
                <c:pt idx="101">
                  <c:v>8.7804887266415556E-12</c:v>
                </c:pt>
                <c:pt idx="102">
                  <c:v>8.7804887266415556E-12</c:v>
                </c:pt>
                <c:pt idx="103">
                  <c:v>8.7804887266415556E-12</c:v>
                </c:pt>
                <c:pt idx="104">
                  <c:v>8.7804887266415556E-12</c:v>
                </c:pt>
                <c:pt idx="105">
                  <c:v>8.7804887266415556E-12</c:v>
                </c:pt>
                <c:pt idx="106">
                  <c:v>8.7804887266415556E-12</c:v>
                </c:pt>
                <c:pt idx="107">
                  <c:v>8.7804887266415556E-12</c:v>
                </c:pt>
                <c:pt idx="108">
                  <c:v>8.7804887266415556E-12</c:v>
                </c:pt>
                <c:pt idx="109">
                  <c:v>8.7804887266415556E-12</c:v>
                </c:pt>
                <c:pt idx="110">
                  <c:v>8.7804887266415556E-12</c:v>
                </c:pt>
                <c:pt idx="111">
                  <c:v>8.7804887266415556E-12</c:v>
                </c:pt>
                <c:pt idx="112">
                  <c:v>8.7804887266415556E-12</c:v>
                </c:pt>
                <c:pt idx="113">
                  <c:v>8.7804887266415556E-12</c:v>
                </c:pt>
                <c:pt idx="114">
                  <c:v>8.7804887266415556E-12</c:v>
                </c:pt>
                <c:pt idx="115">
                  <c:v>8.7804887266415556E-12</c:v>
                </c:pt>
                <c:pt idx="116">
                  <c:v>8.7804887266415556E-12</c:v>
                </c:pt>
                <c:pt idx="117">
                  <c:v>8.7804887266415556E-12</c:v>
                </c:pt>
                <c:pt idx="118">
                  <c:v>8.7804887266415556E-12</c:v>
                </c:pt>
                <c:pt idx="119">
                  <c:v>8.7804887266415556E-12</c:v>
                </c:pt>
                <c:pt idx="120">
                  <c:v>8.7804887266415556E-12</c:v>
                </c:pt>
                <c:pt idx="121">
                  <c:v>8.7804887266415556E-12</c:v>
                </c:pt>
                <c:pt idx="122">
                  <c:v>8.7804887266415556E-12</c:v>
                </c:pt>
                <c:pt idx="123">
                  <c:v>8.7804887266415556E-12</c:v>
                </c:pt>
                <c:pt idx="124">
                  <c:v>8.7804887266415556E-12</c:v>
                </c:pt>
                <c:pt idx="125">
                  <c:v>8.7804887266415556E-12</c:v>
                </c:pt>
                <c:pt idx="126">
                  <c:v>8.7804887266415556E-12</c:v>
                </c:pt>
                <c:pt idx="127">
                  <c:v>8.7804887266415556E-12</c:v>
                </c:pt>
                <c:pt idx="128">
                  <c:v>8.7804887266415556E-12</c:v>
                </c:pt>
                <c:pt idx="129">
                  <c:v>8.7804887266415556E-12</c:v>
                </c:pt>
                <c:pt idx="130">
                  <c:v>8.7804887266415556E-12</c:v>
                </c:pt>
                <c:pt idx="131">
                  <c:v>8.7804887266415556E-12</c:v>
                </c:pt>
                <c:pt idx="132">
                  <c:v>8.7804887266415556E-12</c:v>
                </c:pt>
                <c:pt idx="133">
                  <c:v>8.7804887266415556E-12</c:v>
                </c:pt>
                <c:pt idx="134">
                  <c:v>8.7804887266415556E-12</c:v>
                </c:pt>
                <c:pt idx="135">
                  <c:v>8.7804887266415556E-12</c:v>
                </c:pt>
                <c:pt idx="136">
                  <c:v>8.7804887266415556E-12</c:v>
                </c:pt>
                <c:pt idx="137">
                  <c:v>8.7804887266415556E-12</c:v>
                </c:pt>
                <c:pt idx="138">
                  <c:v>8.7804887266415556E-12</c:v>
                </c:pt>
                <c:pt idx="139">
                  <c:v>8.7804887266415556E-12</c:v>
                </c:pt>
                <c:pt idx="140">
                  <c:v>8.7804887266415556E-12</c:v>
                </c:pt>
                <c:pt idx="141">
                  <c:v>8.7804887266415556E-12</c:v>
                </c:pt>
                <c:pt idx="142">
                  <c:v>8.7804887266415556E-12</c:v>
                </c:pt>
                <c:pt idx="143">
                  <c:v>8.7804887266415556E-12</c:v>
                </c:pt>
                <c:pt idx="144">
                  <c:v>8.7804887266415556E-12</c:v>
                </c:pt>
                <c:pt idx="145">
                  <c:v>8.7804887266415556E-12</c:v>
                </c:pt>
                <c:pt idx="146">
                  <c:v>8.7804887266415556E-12</c:v>
                </c:pt>
                <c:pt idx="147">
                  <c:v>8.7804887266415556E-12</c:v>
                </c:pt>
                <c:pt idx="148">
                  <c:v>8.7804887266415556E-12</c:v>
                </c:pt>
                <c:pt idx="149">
                  <c:v>8.7804887266415556E-12</c:v>
                </c:pt>
                <c:pt idx="150">
                  <c:v>8.7804887266415556E-12</c:v>
                </c:pt>
                <c:pt idx="151">
                  <c:v>8.7804887266415556E-12</c:v>
                </c:pt>
                <c:pt idx="152">
                  <c:v>8.7804887266415556E-12</c:v>
                </c:pt>
                <c:pt idx="153">
                  <c:v>8.7804887266415556E-12</c:v>
                </c:pt>
                <c:pt idx="154">
                  <c:v>8.7804887266415556E-12</c:v>
                </c:pt>
                <c:pt idx="155">
                  <c:v>8.7804887266415556E-12</c:v>
                </c:pt>
                <c:pt idx="156">
                  <c:v>8.7804887266415556E-12</c:v>
                </c:pt>
                <c:pt idx="157">
                  <c:v>8.7804887266415556E-12</c:v>
                </c:pt>
                <c:pt idx="158">
                  <c:v>8.7804887266415556E-12</c:v>
                </c:pt>
                <c:pt idx="159">
                  <c:v>8.7804887266415556E-12</c:v>
                </c:pt>
                <c:pt idx="160">
                  <c:v>8.7804887266415556E-12</c:v>
                </c:pt>
                <c:pt idx="161">
                  <c:v>8.7804887266415556E-12</c:v>
                </c:pt>
                <c:pt idx="162">
                  <c:v>8.7804887266415556E-12</c:v>
                </c:pt>
                <c:pt idx="163">
                  <c:v>8.7804887266415556E-12</c:v>
                </c:pt>
                <c:pt idx="164">
                  <c:v>8.7804887266415556E-12</c:v>
                </c:pt>
                <c:pt idx="165">
                  <c:v>8.7804887266415556E-12</c:v>
                </c:pt>
                <c:pt idx="166">
                  <c:v>8.7804887266415556E-12</c:v>
                </c:pt>
                <c:pt idx="167">
                  <c:v>8.7804887266415556E-12</c:v>
                </c:pt>
                <c:pt idx="168">
                  <c:v>8.7804887266415556E-12</c:v>
                </c:pt>
                <c:pt idx="169">
                  <c:v>8.7804887266415556E-12</c:v>
                </c:pt>
                <c:pt idx="170">
                  <c:v>8.7804887266415556E-12</c:v>
                </c:pt>
                <c:pt idx="171">
                  <c:v>8.7804887266415556E-12</c:v>
                </c:pt>
                <c:pt idx="172">
                  <c:v>8.7804887266415556E-12</c:v>
                </c:pt>
                <c:pt idx="173">
                  <c:v>8.7804887266415556E-12</c:v>
                </c:pt>
                <c:pt idx="174">
                  <c:v>8.7804887266415556E-12</c:v>
                </c:pt>
                <c:pt idx="175">
                  <c:v>8.7804887266415556E-12</c:v>
                </c:pt>
                <c:pt idx="176">
                  <c:v>8.7804887266415556E-12</c:v>
                </c:pt>
                <c:pt idx="177">
                  <c:v>8.7804887266415556E-12</c:v>
                </c:pt>
                <c:pt idx="178">
                  <c:v>8.7804887266415556E-12</c:v>
                </c:pt>
                <c:pt idx="179">
                  <c:v>8.7804887266415556E-12</c:v>
                </c:pt>
                <c:pt idx="180">
                  <c:v>8.7804887266415556E-12</c:v>
                </c:pt>
                <c:pt idx="181">
                  <c:v>8.7804887266415556E-12</c:v>
                </c:pt>
                <c:pt idx="182">
                  <c:v>8.7804887266415556E-12</c:v>
                </c:pt>
                <c:pt idx="183">
                  <c:v>8.7804887266415556E-12</c:v>
                </c:pt>
                <c:pt idx="184">
                  <c:v>8.7804887266415556E-12</c:v>
                </c:pt>
                <c:pt idx="185">
                  <c:v>8.7804887266415556E-12</c:v>
                </c:pt>
                <c:pt idx="186">
                  <c:v>8.7804887266415556E-12</c:v>
                </c:pt>
                <c:pt idx="187">
                  <c:v>8.7804887266415556E-12</c:v>
                </c:pt>
                <c:pt idx="188">
                  <c:v>8.7804887266415556E-12</c:v>
                </c:pt>
                <c:pt idx="189">
                  <c:v>8.7804887266415556E-12</c:v>
                </c:pt>
                <c:pt idx="190">
                  <c:v>8.7804887266415556E-12</c:v>
                </c:pt>
                <c:pt idx="191">
                  <c:v>8.7804887266415556E-12</c:v>
                </c:pt>
                <c:pt idx="192">
                  <c:v>8.7804887266415556E-12</c:v>
                </c:pt>
                <c:pt idx="193">
                  <c:v>8.7804887266415556E-12</c:v>
                </c:pt>
                <c:pt idx="194">
                  <c:v>8.7804887266415556E-12</c:v>
                </c:pt>
                <c:pt idx="195">
                  <c:v>8.7804887266415556E-12</c:v>
                </c:pt>
                <c:pt idx="196">
                  <c:v>8.7804887266415556E-12</c:v>
                </c:pt>
                <c:pt idx="197">
                  <c:v>8.7804887266415556E-12</c:v>
                </c:pt>
                <c:pt idx="198">
                  <c:v>8.7804887266415556E-12</c:v>
                </c:pt>
                <c:pt idx="199">
                  <c:v>8.7804887266415556E-12</c:v>
                </c:pt>
                <c:pt idx="200">
                  <c:v>8.7804887266415556E-12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21313872"/>
        <c:axId val="-621329104"/>
      </c:scatterChart>
      <c:valAx>
        <c:axId val="-6213138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21329104"/>
        <c:crosses val="autoZero"/>
        <c:crossBetween val="midCat"/>
      </c:valAx>
      <c:valAx>
        <c:axId val="-621329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213138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87.672415653160499</c:v>
                </c:pt>
                <c:pt idx="17">
                  <c:v>104.14760645595801</c:v>
                </c:pt>
                <c:pt idx="18">
                  <c:v>120.55829551377816</c:v>
                </c:pt>
                <c:pt idx="19">
                  <c:v>136.9145198877824</c:v>
                </c:pt>
                <c:pt idx="20">
                  <c:v>153.22371186614834</c:v>
                </c:pt>
                <c:pt idx="21">
                  <c:v>166.10561630936709</c:v>
                </c:pt>
                <c:pt idx="22">
                  <c:v>184.03353707055842</c:v>
                </c:pt>
                <c:pt idx="23">
                  <c:v>201.92063702336614</c:v>
                </c:pt>
                <c:pt idx="24">
                  <c:v>219.77104210867901</c:v>
                </c:pt>
                <c:pt idx="25">
                  <c:v>237.58815254200749</c:v>
                </c:pt>
                <c:pt idx="26">
                  <c:v>169.32232688472158</c:v>
                </c:pt>
                <c:pt idx="27">
                  <c:v>188.76221470729047</c:v>
                </c:pt>
                <c:pt idx="28">
                  <c:v>208.15542061438953</c:v>
                </c:pt>
                <c:pt idx="29">
                  <c:v>227.50690659831912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263.58734797276014</c:v>
                </c:pt>
                <c:pt idx="35">
                  <c:v>282.83933776674911</c:v>
                </c:pt>
                <c:pt idx="36">
                  <c:v>302.06197856553018</c:v>
                </c:pt>
                <c:pt idx="37">
                  <c:v>321.25740024962437</c:v>
                </c:pt>
                <c:pt idx="38">
                  <c:v>279.73236813579507</c:v>
                </c:pt>
                <c:pt idx="39">
                  <c:v>298.36290228402572</c:v>
                </c:pt>
                <c:pt idx="40">
                  <c:v>316.96751977104663</c:v>
                </c:pt>
                <c:pt idx="41">
                  <c:v>335.54795535646372</c:v>
                </c:pt>
                <c:pt idx="42">
                  <c:v>354.10573601815048</c:v>
                </c:pt>
                <c:pt idx="43">
                  <c:v>372.64221565134471</c:v>
                </c:pt>
                <c:pt idx="44">
                  <c:v>391.15860250001066</c:v>
                </c:pt>
                <c:pt idx="45">
                  <c:v>336.88699770815003</c:v>
                </c:pt>
                <c:pt idx="46">
                  <c:v>354.16518115704031</c:v>
                </c:pt>
                <c:pt idx="47">
                  <c:v>371.42490308727605</c:v>
                </c:pt>
                <c:pt idx="48">
                  <c:v>388.66714186934956</c:v>
                </c:pt>
                <c:pt idx="49">
                  <c:v>405.89278200614257</c:v>
                </c:pt>
                <c:pt idx="50">
                  <c:v>423.1026268227929</c:v>
                </c:pt>
                <c:pt idx="51">
                  <c:v>440.29740898417259</c:v>
                </c:pt>
                <c:pt idx="52">
                  <c:v>457.47779928386598</c:v>
                </c:pt>
                <c:pt idx="53">
                  <c:v>393.44213889474253</c:v>
                </c:pt>
                <c:pt idx="54">
                  <c:v>409.00414204035161</c:v>
                </c:pt>
                <c:pt idx="55">
                  <c:v>424.55336102424576</c:v>
                </c:pt>
                <c:pt idx="56">
                  <c:v>440.09032987714431</c:v>
                </c:pt>
                <c:pt idx="57">
                  <c:v>455.61554185670815</c:v>
                </c:pt>
                <c:pt idx="58">
                  <c:v>471.12945387268002</c:v>
                </c:pt>
                <c:pt idx="59">
                  <c:v>486.63249029889352</c:v>
                </c:pt>
                <c:pt idx="60">
                  <c:v>502.12504627431412</c:v>
                </c:pt>
                <c:pt idx="61">
                  <c:v>438.70974904240546</c:v>
                </c:pt>
                <c:pt idx="62">
                  <c:v>453.06329508642131</c:v>
                </c:pt>
                <c:pt idx="63">
                  <c:v>467.40712233198587</c:v>
                </c:pt>
                <c:pt idx="64">
                  <c:v>481.74157097323291</c:v>
                </c:pt>
                <c:pt idx="65">
                  <c:v>496.06695931286299</c:v>
                </c:pt>
                <c:pt idx="66">
                  <c:v>510.38358577553487</c:v>
                </c:pt>
                <c:pt idx="67">
                  <c:v>524.69173068364421</c:v>
                </c:pt>
                <c:pt idx="68">
                  <c:v>538.99165782937473</c:v>
                </c:pt>
                <c:pt idx="69">
                  <c:v>553.28361587129064</c:v>
                </c:pt>
                <c:pt idx="70">
                  <c:v>2.5073107750038623E-12</c:v>
                </c:pt>
                <c:pt idx="71">
                  <c:v>2.5073107750038623E-12</c:v>
                </c:pt>
                <c:pt idx="72">
                  <c:v>2.5073107750038623E-12</c:v>
                </c:pt>
                <c:pt idx="73">
                  <c:v>2.5073107750038623E-12</c:v>
                </c:pt>
                <c:pt idx="74">
                  <c:v>2.5073107750038623E-12</c:v>
                </c:pt>
                <c:pt idx="75">
                  <c:v>2.5073107750038623E-12</c:v>
                </c:pt>
                <c:pt idx="76">
                  <c:v>2.5073107750038623E-12</c:v>
                </c:pt>
                <c:pt idx="77">
                  <c:v>2.5073107750038623E-12</c:v>
                </c:pt>
                <c:pt idx="78">
                  <c:v>2.5073107750038623E-12</c:v>
                </c:pt>
                <c:pt idx="79">
                  <c:v>2.5073107750038623E-12</c:v>
                </c:pt>
                <c:pt idx="80">
                  <c:v>2.5073107750038623E-12</c:v>
                </c:pt>
                <c:pt idx="81">
                  <c:v>2.5073107750038623E-12</c:v>
                </c:pt>
                <c:pt idx="82">
                  <c:v>2.5073107750038623E-12</c:v>
                </c:pt>
                <c:pt idx="83">
                  <c:v>2.5073107750038623E-12</c:v>
                </c:pt>
                <c:pt idx="84">
                  <c:v>2.5073107750038623E-12</c:v>
                </c:pt>
                <c:pt idx="85">
                  <c:v>2.5073107750038623E-12</c:v>
                </c:pt>
                <c:pt idx="86">
                  <c:v>2.5073107750038623E-12</c:v>
                </c:pt>
                <c:pt idx="87">
                  <c:v>2.5073107750038623E-12</c:v>
                </c:pt>
                <c:pt idx="88">
                  <c:v>2.5073107750038623E-12</c:v>
                </c:pt>
                <c:pt idx="89">
                  <c:v>2.5073107750038623E-12</c:v>
                </c:pt>
                <c:pt idx="90">
                  <c:v>2.5073107750038623E-12</c:v>
                </c:pt>
                <c:pt idx="91">
                  <c:v>2.5073107750038623E-12</c:v>
                </c:pt>
                <c:pt idx="92">
                  <c:v>2.5073107750038623E-12</c:v>
                </c:pt>
                <c:pt idx="93">
                  <c:v>2.5073107750038623E-12</c:v>
                </c:pt>
                <c:pt idx="94">
                  <c:v>2.5073107750038623E-12</c:v>
                </c:pt>
                <c:pt idx="95">
                  <c:v>2.5073107750038623E-12</c:v>
                </c:pt>
                <c:pt idx="96">
                  <c:v>2.5073107750038623E-12</c:v>
                </c:pt>
                <c:pt idx="97">
                  <c:v>2.5073107750038623E-12</c:v>
                </c:pt>
                <c:pt idx="98">
                  <c:v>2.5073107750038623E-12</c:v>
                </c:pt>
                <c:pt idx="99">
                  <c:v>2.5073107750038623E-12</c:v>
                </c:pt>
                <c:pt idx="100">
                  <c:v>2.5073107750038623E-12</c:v>
                </c:pt>
                <c:pt idx="101">
                  <c:v>2.5073107750038623E-12</c:v>
                </c:pt>
                <c:pt idx="102">
                  <c:v>2.5073107750038623E-12</c:v>
                </c:pt>
                <c:pt idx="103">
                  <c:v>2.5073107750038623E-12</c:v>
                </c:pt>
                <c:pt idx="104">
                  <c:v>2.5073107750038623E-12</c:v>
                </c:pt>
                <c:pt idx="105">
                  <c:v>2.5073107750038623E-12</c:v>
                </c:pt>
                <c:pt idx="106">
                  <c:v>2.5073107750038623E-12</c:v>
                </c:pt>
                <c:pt idx="107">
                  <c:v>2.5073107750038623E-12</c:v>
                </c:pt>
                <c:pt idx="108">
                  <c:v>2.5073107750038623E-12</c:v>
                </c:pt>
                <c:pt idx="109">
                  <c:v>2.5073107750038623E-12</c:v>
                </c:pt>
                <c:pt idx="110">
                  <c:v>2.5073107750038623E-12</c:v>
                </c:pt>
                <c:pt idx="111">
                  <c:v>2.5073107750038623E-12</c:v>
                </c:pt>
                <c:pt idx="112">
                  <c:v>2.5073107750038623E-12</c:v>
                </c:pt>
                <c:pt idx="113">
                  <c:v>2.5073107750038623E-12</c:v>
                </c:pt>
                <c:pt idx="114">
                  <c:v>2.5073107750038623E-12</c:v>
                </c:pt>
                <c:pt idx="115">
                  <c:v>2.5073107750038623E-12</c:v>
                </c:pt>
                <c:pt idx="116">
                  <c:v>2.5073107750038623E-12</c:v>
                </c:pt>
                <c:pt idx="117">
                  <c:v>2.5073107750038623E-12</c:v>
                </c:pt>
                <c:pt idx="118">
                  <c:v>2.5073107750038623E-12</c:v>
                </c:pt>
                <c:pt idx="119">
                  <c:v>2.5073107750038623E-12</c:v>
                </c:pt>
                <c:pt idx="120">
                  <c:v>2.5073107750038623E-12</c:v>
                </c:pt>
                <c:pt idx="121">
                  <c:v>2.5073107750038623E-12</c:v>
                </c:pt>
                <c:pt idx="122">
                  <c:v>2.5073107750038623E-12</c:v>
                </c:pt>
                <c:pt idx="123">
                  <c:v>2.5073107750038623E-12</c:v>
                </c:pt>
                <c:pt idx="124">
                  <c:v>2.5073107750038623E-12</c:v>
                </c:pt>
                <c:pt idx="125">
                  <c:v>2.5073107750038623E-12</c:v>
                </c:pt>
                <c:pt idx="126">
                  <c:v>2.5073107750038623E-12</c:v>
                </c:pt>
                <c:pt idx="127">
                  <c:v>2.5073107750038623E-12</c:v>
                </c:pt>
                <c:pt idx="128">
                  <c:v>2.5073107750038623E-12</c:v>
                </c:pt>
                <c:pt idx="129">
                  <c:v>2.5073107750038623E-12</c:v>
                </c:pt>
                <c:pt idx="130">
                  <c:v>2.5073107750038623E-12</c:v>
                </c:pt>
                <c:pt idx="131">
                  <c:v>2.5073107750038623E-12</c:v>
                </c:pt>
                <c:pt idx="132">
                  <c:v>2.5073107750038623E-12</c:v>
                </c:pt>
                <c:pt idx="133">
                  <c:v>2.5073107750038623E-12</c:v>
                </c:pt>
                <c:pt idx="134">
                  <c:v>2.5073107750038623E-12</c:v>
                </c:pt>
                <c:pt idx="135">
                  <c:v>2.5073107750038623E-12</c:v>
                </c:pt>
                <c:pt idx="136">
                  <c:v>2.5073107750038623E-12</c:v>
                </c:pt>
                <c:pt idx="137">
                  <c:v>2.5073107750038623E-12</c:v>
                </c:pt>
                <c:pt idx="138">
                  <c:v>2.5073107750038623E-12</c:v>
                </c:pt>
                <c:pt idx="139">
                  <c:v>2.5073107750038623E-12</c:v>
                </c:pt>
                <c:pt idx="140">
                  <c:v>2.5073107750038623E-12</c:v>
                </c:pt>
                <c:pt idx="141">
                  <c:v>2.5073107750038623E-12</c:v>
                </c:pt>
                <c:pt idx="142">
                  <c:v>2.5073107750038623E-12</c:v>
                </c:pt>
                <c:pt idx="143">
                  <c:v>2.5073107750038623E-12</c:v>
                </c:pt>
                <c:pt idx="144">
                  <c:v>2.5073107750038623E-12</c:v>
                </c:pt>
                <c:pt idx="145">
                  <c:v>2.5073107750038623E-12</c:v>
                </c:pt>
                <c:pt idx="146">
                  <c:v>2.5073107750038623E-12</c:v>
                </c:pt>
                <c:pt idx="147">
                  <c:v>2.5073107750038623E-12</c:v>
                </c:pt>
                <c:pt idx="148">
                  <c:v>2.5073107750038623E-12</c:v>
                </c:pt>
                <c:pt idx="149">
                  <c:v>2.5073107750038623E-12</c:v>
                </c:pt>
                <c:pt idx="150">
                  <c:v>2.5073107750038623E-12</c:v>
                </c:pt>
                <c:pt idx="151">
                  <c:v>2.5073107750038623E-12</c:v>
                </c:pt>
                <c:pt idx="152">
                  <c:v>2.5073107750038623E-12</c:v>
                </c:pt>
                <c:pt idx="153">
                  <c:v>2.5073107750038623E-12</c:v>
                </c:pt>
                <c:pt idx="154">
                  <c:v>2.5073107750038623E-12</c:v>
                </c:pt>
                <c:pt idx="155">
                  <c:v>2.5073107750038623E-12</c:v>
                </c:pt>
                <c:pt idx="156">
                  <c:v>2.5073107750038623E-12</c:v>
                </c:pt>
                <c:pt idx="157">
                  <c:v>2.5073107750038623E-12</c:v>
                </c:pt>
                <c:pt idx="158">
                  <c:v>2.5073107750038623E-12</c:v>
                </c:pt>
                <c:pt idx="159">
                  <c:v>2.5073107750038623E-12</c:v>
                </c:pt>
                <c:pt idx="160">
                  <c:v>2.5073107750038623E-12</c:v>
                </c:pt>
                <c:pt idx="161">
                  <c:v>2.5073107750038623E-12</c:v>
                </c:pt>
                <c:pt idx="162">
                  <c:v>2.5073107750038623E-12</c:v>
                </c:pt>
                <c:pt idx="163">
                  <c:v>2.5073107750038623E-12</c:v>
                </c:pt>
                <c:pt idx="164">
                  <c:v>2.5073107750038623E-12</c:v>
                </c:pt>
                <c:pt idx="165">
                  <c:v>2.5073107750038623E-12</c:v>
                </c:pt>
                <c:pt idx="166">
                  <c:v>2.5073107750038623E-12</c:v>
                </c:pt>
                <c:pt idx="167">
                  <c:v>2.5073107750038623E-12</c:v>
                </c:pt>
                <c:pt idx="168">
                  <c:v>2.5073107750038623E-12</c:v>
                </c:pt>
                <c:pt idx="169">
                  <c:v>2.5073107750038623E-12</c:v>
                </c:pt>
                <c:pt idx="170">
                  <c:v>2.5073107750038623E-12</c:v>
                </c:pt>
                <c:pt idx="171">
                  <c:v>2.5073107750038623E-12</c:v>
                </c:pt>
                <c:pt idx="172">
                  <c:v>2.5073107750038623E-12</c:v>
                </c:pt>
                <c:pt idx="173">
                  <c:v>2.5073107750038623E-12</c:v>
                </c:pt>
                <c:pt idx="174">
                  <c:v>2.5073107750038623E-12</c:v>
                </c:pt>
                <c:pt idx="175">
                  <c:v>2.5073107750038623E-12</c:v>
                </c:pt>
                <c:pt idx="176">
                  <c:v>2.5073107750038623E-12</c:v>
                </c:pt>
                <c:pt idx="177">
                  <c:v>2.5073107750038623E-12</c:v>
                </c:pt>
                <c:pt idx="178">
                  <c:v>2.5073107750038623E-12</c:v>
                </c:pt>
                <c:pt idx="179">
                  <c:v>2.5073107750038623E-12</c:v>
                </c:pt>
                <c:pt idx="180">
                  <c:v>2.5073107750038623E-12</c:v>
                </c:pt>
                <c:pt idx="181">
                  <c:v>2.5073107750038623E-12</c:v>
                </c:pt>
                <c:pt idx="182">
                  <c:v>2.5073107750038623E-12</c:v>
                </c:pt>
                <c:pt idx="183">
                  <c:v>2.5073107750038623E-12</c:v>
                </c:pt>
                <c:pt idx="184">
                  <c:v>2.5073107750038623E-12</c:v>
                </c:pt>
                <c:pt idx="185">
                  <c:v>2.5073107750038623E-12</c:v>
                </c:pt>
                <c:pt idx="186">
                  <c:v>2.5073107750038623E-12</c:v>
                </c:pt>
                <c:pt idx="187">
                  <c:v>2.5073107750038623E-12</c:v>
                </c:pt>
                <c:pt idx="188">
                  <c:v>2.5073107750038623E-12</c:v>
                </c:pt>
                <c:pt idx="189">
                  <c:v>2.5073107750038623E-12</c:v>
                </c:pt>
                <c:pt idx="190">
                  <c:v>2.5073107750038623E-12</c:v>
                </c:pt>
                <c:pt idx="191">
                  <c:v>2.5073107750038623E-12</c:v>
                </c:pt>
                <c:pt idx="192">
                  <c:v>2.5073107750038623E-12</c:v>
                </c:pt>
                <c:pt idx="193">
                  <c:v>2.5073107750038623E-12</c:v>
                </c:pt>
                <c:pt idx="194">
                  <c:v>2.5073107750038623E-12</c:v>
                </c:pt>
                <c:pt idx="195">
                  <c:v>2.5073107750038623E-12</c:v>
                </c:pt>
                <c:pt idx="196">
                  <c:v>2.5073107750038623E-12</c:v>
                </c:pt>
                <c:pt idx="197">
                  <c:v>2.5073107750038623E-12</c:v>
                </c:pt>
                <c:pt idx="198">
                  <c:v>2.5073107750038623E-12</c:v>
                </c:pt>
                <c:pt idx="199">
                  <c:v>2.5073107750038623E-12</c:v>
                </c:pt>
                <c:pt idx="200">
                  <c:v>2.5073107750038623E-12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48042224"/>
        <c:axId val="-648031888"/>
      </c:scatterChart>
      <c:valAx>
        <c:axId val="-6480422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48031888"/>
        <c:crosses val="autoZero"/>
        <c:crossBetween val="midCat"/>
      </c:valAx>
      <c:valAx>
        <c:axId val="-648031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48042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2.5030932986439507</c:v>
                </c:pt>
                <c:pt idx="2">
                  <c:v>3.3209497054752402</c:v>
                </c:pt>
                <c:pt idx="3">
                  <c:v>4.4071275000356946</c:v>
                </c:pt>
                <c:pt idx="4">
                  <c:v>5.8499958412336142</c:v>
                </c:pt>
                <c:pt idx="5">
                  <c:v>7.767131585627518</c:v>
                </c:pt>
                <c:pt idx="6">
                  <c:v>10.315004895231578</c:v>
                </c:pt>
                <c:pt idx="7">
                  <c:v>13.70188644422773</c:v>
                </c:pt>
                <c:pt idx="8">
                  <c:v>18.205050747272541</c:v>
                </c:pt>
                <c:pt idx="9">
                  <c:v>24.193709424337229</c:v>
                </c:pt>
                <c:pt idx="10">
                  <c:v>32.159587919187722</c:v>
                </c:pt>
                <c:pt idx="11">
                  <c:v>56.033892770395447</c:v>
                </c:pt>
                <c:pt idx="12">
                  <c:v>79.634007692017406</c:v>
                </c:pt>
                <c:pt idx="13">
                  <c:v>103.0548235996301</c:v>
                </c:pt>
                <c:pt idx="14">
                  <c:v>126.3432898000454</c:v>
                </c:pt>
                <c:pt idx="15">
                  <c:v>149.52737062503533</c:v>
                </c:pt>
                <c:pt idx="16">
                  <c:v>175.20147939702699</c:v>
                </c:pt>
                <c:pt idx="17">
                  <c:v>200.78711673344321</c:v>
                </c:pt>
                <c:pt idx="18">
                  <c:v>226.29715149744834</c:v>
                </c:pt>
                <c:pt idx="19">
                  <c:v>251.74130646414019</c:v>
                </c:pt>
                <c:pt idx="20">
                  <c:v>277.12717529569051</c:v>
                </c:pt>
                <c:pt idx="21">
                  <c:v>160.14638940697634</c:v>
                </c:pt>
                <c:pt idx="22">
                  <c:v>186.79812680665438</c:v>
                </c:pt>
                <c:pt idx="23">
                  <c:v>213.36101750076145</c:v>
                </c:pt>
                <c:pt idx="24">
                  <c:v>239.84768513416745</c:v>
                </c:pt>
                <c:pt idx="25">
                  <c:v>266.26773098057936</c:v>
                </c:pt>
                <c:pt idx="26">
                  <c:v>292.12589466868832</c:v>
                </c:pt>
                <c:pt idx="27">
                  <c:v>317.93294971289231</c:v>
                </c:pt>
                <c:pt idx="28">
                  <c:v>343.69362499967519</c:v>
                </c:pt>
                <c:pt idx="29">
                  <c:v>369.41188272367276</c:v>
                </c:pt>
                <c:pt idx="30">
                  <c:v>395.09108853533945</c:v>
                </c:pt>
                <c:pt idx="31">
                  <c:v>287.28546914138258</c:v>
                </c:pt>
                <c:pt idx="32">
                  <c:v>311.09344098776637</c:v>
                </c:pt>
                <c:pt idx="33">
                  <c:v>334.86098692051297</c:v>
                </c:pt>
                <c:pt idx="34">
                  <c:v>358.59137775289059</c:v>
                </c:pt>
                <c:pt idx="35">
                  <c:v>382.28741618096211</c:v>
                </c:pt>
                <c:pt idx="36">
                  <c:v>403.01858888454734</c:v>
                </c:pt>
                <c:pt idx="37">
                  <c:v>423.72670432873662</c:v>
                </c:pt>
                <c:pt idx="38">
                  <c:v>444.4130471210442</c:v>
                </c:pt>
                <c:pt idx="39">
                  <c:v>465.07877259377528</c:v>
                </c:pt>
                <c:pt idx="40">
                  <c:v>485.72492509687146</c:v>
                </c:pt>
                <c:pt idx="41">
                  <c:v>375.53833525159166</c:v>
                </c:pt>
                <c:pt idx="42">
                  <c:v>393.31161141324105</c:v>
                </c:pt>
                <c:pt idx="43">
                  <c:v>411.06747970157562</c:v>
                </c:pt>
                <c:pt idx="44">
                  <c:v>428.80679755687942</c:v>
                </c:pt>
                <c:pt idx="45">
                  <c:v>446.53034571664426</c:v>
                </c:pt>
                <c:pt idx="46">
                  <c:v>461.74995197970702</c:v>
                </c:pt>
                <c:pt idx="47">
                  <c:v>476.95885725959801</c:v>
                </c:pt>
                <c:pt idx="48">
                  <c:v>492.1574507275779</c:v>
                </c:pt>
                <c:pt idx="49">
                  <c:v>507.34609556638355</c:v>
                </c:pt>
                <c:pt idx="50">
                  <c:v>522.525131447935</c:v>
                </c:pt>
                <c:pt idx="51">
                  <c:v>461.93662833533045</c:v>
                </c:pt>
                <c:pt idx="52">
                  <c:v>475.15548436508561</c:v>
                </c:pt>
                <c:pt idx="53">
                  <c:v>488.36651775636784</c:v>
                </c:pt>
                <c:pt idx="54">
                  <c:v>501.56996990243016</c:v>
                </c:pt>
                <c:pt idx="55">
                  <c:v>514.76606845348385</c:v>
                </c:pt>
                <c:pt idx="56">
                  <c:v>526.09348261800335</c:v>
                </c:pt>
                <c:pt idx="57">
                  <c:v>537.41576105424599</c:v>
                </c:pt>
                <c:pt idx="58">
                  <c:v>548.73302720132324</c:v>
                </c:pt>
                <c:pt idx="59">
                  <c:v>560.0453989920336</c:v>
                </c:pt>
                <c:pt idx="60">
                  <c:v>571.35298920710045</c:v>
                </c:pt>
                <c:pt idx="61">
                  <c:v>526.40374987607595</c:v>
                </c:pt>
                <c:pt idx="62">
                  <c:v>535.86506299349423</c:v>
                </c:pt>
                <c:pt idx="63">
                  <c:v>545.32286477925015</c:v>
                </c:pt>
                <c:pt idx="64">
                  <c:v>554.77722472188509</c:v>
                </c:pt>
                <c:pt idx="65">
                  <c:v>564.22820974827664</c:v>
                </c:pt>
                <c:pt idx="66">
                  <c:v>572.18925414496107</c:v>
                </c:pt>
                <c:pt idx="67">
                  <c:v>580.14798546042277</c:v>
                </c:pt>
                <c:pt idx="68">
                  <c:v>588.10443990517388</c:v>
                </c:pt>
                <c:pt idx="69">
                  <c:v>596.0586526299312</c:v>
                </c:pt>
                <c:pt idx="70">
                  <c:v>604.01065777066913</c:v>
                </c:pt>
                <c:pt idx="71">
                  <c:v>563.70152123568755</c:v>
                </c:pt>
                <c:pt idx="72">
                  <c:v>571.22909593140093</c:v>
                </c:pt>
                <c:pt idx="73">
                  <c:v>578.75459872853094</c:v>
                </c:pt>
                <c:pt idx="74">
                  <c:v>586.2780603717182</c:v>
                </c:pt>
                <c:pt idx="75">
                  <c:v>593.79951075206111</c:v>
                </c:pt>
                <c:pt idx="76">
                  <c:v>600.14322462115285</c:v>
                </c:pt>
                <c:pt idx="77">
                  <c:v>606.48554480255768</c:v>
                </c:pt>
                <c:pt idx="78">
                  <c:v>612.82648792950715</c:v>
                </c:pt>
                <c:pt idx="79">
                  <c:v>619.16607026287943</c:v>
                </c:pt>
                <c:pt idx="80">
                  <c:v>625.50430770334538</c:v>
                </c:pt>
                <c:pt idx="81">
                  <c:v>8.1635740804601579E-12</c:v>
                </c:pt>
                <c:pt idx="82">
                  <c:v>8.1635740804601579E-12</c:v>
                </c:pt>
                <c:pt idx="83">
                  <c:v>8.1635740804601579E-12</c:v>
                </c:pt>
                <c:pt idx="84">
                  <c:v>8.1635740804601579E-12</c:v>
                </c:pt>
                <c:pt idx="85">
                  <c:v>8.1635740804601579E-12</c:v>
                </c:pt>
                <c:pt idx="86">
                  <c:v>8.1635740804601579E-12</c:v>
                </c:pt>
                <c:pt idx="87">
                  <c:v>8.1635740804601579E-12</c:v>
                </c:pt>
                <c:pt idx="88">
                  <c:v>8.1635740804601579E-12</c:v>
                </c:pt>
                <c:pt idx="89">
                  <c:v>8.1635740804601579E-12</c:v>
                </c:pt>
                <c:pt idx="90">
                  <c:v>8.1635740804601579E-12</c:v>
                </c:pt>
                <c:pt idx="91">
                  <c:v>8.1635740804601579E-12</c:v>
                </c:pt>
                <c:pt idx="92">
                  <c:v>8.1635740804601579E-12</c:v>
                </c:pt>
                <c:pt idx="93">
                  <c:v>8.1635740804601579E-12</c:v>
                </c:pt>
                <c:pt idx="94">
                  <c:v>8.1635740804601579E-12</c:v>
                </c:pt>
                <c:pt idx="95">
                  <c:v>8.1635740804601579E-12</c:v>
                </c:pt>
                <c:pt idx="96">
                  <c:v>8.1635740804601579E-12</c:v>
                </c:pt>
                <c:pt idx="97">
                  <c:v>8.1635740804601579E-12</c:v>
                </c:pt>
                <c:pt idx="98">
                  <c:v>8.1635740804601579E-12</c:v>
                </c:pt>
                <c:pt idx="99">
                  <c:v>8.1635740804601579E-12</c:v>
                </c:pt>
                <c:pt idx="100">
                  <c:v>8.1635740804601579E-12</c:v>
                </c:pt>
                <c:pt idx="101">
                  <c:v>8.1635740804601579E-12</c:v>
                </c:pt>
                <c:pt idx="102">
                  <c:v>8.1635740804601579E-12</c:v>
                </c:pt>
                <c:pt idx="103">
                  <c:v>8.1635740804601579E-12</c:v>
                </c:pt>
                <c:pt idx="104">
                  <c:v>8.1635740804601579E-12</c:v>
                </c:pt>
                <c:pt idx="105">
                  <c:v>8.1635740804601579E-12</c:v>
                </c:pt>
                <c:pt idx="106">
                  <c:v>8.1635740804601579E-12</c:v>
                </c:pt>
                <c:pt idx="107">
                  <c:v>8.1635740804601579E-12</c:v>
                </c:pt>
                <c:pt idx="108">
                  <c:v>8.1635740804601579E-12</c:v>
                </c:pt>
                <c:pt idx="109">
                  <c:v>8.1635740804601579E-12</c:v>
                </c:pt>
                <c:pt idx="110">
                  <c:v>8.1635740804601579E-12</c:v>
                </c:pt>
                <c:pt idx="111">
                  <c:v>8.1635740804601579E-12</c:v>
                </c:pt>
                <c:pt idx="112">
                  <c:v>8.1635740804601579E-12</c:v>
                </c:pt>
                <c:pt idx="113">
                  <c:v>8.1635740804601579E-12</c:v>
                </c:pt>
                <c:pt idx="114">
                  <c:v>8.1635740804601579E-12</c:v>
                </c:pt>
                <c:pt idx="115">
                  <c:v>8.1635740804601579E-12</c:v>
                </c:pt>
                <c:pt idx="116">
                  <c:v>8.1635740804601579E-12</c:v>
                </c:pt>
                <c:pt idx="117">
                  <c:v>8.1635740804601579E-12</c:v>
                </c:pt>
                <c:pt idx="118">
                  <c:v>8.1635740804601579E-12</c:v>
                </c:pt>
                <c:pt idx="119">
                  <c:v>8.1635740804601579E-12</c:v>
                </c:pt>
                <c:pt idx="120">
                  <c:v>8.1635740804601579E-12</c:v>
                </c:pt>
                <c:pt idx="121">
                  <c:v>8.1635740804601579E-12</c:v>
                </c:pt>
                <c:pt idx="122">
                  <c:v>8.1635740804601579E-12</c:v>
                </c:pt>
                <c:pt idx="123">
                  <c:v>8.1635740804601579E-12</c:v>
                </c:pt>
                <c:pt idx="124">
                  <c:v>8.1635740804601579E-12</c:v>
                </c:pt>
                <c:pt idx="125">
                  <c:v>8.1635740804601579E-12</c:v>
                </c:pt>
                <c:pt idx="126">
                  <c:v>8.1635740804601579E-12</c:v>
                </c:pt>
                <c:pt idx="127">
                  <c:v>8.1635740804601579E-12</c:v>
                </c:pt>
                <c:pt idx="128">
                  <c:v>8.1635740804601579E-12</c:v>
                </c:pt>
                <c:pt idx="129">
                  <c:v>8.1635740804601579E-12</c:v>
                </c:pt>
                <c:pt idx="130">
                  <c:v>8.1635740804601579E-12</c:v>
                </c:pt>
                <c:pt idx="131">
                  <c:v>8.1635740804601579E-12</c:v>
                </c:pt>
                <c:pt idx="132">
                  <c:v>8.1635740804601579E-12</c:v>
                </c:pt>
                <c:pt idx="133">
                  <c:v>8.1635740804601579E-12</c:v>
                </c:pt>
                <c:pt idx="134">
                  <c:v>8.1635740804601579E-12</c:v>
                </c:pt>
                <c:pt idx="135">
                  <c:v>8.1635740804601579E-12</c:v>
                </c:pt>
                <c:pt idx="136">
                  <c:v>8.1635740804601579E-12</c:v>
                </c:pt>
                <c:pt idx="137">
                  <c:v>8.1635740804601579E-12</c:v>
                </c:pt>
                <c:pt idx="138">
                  <c:v>8.1635740804601579E-12</c:v>
                </c:pt>
                <c:pt idx="139">
                  <c:v>8.1635740804601579E-12</c:v>
                </c:pt>
                <c:pt idx="140">
                  <c:v>8.1635740804601579E-12</c:v>
                </c:pt>
                <c:pt idx="141">
                  <c:v>8.1635740804601579E-12</c:v>
                </c:pt>
                <c:pt idx="142">
                  <c:v>8.1635740804601579E-12</c:v>
                </c:pt>
                <c:pt idx="143">
                  <c:v>8.1635740804601579E-12</c:v>
                </c:pt>
                <c:pt idx="144">
                  <c:v>8.1635740804601579E-12</c:v>
                </c:pt>
                <c:pt idx="145">
                  <c:v>8.1635740804601579E-12</c:v>
                </c:pt>
                <c:pt idx="146">
                  <c:v>8.1635740804601579E-12</c:v>
                </c:pt>
                <c:pt idx="147">
                  <c:v>8.1635740804601579E-12</c:v>
                </c:pt>
                <c:pt idx="148">
                  <c:v>8.1635740804601579E-12</c:v>
                </c:pt>
                <c:pt idx="149">
                  <c:v>8.1635740804601579E-12</c:v>
                </c:pt>
                <c:pt idx="150">
                  <c:v>8.1635740804601579E-12</c:v>
                </c:pt>
                <c:pt idx="151">
                  <c:v>8.1635740804601579E-12</c:v>
                </c:pt>
                <c:pt idx="152">
                  <c:v>8.1635740804601579E-12</c:v>
                </c:pt>
                <c:pt idx="153">
                  <c:v>8.1635740804601579E-12</c:v>
                </c:pt>
                <c:pt idx="154">
                  <c:v>8.1635740804601579E-12</c:v>
                </c:pt>
                <c:pt idx="155">
                  <c:v>8.1635740804601579E-12</c:v>
                </c:pt>
                <c:pt idx="156">
                  <c:v>8.1635740804601579E-12</c:v>
                </c:pt>
                <c:pt idx="157">
                  <c:v>8.1635740804601579E-12</c:v>
                </c:pt>
                <c:pt idx="158">
                  <c:v>8.1635740804601579E-12</c:v>
                </c:pt>
                <c:pt idx="159">
                  <c:v>8.1635740804601579E-12</c:v>
                </c:pt>
                <c:pt idx="160">
                  <c:v>8.1635740804601579E-12</c:v>
                </c:pt>
                <c:pt idx="161">
                  <c:v>8.1635740804601579E-12</c:v>
                </c:pt>
                <c:pt idx="162">
                  <c:v>8.1635740804601579E-12</c:v>
                </c:pt>
                <c:pt idx="163">
                  <c:v>8.1635740804601579E-12</c:v>
                </c:pt>
                <c:pt idx="164">
                  <c:v>8.1635740804601579E-12</c:v>
                </c:pt>
                <c:pt idx="165">
                  <c:v>8.1635740804601579E-12</c:v>
                </c:pt>
                <c:pt idx="166">
                  <c:v>8.1635740804601579E-12</c:v>
                </c:pt>
                <c:pt idx="167">
                  <c:v>8.1635740804601579E-12</c:v>
                </c:pt>
                <c:pt idx="168">
                  <c:v>8.1635740804601579E-12</c:v>
                </c:pt>
                <c:pt idx="169">
                  <c:v>8.1635740804601579E-12</c:v>
                </c:pt>
                <c:pt idx="170">
                  <c:v>8.1635740804601579E-12</c:v>
                </c:pt>
                <c:pt idx="171">
                  <c:v>8.1635740804601579E-12</c:v>
                </c:pt>
                <c:pt idx="172">
                  <c:v>8.1635740804601579E-12</c:v>
                </c:pt>
                <c:pt idx="173">
                  <c:v>8.1635740804601579E-12</c:v>
                </c:pt>
                <c:pt idx="174">
                  <c:v>8.1635740804601579E-12</c:v>
                </c:pt>
                <c:pt idx="175">
                  <c:v>8.1635740804601579E-12</c:v>
                </c:pt>
                <c:pt idx="176">
                  <c:v>8.1635740804601579E-12</c:v>
                </c:pt>
                <c:pt idx="177">
                  <c:v>8.1635740804601579E-12</c:v>
                </c:pt>
                <c:pt idx="178">
                  <c:v>8.1635740804601579E-12</c:v>
                </c:pt>
                <c:pt idx="179">
                  <c:v>8.1635740804601579E-12</c:v>
                </c:pt>
                <c:pt idx="180">
                  <c:v>8.1635740804601579E-12</c:v>
                </c:pt>
                <c:pt idx="181">
                  <c:v>8.1635740804601579E-12</c:v>
                </c:pt>
                <c:pt idx="182">
                  <c:v>8.1635740804601579E-12</c:v>
                </c:pt>
                <c:pt idx="183">
                  <c:v>8.1635740804601579E-12</c:v>
                </c:pt>
                <c:pt idx="184">
                  <c:v>8.1635740804601579E-12</c:v>
                </c:pt>
                <c:pt idx="185">
                  <c:v>8.1635740804601579E-12</c:v>
                </c:pt>
                <c:pt idx="186">
                  <c:v>8.1635740804601579E-12</c:v>
                </c:pt>
                <c:pt idx="187">
                  <c:v>8.1635740804601579E-12</c:v>
                </c:pt>
                <c:pt idx="188">
                  <c:v>8.1635740804601579E-12</c:v>
                </c:pt>
                <c:pt idx="189">
                  <c:v>8.1635740804601579E-12</c:v>
                </c:pt>
                <c:pt idx="190">
                  <c:v>8.1635740804601579E-12</c:v>
                </c:pt>
                <c:pt idx="191">
                  <c:v>8.1635740804601579E-12</c:v>
                </c:pt>
                <c:pt idx="192">
                  <c:v>8.1635740804601579E-12</c:v>
                </c:pt>
                <c:pt idx="193">
                  <c:v>8.1635740804601579E-12</c:v>
                </c:pt>
                <c:pt idx="194">
                  <c:v>8.1635740804601579E-12</c:v>
                </c:pt>
                <c:pt idx="195">
                  <c:v>8.1635740804601579E-12</c:v>
                </c:pt>
                <c:pt idx="196">
                  <c:v>8.1635740804601579E-12</c:v>
                </c:pt>
                <c:pt idx="197">
                  <c:v>8.1635740804601579E-12</c:v>
                </c:pt>
                <c:pt idx="198">
                  <c:v>8.1635740804601579E-12</c:v>
                </c:pt>
                <c:pt idx="199">
                  <c:v>8.1635740804601579E-12</c:v>
                </c:pt>
                <c:pt idx="200">
                  <c:v>8.1635740804601579E-12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48046032"/>
        <c:axId val="-648038960"/>
      </c:scatterChart>
      <c:valAx>
        <c:axId val="-6480460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48038960"/>
        <c:crosses val="autoZero"/>
        <c:crossBetween val="midCat"/>
      </c:valAx>
      <c:valAx>
        <c:axId val="-648038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480460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3.1517719278741851</c:v>
                </c:pt>
                <c:pt idx="2">
                  <c:v>4.0962560408619169</c:v>
                </c:pt>
                <c:pt idx="3">
                  <c:v>5.3248974052320497</c:v>
                </c:pt>
                <c:pt idx="4">
                  <c:v>6.9235060612745238</c:v>
                </c:pt>
                <c:pt idx="5">
                  <c:v>9.0038948115214357</c:v>
                </c:pt>
                <c:pt idx="6">
                  <c:v>11.711783967068117</c:v>
                </c:pt>
                <c:pt idx="7">
                  <c:v>15.237116161125973</c:v>
                </c:pt>
                <c:pt idx="8">
                  <c:v>19.827517998958587</c:v>
                </c:pt>
                <c:pt idx="9">
                  <c:v>25.805871094254353</c:v>
                </c:pt>
                <c:pt idx="10">
                  <c:v>33.593250164551044</c:v>
                </c:pt>
                <c:pt idx="11">
                  <c:v>43.738871660685923</c:v>
                </c:pt>
                <c:pt idx="12">
                  <c:v>56.9592008033922</c:v>
                </c:pt>
                <c:pt idx="13">
                  <c:v>74.189024418885495</c:v>
                </c:pt>
                <c:pt idx="14">
                  <c:v>96.648159397028564</c:v>
                </c:pt>
                <c:pt idx="15">
                  <c:v>125.92859448173512</c:v>
                </c:pt>
                <c:pt idx="16">
                  <c:v>142.70010358292737</c:v>
                </c:pt>
                <c:pt idx="17">
                  <c:v>159.42436006200964</c:v>
                </c:pt>
                <c:pt idx="18">
                  <c:v>176.10702302240045</c:v>
                </c:pt>
                <c:pt idx="19">
                  <c:v>192.75258949941266</c:v>
                </c:pt>
                <c:pt idx="20">
                  <c:v>209.36471515078131</c:v>
                </c:pt>
                <c:pt idx="21">
                  <c:v>166.57888122303586</c:v>
                </c:pt>
                <c:pt idx="22">
                  <c:v>183.24514998499424</c:v>
                </c:pt>
                <c:pt idx="23">
                  <c:v>199.87597768141939</c:v>
                </c:pt>
                <c:pt idx="24">
                  <c:v>216.47472919071291</c:v>
                </c:pt>
                <c:pt idx="25">
                  <c:v>233.04421068758674</c:v>
                </c:pt>
                <c:pt idx="26">
                  <c:v>249.32441486090056</c:v>
                </c:pt>
                <c:pt idx="27">
                  <c:v>265.58051154513532</c:v>
                </c:pt>
                <c:pt idx="28">
                  <c:v>281.81418407526689</c:v>
                </c:pt>
                <c:pt idx="29">
                  <c:v>298.02690596205679</c:v>
                </c:pt>
                <c:pt idx="30">
                  <c:v>314.21997727965459</c:v>
                </c:pt>
                <c:pt idx="31">
                  <c:v>260.33913593396761</c:v>
                </c:pt>
                <c:pt idx="32">
                  <c:v>275.79453412362</c:v>
                </c:pt>
                <c:pt idx="33">
                  <c:v>291.23048631586886</c:v>
                </c:pt>
                <c:pt idx="34">
                  <c:v>306.64816832646142</c:v>
                </c:pt>
                <c:pt idx="35">
                  <c:v>322.04862806271944</c:v>
                </c:pt>
                <c:pt idx="36">
                  <c:v>336.65093802655764</c:v>
                </c:pt>
                <c:pt idx="37">
                  <c:v>351.23930551707662</c:v>
                </c:pt>
                <c:pt idx="38">
                  <c:v>365.81439115881381</c:v>
                </c:pt>
                <c:pt idx="39">
                  <c:v>380.37679863746217</c:v>
                </c:pt>
                <c:pt idx="40">
                  <c:v>394.92708164509969</c:v>
                </c:pt>
                <c:pt idx="41">
                  <c:v>333.00169481114176</c:v>
                </c:pt>
                <c:pt idx="42">
                  <c:v>346.55166637710573</c:v>
                </c:pt>
                <c:pt idx="43">
                  <c:v>360.09000890291617</c:v>
                </c:pt>
                <c:pt idx="44">
                  <c:v>373.61722122435737</c:v>
                </c:pt>
                <c:pt idx="45">
                  <c:v>387.13376310498393</c:v>
                </c:pt>
                <c:pt idx="46">
                  <c:v>399.86112159092812</c:v>
                </c:pt>
                <c:pt idx="47">
                  <c:v>412.57971336343115</c:v>
                </c:pt>
                <c:pt idx="48">
                  <c:v>425.28984676277349</c:v>
                </c:pt>
                <c:pt idx="49">
                  <c:v>437.99181019525372</c:v>
                </c:pt>
                <c:pt idx="50">
                  <c:v>450.68587397483049</c:v>
                </c:pt>
                <c:pt idx="51">
                  <c:v>387.3935948852548</c:v>
                </c:pt>
                <c:pt idx="52">
                  <c:v>399.34181134841805</c:v>
                </c:pt>
                <c:pt idx="53">
                  <c:v>411.28229041391381</c:v>
                </c:pt>
                <c:pt idx="54">
                  <c:v>423.21528840048148</c:v>
                </c:pt>
                <c:pt idx="55">
                  <c:v>435.14104599175198</c:v>
                </c:pt>
                <c:pt idx="56">
                  <c:v>446.2826897768453</c:v>
                </c:pt>
                <c:pt idx="57">
                  <c:v>457.41837932963148</c:v>
                </c:pt>
                <c:pt idx="58">
                  <c:v>468.54828004976827</c:v>
                </c:pt>
                <c:pt idx="59">
                  <c:v>479.67254883752707</c:v>
                </c:pt>
                <c:pt idx="60">
                  <c:v>490.79133472172845</c:v>
                </c:pt>
                <c:pt idx="61">
                  <c:v>430.21605244412081</c:v>
                </c:pt>
                <c:pt idx="62">
                  <c:v>440.84217635604756</c:v>
                </c:pt>
                <c:pt idx="63">
                  <c:v>451.46281066885194</c:v>
                </c:pt>
                <c:pt idx="64">
                  <c:v>462.07810275153253</c:v>
                </c:pt>
                <c:pt idx="65">
                  <c:v>472.68819264876271</c:v>
                </c:pt>
                <c:pt idx="66">
                  <c:v>482.77601117194354</c:v>
                </c:pt>
                <c:pt idx="67">
                  <c:v>492.85935262880986</c:v>
                </c:pt>
                <c:pt idx="68">
                  <c:v>502.93832153954008</c:v>
                </c:pt>
                <c:pt idx="69">
                  <c:v>513.01301789298748</c:v>
                </c:pt>
                <c:pt idx="70">
                  <c:v>523.08353743016426</c:v>
                </c:pt>
                <c:pt idx="71">
                  <c:v>464.40758776978123</c:v>
                </c:pt>
                <c:pt idx="72">
                  <c:v>474.24046045825463</c:v>
                </c:pt>
                <c:pt idx="73">
                  <c:v>484.06899521093095</c:v>
                </c:pt>
                <c:pt idx="74">
                  <c:v>493.89329253818352</c:v>
                </c:pt>
                <c:pt idx="75">
                  <c:v>503.713448625014</c:v>
                </c:pt>
                <c:pt idx="76">
                  <c:v>512.75474492160231</c:v>
                </c:pt>
                <c:pt idx="77">
                  <c:v>521.79267536312102</c:v>
                </c:pt>
                <c:pt idx="78">
                  <c:v>530.82730647905521</c:v>
                </c:pt>
                <c:pt idx="79">
                  <c:v>539.85870234920981</c:v>
                </c:pt>
                <c:pt idx="80">
                  <c:v>548.88692473426227</c:v>
                </c:pt>
                <c:pt idx="81">
                  <c:v>494.41024528003317</c:v>
                </c:pt>
                <c:pt idx="82">
                  <c:v>503.19670004131422</c:v>
                </c:pt>
                <c:pt idx="83">
                  <c:v>511.97990951635302</c:v>
                </c:pt>
                <c:pt idx="84">
                  <c:v>520.75993724168131</c:v>
                </c:pt>
                <c:pt idx="85">
                  <c:v>529.53684443621125</c:v>
                </c:pt>
                <c:pt idx="86">
                  <c:v>537.79466527187412</c:v>
                </c:pt>
                <c:pt idx="87">
                  <c:v>546.04982172354835</c:v>
                </c:pt>
                <c:pt idx="88">
                  <c:v>554.3023597586548</c:v>
                </c:pt>
                <c:pt idx="89">
                  <c:v>562.5523238640161</c:v>
                </c:pt>
                <c:pt idx="90">
                  <c:v>570.7997571150305</c:v>
                </c:pt>
                <c:pt idx="91">
                  <c:v>518.17790277490019</c:v>
                </c:pt>
                <c:pt idx="92">
                  <c:v>526.18133282191809</c:v>
                </c:pt>
                <c:pt idx="93">
                  <c:v>534.18219926561858</c:v>
                </c:pt>
                <c:pt idx="94">
                  <c:v>542.18054592711769</c:v>
                </c:pt>
                <c:pt idx="95">
                  <c:v>550.17641522887664</c:v>
                </c:pt>
                <c:pt idx="96">
                  <c:v>557.65421564017549</c:v>
                </c:pt>
                <c:pt idx="97">
                  <c:v>565.12991663681896</c:v>
                </c:pt>
                <c:pt idx="98">
                  <c:v>572.60354991291672</c:v>
                </c:pt>
                <c:pt idx="99">
                  <c:v>580.0751462675936</c:v>
                </c:pt>
                <c:pt idx="100">
                  <c:v>587.54473564171496</c:v>
                </c:pt>
                <c:pt idx="101">
                  <c:v>538.05267899793887</c:v>
                </c:pt>
                <c:pt idx="102">
                  <c:v>545.2760127385468</c:v>
                </c:pt>
                <c:pt idx="103">
                  <c:v>552.4973385257864</c:v>
                </c:pt>
                <c:pt idx="104">
                  <c:v>559.71668631283626</c:v>
                </c:pt>
                <c:pt idx="105">
                  <c:v>566.93408521696813</c:v>
                </c:pt>
                <c:pt idx="106">
                  <c:v>574.14956355345282</c:v>
                </c:pt>
                <c:pt idx="107">
                  <c:v>581.36314886766934</c:v>
                </c:pt>
                <c:pt idx="108">
                  <c:v>588.57486796553962</c:v>
                </c:pt>
                <c:pt idx="109">
                  <c:v>595.78474694239355</c:v>
                </c:pt>
                <c:pt idx="110">
                  <c:v>602.99281121036381</c:v>
                </c:pt>
                <c:pt idx="111">
                  <c:v>556.8807479861506</c:v>
                </c:pt>
                <c:pt idx="112">
                  <c:v>563.58339055803435</c:v>
                </c:pt>
                <c:pt idx="113">
                  <c:v>570.28436588683383</c:v>
                </c:pt>
                <c:pt idx="114">
                  <c:v>576.98369633157199</c:v>
                </c:pt>
                <c:pt idx="115">
                  <c:v>583.68140368956654</c:v>
                </c:pt>
                <c:pt idx="116">
                  <c:v>590.37750921696579</c:v>
                </c:pt>
                <c:pt idx="117">
                  <c:v>597.07203364830355</c:v>
                </c:pt>
                <c:pt idx="118">
                  <c:v>603.76499721513153</c:v>
                </c:pt>
                <c:pt idx="119">
                  <c:v>610.45641966378332</c:v>
                </c:pt>
                <c:pt idx="120">
                  <c:v>617.14632027231767</c:v>
                </c:pt>
                <c:pt idx="121">
                  <c:v>1.6144600406554537E-12</c:v>
                </c:pt>
                <c:pt idx="122">
                  <c:v>1.6144600406554537E-12</c:v>
                </c:pt>
                <c:pt idx="123">
                  <c:v>1.6144600406554537E-12</c:v>
                </c:pt>
                <c:pt idx="124">
                  <c:v>1.6144600406554537E-12</c:v>
                </c:pt>
                <c:pt idx="125">
                  <c:v>1.6144600406554537E-12</c:v>
                </c:pt>
                <c:pt idx="126">
                  <c:v>1.6144600406554537E-12</c:v>
                </c:pt>
                <c:pt idx="127">
                  <c:v>1.6144600406554537E-12</c:v>
                </c:pt>
                <c:pt idx="128">
                  <c:v>1.6144600406554537E-12</c:v>
                </c:pt>
                <c:pt idx="129">
                  <c:v>1.6144600406554537E-12</c:v>
                </c:pt>
                <c:pt idx="130">
                  <c:v>1.6144600406554537E-12</c:v>
                </c:pt>
                <c:pt idx="131">
                  <c:v>1.6144600406554537E-12</c:v>
                </c:pt>
                <c:pt idx="132">
                  <c:v>1.6144600406554537E-12</c:v>
                </c:pt>
                <c:pt idx="133">
                  <c:v>1.6144600406554537E-12</c:v>
                </c:pt>
                <c:pt idx="134">
                  <c:v>1.6144600406554537E-12</c:v>
                </c:pt>
                <c:pt idx="135">
                  <c:v>1.6144600406554537E-12</c:v>
                </c:pt>
                <c:pt idx="136">
                  <c:v>1.6144600406554537E-12</c:v>
                </c:pt>
                <c:pt idx="137">
                  <c:v>1.6144600406554537E-12</c:v>
                </c:pt>
                <c:pt idx="138">
                  <c:v>1.6144600406554537E-12</c:v>
                </c:pt>
                <c:pt idx="139">
                  <c:v>1.6144600406554537E-12</c:v>
                </c:pt>
                <c:pt idx="140">
                  <c:v>1.6144600406554537E-12</c:v>
                </c:pt>
                <c:pt idx="141">
                  <c:v>1.6144600406554537E-12</c:v>
                </c:pt>
                <c:pt idx="142">
                  <c:v>1.6144600406554537E-12</c:v>
                </c:pt>
                <c:pt idx="143">
                  <c:v>1.6144600406554537E-12</c:v>
                </c:pt>
                <c:pt idx="144">
                  <c:v>1.6144600406554537E-12</c:v>
                </c:pt>
                <c:pt idx="145">
                  <c:v>1.6144600406554537E-12</c:v>
                </c:pt>
                <c:pt idx="146">
                  <c:v>1.6144600406554537E-12</c:v>
                </c:pt>
                <c:pt idx="147">
                  <c:v>1.6144600406554537E-12</c:v>
                </c:pt>
                <c:pt idx="148">
                  <c:v>1.6144600406554537E-12</c:v>
                </c:pt>
                <c:pt idx="149">
                  <c:v>1.6144600406554537E-12</c:v>
                </c:pt>
                <c:pt idx="150">
                  <c:v>1.6144600406554537E-12</c:v>
                </c:pt>
                <c:pt idx="151">
                  <c:v>1.6144600406554537E-12</c:v>
                </c:pt>
                <c:pt idx="152">
                  <c:v>1.6144600406554537E-12</c:v>
                </c:pt>
                <c:pt idx="153">
                  <c:v>1.6144600406554537E-12</c:v>
                </c:pt>
                <c:pt idx="154">
                  <c:v>1.6144600406554537E-12</c:v>
                </c:pt>
                <c:pt idx="155">
                  <c:v>1.6144600406554537E-12</c:v>
                </c:pt>
                <c:pt idx="156">
                  <c:v>1.6144600406554537E-12</c:v>
                </c:pt>
                <c:pt idx="157">
                  <c:v>1.6144600406554537E-12</c:v>
                </c:pt>
                <c:pt idx="158">
                  <c:v>1.6144600406554537E-12</c:v>
                </c:pt>
                <c:pt idx="159">
                  <c:v>1.6144600406554537E-12</c:v>
                </c:pt>
                <c:pt idx="160">
                  <c:v>1.6144600406554537E-12</c:v>
                </c:pt>
                <c:pt idx="161">
                  <c:v>1.6144600406554537E-12</c:v>
                </c:pt>
                <c:pt idx="162">
                  <c:v>1.6144600406554537E-12</c:v>
                </c:pt>
                <c:pt idx="163">
                  <c:v>1.6144600406554537E-12</c:v>
                </c:pt>
                <c:pt idx="164">
                  <c:v>1.6144600406554537E-12</c:v>
                </c:pt>
                <c:pt idx="165">
                  <c:v>1.6144600406554537E-12</c:v>
                </c:pt>
                <c:pt idx="166">
                  <c:v>1.6144600406554537E-12</c:v>
                </c:pt>
                <c:pt idx="167">
                  <c:v>1.6144600406554537E-12</c:v>
                </c:pt>
                <c:pt idx="168">
                  <c:v>1.6144600406554537E-12</c:v>
                </c:pt>
                <c:pt idx="169">
                  <c:v>1.6144600406554537E-12</c:v>
                </c:pt>
                <c:pt idx="170">
                  <c:v>1.6144600406554537E-12</c:v>
                </c:pt>
                <c:pt idx="171">
                  <c:v>1.6144600406554537E-12</c:v>
                </c:pt>
                <c:pt idx="172">
                  <c:v>1.6144600406554537E-12</c:v>
                </c:pt>
                <c:pt idx="173">
                  <c:v>1.6144600406554537E-12</c:v>
                </c:pt>
                <c:pt idx="174">
                  <c:v>1.6144600406554537E-12</c:v>
                </c:pt>
                <c:pt idx="175">
                  <c:v>1.6144600406554537E-12</c:v>
                </c:pt>
                <c:pt idx="176">
                  <c:v>1.6144600406554537E-12</c:v>
                </c:pt>
                <c:pt idx="177">
                  <c:v>1.6144600406554537E-12</c:v>
                </c:pt>
                <c:pt idx="178">
                  <c:v>1.6144600406554537E-12</c:v>
                </c:pt>
                <c:pt idx="179">
                  <c:v>1.6144600406554537E-12</c:v>
                </c:pt>
                <c:pt idx="180">
                  <c:v>1.6144600406554537E-12</c:v>
                </c:pt>
                <c:pt idx="181">
                  <c:v>1.6144600406554537E-12</c:v>
                </c:pt>
                <c:pt idx="182">
                  <c:v>1.6144600406554537E-12</c:v>
                </c:pt>
                <c:pt idx="183">
                  <c:v>1.6144600406554537E-12</c:v>
                </c:pt>
                <c:pt idx="184">
                  <c:v>1.6144600406554537E-12</c:v>
                </c:pt>
                <c:pt idx="185">
                  <c:v>1.6144600406554537E-12</c:v>
                </c:pt>
                <c:pt idx="186">
                  <c:v>1.6144600406554537E-12</c:v>
                </c:pt>
                <c:pt idx="187">
                  <c:v>1.6144600406554537E-12</c:v>
                </c:pt>
                <c:pt idx="188">
                  <c:v>1.6144600406554537E-12</c:v>
                </c:pt>
                <c:pt idx="189">
                  <c:v>1.6144600406554537E-12</c:v>
                </c:pt>
                <c:pt idx="190">
                  <c:v>1.6144600406554537E-12</c:v>
                </c:pt>
                <c:pt idx="191">
                  <c:v>1.6144600406554537E-12</c:v>
                </c:pt>
                <c:pt idx="192">
                  <c:v>1.6144600406554537E-12</c:v>
                </c:pt>
                <c:pt idx="193">
                  <c:v>1.6144600406554537E-12</c:v>
                </c:pt>
                <c:pt idx="194">
                  <c:v>1.6144600406554537E-12</c:v>
                </c:pt>
                <c:pt idx="195">
                  <c:v>1.6144600406554537E-12</c:v>
                </c:pt>
                <c:pt idx="196">
                  <c:v>1.6144600406554537E-12</c:v>
                </c:pt>
                <c:pt idx="197">
                  <c:v>1.6144600406554537E-12</c:v>
                </c:pt>
                <c:pt idx="198">
                  <c:v>1.6144600406554537E-12</c:v>
                </c:pt>
                <c:pt idx="199">
                  <c:v>1.6144600406554537E-12</c:v>
                </c:pt>
                <c:pt idx="200">
                  <c:v>1.6144600406554537E-12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48041680"/>
        <c:axId val="-648045488"/>
      </c:scatterChart>
      <c:valAx>
        <c:axId val="-6480416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48045488"/>
        <c:crosses val="autoZero"/>
        <c:crossBetween val="midCat"/>
      </c:valAx>
      <c:valAx>
        <c:axId val="-648045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480416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2.4233379605482943</c:v>
                </c:pt>
                <c:pt idx="2">
                  <c:v>3.3911899510511758</c:v>
                </c:pt>
                <c:pt idx="3">
                  <c:v>4.7472570973955088</c:v>
                </c:pt>
                <c:pt idx="4">
                  <c:v>6.6478847603431106</c:v>
                </c:pt>
                <c:pt idx="5">
                  <c:v>9.3126189320690731</c:v>
                </c:pt>
                <c:pt idx="6">
                  <c:v>13.049842479543365</c:v>
                </c:pt>
                <c:pt idx="7">
                  <c:v>18.292843135377566</c:v>
                </c:pt>
                <c:pt idx="8">
                  <c:v>25.650570254048265</c:v>
                </c:pt>
                <c:pt idx="9">
                  <c:v>35.979079079598641</c:v>
                </c:pt>
                <c:pt idx="10">
                  <c:v>50.482117279404498</c:v>
                </c:pt>
                <c:pt idx="11">
                  <c:v>64.095146966739819</c:v>
                </c:pt>
                <c:pt idx="12">
                  <c:v>77.632991838946381</c:v>
                </c:pt>
                <c:pt idx="13">
                  <c:v>91.110686124684605</c:v>
                </c:pt>
                <c:pt idx="14">
                  <c:v>104.53841309330278</c:v>
                </c:pt>
                <c:pt idx="15">
                  <c:v>117.92351039680756</c:v>
                </c:pt>
                <c:pt idx="16">
                  <c:v>132.58566846707615</c:v>
                </c:pt>
                <c:pt idx="17">
                  <c:v>147.20868319853497</c:v>
                </c:pt>
                <c:pt idx="18">
                  <c:v>161.79699433043689</c:v>
                </c:pt>
                <c:pt idx="19">
                  <c:v>176.35417385644337</c:v>
                </c:pt>
                <c:pt idx="20">
                  <c:v>190.88315490424284</c:v>
                </c:pt>
                <c:pt idx="21">
                  <c:v>148.1448304530447</c:v>
                </c:pt>
                <c:pt idx="22">
                  <c:v>162.35744096511164</c:v>
                </c:pt>
                <c:pt idx="23">
                  <c:v>176.54061559438961</c:v>
                </c:pt>
                <c:pt idx="24">
                  <c:v>190.69705365420279</c:v>
                </c:pt>
                <c:pt idx="25">
                  <c:v>204.82902043085244</c:v>
                </c:pt>
                <c:pt idx="26">
                  <c:v>218.19637580534933</c:v>
                </c:pt>
                <c:pt idx="27">
                  <c:v>231.54491400588816</c:v>
                </c:pt>
                <c:pt idx="28">
                  <c:v>244.87587306175826</c:v>
                </c:pt>
                <c:pt idx="29">
                  <c:v>258.19034511136186</c:v>
                </c:pt>
                <c:pt idx="30">
                  <c:v>271.48930039264548</c:v>
                </c:pt>
                <c:pt idx="31">
                  <c:v>227.65345831954789</c:v>
                </c:pt>
                <c:pt idx="32">
                  <c:v>240.24898910471029</c:v>
                </c:pt>
                <c:pt idx="33">
                  <c:v>252.82948997931717</c:v>
                </c:pt>
                <c:pt idx="34">
                  <c:v>265.3958144897008</c:v>
                </c:pt>
                <c:pt idx="35">
                  <c:v>277.94872870657542</c:v>
                </c:pt>
                <c:pt idx="36">
                  <c:v>289.38293116514234</c:v>
                </c:pt>
                <c:pt idx="37">
                  <c:v>300.80703762598421</c:v>
                </c:pt>
                <c:pt idx="38">
                  <c:v>312.22148572483741</c:v>
                </c:pt>
                <c:pt idx="39">
                  <c:v>323.62667847115443</c:v>
                </c:pt>
                <c:pt idx="40">
                  <c:v>335.02298813768738</c:v>
                </c:pt>
                <c:pt idx="41">
                  <c:v>288.82989941789356</c:v>
                </c:pt>
                <c:pt idx="42">
                  <c:v>299.70190776572849</c:v>
                </c:pt>
                <c:pt idx="43">
                  <c:v>310.56513314671798</c:v>
                </c:pt>
                <c:pt idx="44">
                  <c:v>321.41992623463284</c:v>
                </c:pt>
                <c:pt idx="45">
                  <c:v>332.26661207234366</c:v>
                </c:pt>
                <c:pt idx="46">
                  <c:v>342.37089418257489</c:v>
                </c:pt>
                <c:pt idx="47">
                  <c:v>352.46862226287652</c:v>
                </c:pt>
                <c:pt idx="48">
                  <c:v>362.56001063918217</c:v>
                </c:pt>
                <c:pt idx="49">
                  <c:v>372.64526072714688</c:v>
                </c:pt>
                <c:pt idx="50">
                  <c:v>382.72456214571116</c:v>
                </c:pt>
                <c:pt idx="51">
                  <c:v>339.98320906401625</c:v>
                </c:pt>
                <c:pt idx="52">
                  <c:v>349.53176450400855</c:v>
                </c:pt>
                <c:pt idx="53">
                  <c:v>359.07459859126061</c:v>
                </c:pt>
                <c:pt idx="54">
                  <c:v>368.61188489876866</c:v>
                </c:pt>
                <c:pt idx="55">
                  <c:v>378.14378727996063</c:v>
                </c:pt>
                <c:pt idx="56">
                  <c:v>386.93782188026211</c:v>
                </c:pt>
                <c:pt idx="57">
                  <c:v>395.7275166731165</c:v>
                </c:pt>
                <c:pt idx="58">
                  <c:v>404.51298169693899</c:v>
                </c:pt>
                <c:pt idx="59">
                  <c:v>413.29432181793192</c:v>
                </c:pt>
                <c:pt idx="60">
                  <c:v>422.07163708031607</c:v>
                </c:pt>
                <c:pt idx="61">
                  <c:v>379.97624131213121</c:v>
                </c:pt>
                <c:pt idx="62">
                  <c:v>388.21991999001648</c:v>
                </c:pt>
                <c:pt idx="63">
                  <c:v>396.4597988325782</c:v>
                </c:pt>
                <c:pt idx="64">
                  <c:v>404.69596800009577</c:v>
                </c:pt>
                <c:pt idx="65">
                  <c:v>412.92851368148507</c:v>
                </c:pt>
                <c:pt idx="66">
                  <c:v>420.42619259356735</c:v>
                </c:pt>
                <c:pt idx="67">
                  <c:v>427.92099191345005</c:v>
                </c:pt>
                <c:pt idx="68">
                  <c:v>435.41296921989988</c:v>
                </c:pt>
                <c:pt idx="69">
                  <c:v>442.90217994739669</c:v>
                </c:pt>
                <c:pt idx="70">
                  <c:v>450.38867750169061</c:v>
                </c:pt>
                <c:pt idx="71">
                  <c:v>412.92851368148513</c:v>
                </c:pt>
                <c:pt idx="72">
                  <c:v>420.24335687514667</c:v>
                </c:pt>
                <c:pt idx="73">
                  <c:v>427.55545787700925</c:v>
                </c:pt>
                <c:pt idx="74">
                  <c:v>434.8648702289716</c:v>
                </c:pt>
                <c:pt idx="75">
                  <c:v>442.17164552507165</c:v>
                </c:pt>
                <c:pt idx="76">
                  <c:v>448.92810808361315</c:v>
                </c:pt>
                <c:pt idx="77">
                  <c:v>455.68239493388319</c:v>
                </c:pt>
                <c:pt idx="78">
                  <c:v>462.4345428939136</c:v>
                </c:pt>
                <c:pt idx="79">
                  <c:v>469.18458761820074</c:v>
                </c:pt>
                <c:pt idx="80">
                  <c:v>475.9325636510539</c:v>
                </c:pt>
                <c:pt idx="81">
                  <c:v>441.25844110945678</c:v>
                </c:pt>
                <c:pt idx="82">
                  <c:v>447.65002642287277</c:v>
                </c:pt>
                <c:pt idx="83">
                  <c:v>454.03965853817658</c:v>
                </c:pt>
                <c:pt idx="84">
                  <c:v>460.42736883834408</c:v>
                </c:pt>
                <c:pt idx="85">
                  <c:v>466.81318776396671</c:v>
                </c:pt>
                <c:pt idx="86">
                  <c:v>473.01477165455441</c:v>
                </c:pt>
                <c:pt idx="87">
                  <c:v>479.214624883559</c:v>
                </c:pt>
                <c:pt idx="88">
                  <c:v>485.4127730136849</c:v>
                </c:pt>
                <c:pt idx="89">
                  <c:v>491.60924090118425</c:v>
                </c:pt>
                <c:pt idx="90">
                  <c:v>497.8040527242361</c:v>
                </c:pt>
                <c:pt idx="91">
                  <c:v>464.44153106100708</c:v>
                </c:pt>
                <c:pt idx="92">
                  <c:v>470.27899364015747</c:v>
                </c:pt>
                <c:pt idx="93">
                  <c:v>476.11491298718494</c:v>
                </c:pt>
                <c:pt idx="94">
                  <c:v>481.94931069924172</c:v>
                </c:pt>
                <c:pt idx="95">
                  <c:v>487.78220780757994</c:v>
                </c:pt>
                <c:pt idx="96">
                  <c:v>493.43141522263085</c:v>
                </c:pt>
                <c:pt idx="97">
                  <c:v>499.07925174186192</c:v>
                </c:pt>
                <c:pt idx="98">
                  <c:v>504.72573507714452</c:v>
                </c:pt>
                <c:pt idx="99">
                  <c:v>510.37088251149186</c:v>
                </c:pt>
                <c:pt idx="100">
                  <c:v>516.01471091417579</c:v>
                </c:pt>
                <c:pt idx="101">
                  <c:v>485.68618184612097</c:v>
                </c:pt>
                <c:pt idx="102">
                  <c:v>490.88033109552151</c:v>
                </c:pt>
                <c:pt idx="103">
                  <c:v>496.07331476727899</c:v>
                </c:pt>
                <c:pt idx="104">
                  <c:v>501.26514679259532</c:v>
                </c:pt>
                <c:pt idx="105">
                  <c:v>506.4558407903549</c:v>
                </c:pt>
                <c:pt idx="106">
                  <c:v>511.64541007732623</c:v>
                </c:pt>
                <c:pt idx="107">
                  <c:v>516.83386767792888</c:v>
                </c:pt>
                <c:pt idx="108">
                  <c:v>522.02122633358715</c:v>
                </c:pt>
                <c:pt idx="109">
                  <c:v>527.20749851169228</c:v>
                </c:pt>
                <c:pt idx="110">
                  <c:v>532.39269641419344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48043856"/>
        <c:axId val="-648037328"/>
      </c:scatterChart>
      <c:valAx>
        <c:axId val="-6480438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48037328"/>
        <c:crosses val="autoZero"/>
        <c:crossBetween val="midCat"/>
      </c:valAx>
      <c:valAx>
        <c:axId val="-648037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480438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3.0295791840646493</c:v>
                </c:pt>
                <c:pt idx="2">
                  <c:v>3.725679628308781</c:v>
                </c:pt>
                <c:pt idx="3">
                  <c:v>4.5823279764895188</c:v>
                </c:pt>
                <c:pt idx="4">
                  <c:v>5.6366846031435918</c:v>
                </c:pt>
                <c:pt idx="5">
                  <c:v>6.9345395434073795</c:v>
                </c:pt>
                <c:pt idx="6">
                  <c:v>8.5323226929264795</c:v>
                </c:pt>
                <c:pt idx="7">
                  <c:v>10.499583588970779</c:v>
                </c:pt>
                <c:pt idx="8">
                  <c:v>12.922050750342303</c:v>
                </c:pt>
                <c:pt idx="9">
                  <c:v>15.905406371467258</c:v>
                </c:pt>
                <c:pt idx="10">
                  <c:v>19.579944057664719</c:v>
                </c:pt>
                <c:pt idx="11">
                  <c:v>24.106316685632123</c:v>
                </c:pt>
                <c:pt idx="12">
                  <c:v>29.682630145368211</c:v>
                </c:pt>
                <c:pt idx="13">
                  <c:v>36.553198854731285</c:v>
                </c:pt>
                <c:pt idx="14">
                  <c:v>45.01935324011523</c:v>
                </c:pt>
                <c:pt idx="15">
                  <c:v>55.452781189967119</c:v>
                </c:pt>
                <c:pt idx="16">
                  <c:v>68.311998946117441</c:v>
                </c:pt>
                <c:pt idx="17">
                  <c:v>84.162687112704418</c:v>
                </c:pt>
                <c:pt idx="18">
                  <c:v>103.70280075437397</c:v>
                </c:pt>
                <c:pt idx="19">
                  <c:v>127.7935767402505</c:v>
                </c:pt>
                <c:pt idx="20">
                  <c:v>157.49782623325171</c:v>
                </c:pt>
                <c:pt idx="21">
                  <c:v>160.02029104347795</c:v>
                </c:pt>
                <c:pt idx="22">
                  <c:v>175.13585803907259</c:v>
                </c:pt>
                <c:pt idx="23">
                  <c:v>190.22078828852798</c:v>
                </c:pt>
                <c:pt idx="24">
                  <c:v>205.2778545096966</c:v>
                </c:pt>
                <c:pt idx="25">
                  <c:v>220.30938898976538</c:v>
                </c:pt>
                <c:pt idx="26">
                  <c:v>239.48232403756947</c:v>
                </c:pt>
                <c:pt idx="27">
                  <c:v>258.62030742476742</c:v>
                </c:pt>
                <c:pt idx="28">
                  <c:v>277.72628904813564</c:v>
                </c:pt>
                <c:pt idx="29">
                  <c:v>296.80277965736883</c:v>
                </c:pt>
                <c:pt idx="30">
                  <c:v>315.85194085471193</c:v>
                </c:pt>
                <c:pt idx="31">
                  <c:v>221.97807266554159</c:v>
                </c:pt>
                <c:pt idx="32">
                  <c:v>244.47808276569103</c:v>
                </c:pt>
                <c:pt idx="33">
                  <c:v>266.93103161478717</c:v>
                </c:pt>
                <c:pt idx="34">
                  <c:v>289.34143316946614</c:v>
                </c:pt>
                <c:pt idx="35">
                  <c:v>311.71304479765803</c:v>
                </c:pt>
                <c:pt idx="36">
                  <c:v>334.8756522210071</c:v>
                </c:pt>
                <c:pt idx="37">
                  <c:v>358.00297390539248</c:v>
                </c:pt>
                <c:pt idx="38">
                  <c:v>381.09760826078099</c:v>
                </c:pt>
                <c:pt idx="39">
                  <c:v>404.16181319978591</c:v>
                </c:pt>
                <c:pt idx="40">
                  <c:v>427.19756804132589</c:v>
                </c:pt>
                <c:pt idx="41">
                  <c:v>335.28894123596257</c:v>
                </c:pt>
                <c:pt idx="42">
                  <c:v>358.82833079757523</c:v>
                </c:pt>
                <c:pt idx="43">
                  <c:v>382.33394334423548</c:v>
                </c:pt>
                <c:pt idx="44">
                  <c:v>405.80814582937325</c:v>
                </c:pt>
                <c:pt idx="45">
                  <c:v>429.25300917701088</c:v>
                </c:pt>
                <c:pt idx="46">
                  <c:v>451.84914558797823</c:v>
                </c:pt>
                <c:pt idx="47">
                  <c:v>474.42112721892181</c:v>
                </c:pt>
                <c:pt idx="48">
                  <c:v>496.97026394110179</c:v>
                </c:pt>
                <c:pt idx="49">
                  <c:v>519.49773716244044</c:v>
                </c:pt>
                <c:pt idx="50">
                  <c:v>542.00461756313416</c:v>
                </c:pt>
                <c:pt idx="51">
                  <c:v>448.15328569496359</c:v>
                </c:pt>
                <c:pt idx="52">
                  <c:v>469.08803973384329</c:v>
                </c:pt>
                <c:pt idx="53">
                  <c:v>490.0028966508051</c:v>
                </c:pt>
                <c:pt idx="54">
                  <c:v>510.89882453659499</c:v>
                </c:pt>
                <c:pt idx="55">
                  <c:v>531.77670589409706</c:v>
                </c:pt>
                <c:pt idx="56">
                  <c:v>551.00182497913659</c:v>
                </c:pt>
                <c:pt idx="57">
                  <c:v>570.21288626952162</c:v>
                </c:pt>
                <c:pt idx="58">
                  <c:v>589.41042967920009</c:v>
                </c:pt>
                <c:pt idx="59">
                  <c:v>608.59495711230613</c:v>
                </c:pt>
                <c:pt idx="60">
                  <c:v>627.76693627716713</c:v>
                </c:pt>
                <c:pt idx="61">
                  <c:v>531.36750389275539</c:v>
                </c:pt>
                <c:pt idx="62">
                  <c:v>549.36619982539537</c:v>
                </c:pt>
                <c:pt idx="63">
                  <c:v>567.3525337573152</c:v>
                </c:pt>
                <c:pt idx="64">
                  <c:v>585.32695249209939</c:v>
                </c:pt>
                <c:pt idx="65">
                  <c:v>603.28987317463395</c:v>
                </c:pt>
                <c:pt idx="66">
                  <c:v>620.01804410102488</c:v>
                </c:pt>
                <c:pt idx="67">
                  <c:v>636.73686723380786</c:v>
                </c:pt>
                <c:pt idx="68">
                  <c:v>653.44662240728599</c:v>
                </c:pt>
                <c:pt idx="69">
                  <c:v>670.14757398808354</c:v>
                </c:pt>
                <c:pt idx="70">
                  <c:v>686.8399721021666</c:v>
                </c:pt>
                <c:pt idx="71">
                  <c:v>588.18544859108749</c:v>
                </c:pt>
                <c:pt idx="72">
                  <c:v>603.69799084952535</c:v>
                </c:pt>
                <c:pt idx="73">
                  <c:v>619.20225497367585</c:v>
                </c:pt>
                <c:pt idx="74">
                  <c:v>634.69847731101845</c:v>
                </c:pt>
                <c:pt idx="75">
                  <c:v>650.18688173454314</c:v>
                </c:pt>
                <c:pt idx="76">
                  <c:v>664.85308800712085</c:v>
                </c:pt>
                <c:pt idx="77">
                  <c:v>679.51264000554886</c:v>
                </c:pt>
                <c:pt idx="78">
                  <c:v>694.16570141773025</c:v>
                </c:pt>
                <c:pt idx="79">
                  <c:v>708.81242846232317</c:v>
                </c:pt>
                <c:pt idx="80">
                  <c:v>723.45297038005356</c:v>
                </c:pt>
                <c:pt idx="81">
                  <c:v>622.87313112483469</c:v>
                </c:pt>
                <c:pt idx="82">
                  <c:v>636.32920005228766</c:v>
                </c:pt>
                <c:pt idx="83">
                  <c:v>649.77939049111717</c:v>
                </c:pt>
                <c:pt idx="84">
                  <c:v>663.22384120759341</c:v>
                </c:pt>
                <c:pt idx="85">
                  <c:v>676.66268488632647</c:v>
                </c:pt>
                <c:pt idx="86">
                  <c:v>690.09604851480844</c:v>
                </c:pt>
                <c:pt idx="87">
                  <c:v>703.52405373647389</c:v>
                </c:pt>
                <c:pt idx="88">
                  <c:v>716.94681717542119</c:v>
                </c:pt>
                <c:pt idx="89">
                  <c:v>730.36445073557013</c:v>
                </c:pt>
                <c:pt idx="90">
                  <c:v>743.77706187670594</c:v>
                </c:pt>
                <c:pt idx="91">
                  <c:v>641.83225318617019</c:v>
                </c:pt>
                <c:pt idx="92">
                  <c:v>653.85406638827374</c:v>
                </c:pt>
                <c:pt idx="93">
                  <c:v>665.87132552880132</c:v>
                </c:pt>
                <c:pt idx="94">
                  <c:v>677.8841243448378</c:v>
                </c:pt>
                <c:pt idx="95">
                  <c:v>689.89255298185083</c:v>
                </c:pt>
                <c:pt idx="96">
                  <c:v>701.89669819273684</c:v>
                </c:pt>
                <c:pt idx="97">
                  <c:v>713.89664352255056</c:v>
                </c:pt>
                <c:pt idx="98">
                  <c:v>725.89246948017444</c:v>
                </c:pt>
                <c:pt idx="99">
                  <c:v>737.88425369805884</c:v>
                </c:pt>
                <c:pt idx="100">
                  <c:v>749.87207108104496</c:v>
                </c:pt>
                <c:pt idx="101">
                  <c:v>648.55688512470113</c:v>
                </c:pt>
                <c:pt idx="102">
                  <c:v>659.15036331603972</c:v>
                </c:pt>
                <c:pt idx="103">
                  <c:v>669.74033646098962</c:v>
                </c:pt>
                <c:pt idx="104">
                  <c:v>680.3268677760442</c:v>
                </c:pt>
                <c:pt idx="105">
                  <c:v>690.91001835052737</c:v>
                </c:pt>
                <c:pt idx="106">
                  <c:v>701.48984725034495</c:v>
                </c:pt>
                <c:pt idx="107">
                  <c:v>712.06641161515665</c:v>
                </c:pt>
                <c:pt idx="108">
                  <c:v>722.63976674947298</c:v>
                </c:pt>
                <c:pt idx="109">
                  <c:v>733.20996620815151</c:v>
                </c:pt>
                <c:pt idx="110">
                  <c:v>743.77706187670526</c:v>
                </c:pt>
                <c:pt idx="111">
                  <c:v>649.16814374322723</c:v>
                </c:pt>
                <c:pt idx="112">
                  <c:v>658.33560563795152</c:v>
                </c:pt>
                <c:pt idx="113">
                  <c:v>667.50043896177999</c:v>
                </c:pt>
                <c:pt idx="114">
                  <c:v>676.66268488632579</c:v>
                </c:pt>
                <c:pt idx="115">
                  <c:v>685.82238337756633</c:v>
                </c:pt>
                <c:pt idx="116">
                  <c:v>694.97957324712036</c:v>
                </c:pt>
                <c:pt idx="117">
                  <c:v>704.13429220068622</c:v>
                </c:pt>
                <c:pt idx="118">
                  <c:v>713.28657688382839</c:v>
                </c:pt>
                <c:pt idx="119">
                  <c:v>722.4364629252932</c:v>
                </c:pt>
                <c:pt idx="120">
                  <c:v>731.58398497801807</c:v>
                </c:pt>
                <c:pt idx="121">
                  <c:v>644.20981370492098</c:v>
                </c:pt>
                <c:pt idx="122">
                  <c:v>652.49589941470958</c:v>
                </c:pt>
                <c:pt idx="123">
                  <c:v>660.77981648497837</c:v>
                </c:pt>
                <c:pt idx="124">
                  <c:v>669.06159593363623</c:v>
                </c:pt>
                <c:pt idx="125">
                  <c:v>677.34126794817212</c:v>
                </c:pt>
                <c:pt idx="126">
                  <c:v>685.61886191798339</c:v>
                </c:pt>
                <c:pt idx="127">
                  <c:v>693.89440646506364</c:v>
                </c:pt>
                <c:pt idx="128">
                  <c:v>702.167929473149</c:v>
                </c:pt>
                <c:pt idx="129">
                  <c:v>710.43945811542119</c:v>
                </c:pt>
                <c:pt idx="130">
                  <c:v>718.7090188808528</c:v>
                </c:pt>
                <c:pt idx="131">
                  <c:v>726.97663759927946</c:v>
                </c:pt>
                <c:pt idx="132">
                  <c:v>735.24233946526863</c:v>
                </c:pt>
                <c:pt idx="133">
                  <c:v>743.50614906086423</c:v>
                </c:pt>
                <c:pt idx="134">
                  <c:v>751.76809037726468</c:v>
                </c:pt>
                <c:pt idx="135">
                  <c:v>760.02818683550049</c:v>
                </c:pt>
                <c:pt idx="136">
                  <c:v>635.10616610652744</c:v>
                </c:pt>
                <c:pt idx="137">
                  <c:v>642.44364323070226</c:v>
                </c:pt>
                <c:pt idx="138">
                  <c:v>649.77939049111683</c:v>
                </c:pt>
                <c:pt idx="139">
                  <c:v>657.11343017139018</c:v>
                </c:pt>
                <c:pt idx="140">
                  <c:v>664.44578401716376</c:v>
                </c:pt>
                <c:pt idx="141">
                  <c:v>671.77647325501084</c:v>
                </c:pt>
                <c:pt idx="142">
                  <c:v>679.10551861047941</c:v>
                </c:pt>
                <c:pt idx="143">
                  <c:v>686.43294032531242</c:v>
                </c:pt>
                <c:pt idx="144">
                  <c:v>693.75875817389772</c:v>
                </c:pt>
                <c:pt idx="145">
                  <c:v>701.08299147898595</c:v>
                </c:pt>
                <c:pt idx="146">
                  <c:v>708.40565912671707</c:v>
                </c:pt>
                <c:pt idx="147">
                  <c:v>715.72677958099496</c:v>
                </c:pt>
                <c:pt idx="148">
                  <c:v>723.04637089724235</c:v>
                </c:pt>
                <c:pt idx="149">
                  <c:v>730.36445073556979</c:v>
                </c:pt>
                <c:pt idx="150">
                  <c:v>737.68103637339084</c:v>
                </c:pt>
                <c:pt idx="151">
                  <c:v>1.6380047803526383E-12</c:v>
                </c:pt>
                <c:pt idx="152">
                  <c:v>1.6380047803526383E-12</c:v>
                </c:pt>
                <c:pt idx="153">
                  <c:v>1.6380047803526383E-12</c:v>
                </c:pt>
                <c:pt idx="154">
                  <c:v>1.6380047803526383E-12</c:v>
                </c:pt>
                <c:pt idx="155">
                  <c:v>1.6380047803526383E-12</c:v>
                </c:pt>
                <c:pt idx="156">
                  <c:v>1.6380047803526383E-12</c:v>
                </c:pt>
                <c:pt idx="157">
                  <c:v>1.6380047803526383E-12</c:v>
                </c:pt>
                <c:pt idx="158">
                  <c:v>1.6380047803526383E-12</c:v>
                </c:pt>
                <c:pt idx="159">
                  <c:v>1.6380047803526383E-12</c:v>
                </c:pt>
                <c:pt idx="160">
                  <c:v>1.6380047803526383E-12</c:v>
                </c:pt>
                <c:pt idx="161">
                  <c:v>1.6380047803526383E-12</c:v>
                </c:pt>
                <c:pt idx="162">
                  <c:v>1.6380047803526383E-12</c:v>
                </c:pt>
                <c:pt idx="163">
                  <c:v>1.6380047803526383E-12</c:v>
                </c:pt>
                <c:pt idx="164">
                  <c:v>1.6380047803526383E-12</c:v>
                </c:pt>
                <c:pt idx="165">
                  <c:v>1.6380047803526383E-12</c:v>
                </c:pt>
                <c:pt idx="166">
                  <c:v>1.6380047803526383E-12</c:v>
                </c:pt>
                <c:pt idx="167">
                  <c:v>1.6380047803526383E-12</c:v>
                </c:pt>
                <c:pt idx="168">
                  <c:v>1.6380047803526383E-12</c:v>
                </c:pt>
                <c:pt idx="169">
                  <c:v>1.6380047803526383E-12</c:v>
                </c:pt>
                <c:pt idx="170">
                  <c:v>1.6380047803526383E-12</c:v>
                </c:pt>
                <c:pt idx="171">
                  <c:v>1.6380047803526383E-12</c:v>
                </c:pt>
                <c:pt idx="172">
                  <c:v>1.6380047803526383E-12</c:v>
                </c:pt>
                <c:pt idx="173">
                  <c:v>1.6380047803526383E-12</c:v>
                </c:pt>
                <c:pt idx="174">
                  <c:v>1.6380047803526383E-12</c:v>
                </c:pt>
                <c:pt idx="175">
                  <c:v>1.6380047803526383E-12</c:v>
                </c:pt>
                <c:pt idx="176">
                  <c:v>1.6380047803526383E-12</c:v>
                </c:pt>
                <c:pt idx="177">
                  <c:v>1.6380047803526383E-12</c:v>
                </c:pt>
                <c:pt idx="178">
                  <c:v>1.6380047803526383E-12</c:v>
                </c:pt>
                <c:pt idx="179">
                  <c:v>1.6380047803526383E-12</c:v>
                </c:pt>
                <c:pt idx="180">
                  <c:v>1.6380047803526383E-12</c:v>
                </c:pt>
                <c:pt idx="181">
                  <c:v>1.6380047803526383E-12</c:v>
                </c:pt>
                <c:pt idx="182">
                  <c:v>1.6380047803526383E-12</c:v>
                </c:pt>
                <c:pt idx="183">
                  <c:v>1.6380047803526383E-12</c:v>
                </c:pt>
                <c:pt idx="184">
                  <c:v>1.6380047803526383E-12</c:v>
                </c:pt>
                <c:pt idx="185">
                  <c:v>1.6380047803526383E-12</c:v>
                </c:pt>
                <c:pt idx="186">
                  <c:v>1.6380047803526383E-12</c:v>
                </c:pt>
                <c:pt idx="187">
                  <c:v>1.6380047803526383E-12</c:v>
                </c:pt>
                <c:pt idx="188">
                  <c:v>1.6380047803526383E-12</c:v>
                </c:pt>
                <c:pt idx="189">
                  <c:v>1.6380047803526383E-12</c:v>
                </c:pt>
                <c:pt idx="190">
                  <c:v>1.6380047803526383E-12</c:v>
                </c:pt>
                <c:pt idx="191">
                  <c:v>1.6380047803526383E-12</c:v>
                </c:pt>
                <c:pt idx="192">
                  <c:v>1.6380047803526383E-12</c:v>
                </c:pt>
                <c:pt idx="193">
                  <c:v>1.6380047803526383E-12</c:v>
                </c:pt>
                <c:pt idx="194">
                  <c:v>1.6380047803526383E-12</c:v>
                </c:pt>
                <c:pt idx="195">
                  <c:v>1.6380047803526383E-12</c:v>
                </c:pt>
                <c:pt idx="196">
                  <c:v>1.6380047803526383E-12</c:v>
                </c:pt>
                <c:pt idx="197">
                  <c:v>1.6380047803526383E-12</c:v>
                </c:pt>
                <c:pt idx="198">
                  <c:v>1.6380047803526383E-12</c:v>
                </c:pt>
                <c:pt idx="199">
                  <c:v>1.6380047803526383E-12</c:v>
                </c:pt>
                <c:pt idx="200">
                  <c:v>1.6380047803526383E-12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48043312"/>
        <c:axId val="-648034608"/>
      </c:scatterChart>
      <c:valAx>
        <c:axId val="-6480433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48034608"/>
        <c:crosses val="autoZero"/>
        <c:crossBetween val="midCat"/>
      </c:valAx>
      <c:valAx>
        <c:axId val="-64803460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480433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138" zoomScaleNormal="100" workbookViewId="0">
      <selection activeCell="D217" sqref="D217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5.29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14</v>
      </c>
      <c r="C9" s="35">
        <v>0.3</v>
      </c>
      <c r="D9" s="36">
        <f t="shared" ref="D9:D18" si="0">C9*$C$5</f>
        <v>1.587</v>
      </c>
      <c r="E9" s="37">
        <v>150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25</v>
      </c>
      <c r="C10" s="35">
        <v>0.1</v>
      </c>
      <c r="D10" s="36">
        <f t="shared" si="0"/>
        <v>0.52900000000000003</v>
      </c>
      <c r="E10" s="37">
        <v>150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11</v>
      </c>
      <c r="C11" s="35">
        <v>0.1</v>
      </c>
      <c r="D11" s="36">
        <f t="shared" si="0"/>
        <v>0.52900000000000003</v>
      </c>
      <c r="E11" s="37">
        <v>150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23</v>
      </c>
      <c r="C12" s="35">
        <v>0.1</v>
      </c>
      <c r="D12" s="36">
        <f t="shared" si="0"/>
        <v>0.52900000000000003</v>
      </c>
      <c r="E12" s="37">
        <v>80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29</v>
      </c>
      <c r="C13" s="35">
        <v>0.1</v>
      </c>
      <c r="D13" s="36">
        <f t="shared" si="0"/>
        <v>0.52900000000000003</v>
      </c>
      <c r="E13" s="37">
        <v>69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8</v>
      </c>
      <c r="C14" s="35">
        <v>0.1</v>
      </c>
      <c r="D14" s="36">
        <f t="shared" si="0"/>
        <v>0.52900000000000003</v>
      </c>
      <c r="E14" s="37">
        <v>80</v>
      </c>
      <c r="F14" s="38" t="str">
        <f t="array" ref="F14">IF(E14="","",IF(INDEX(A:A,MAX(IF(ISNUMBER($A$166:$A$185),ROW($A$166:$A$185),"")))&lt;&gt;E14,"Corrigez : révolution incorrecte","OK"))</f>
        <v>OK</v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 t="s">
        <v>6</v>
      </c>
      <c r="C15" s="35">
        <v>0.08</v>
      </c>
      <c r="D15" s="36">
        <f t="shared" si="0"/>
        <v>0.42320000000000002</v>
      </c>
      <c r="E15" s="37">
        <v>120</v>
      </c>
      <c r="F15" s="38" t="str">
        <f t="array" ref="F15">IF(E15="","",IF(INDEX(A:A,MAX(IF(ISNUMBER($A$192:$A$211),ROW($A$192:$A$211),"")))&lt;&gt;E15,"Corrigez : révolution incorrecte","OK"))</f>
        <v>OK</v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 t="s">
        <v>50</v>
      </c>
      <c r="C16" s="35">
        <v>0.05</v>
      </c>
      <c r="D16" s="36">
        <f t="shared" si="0"/>
        <v>0.26450000000000001</v>
      </c>
      <c r="E16" s="37">
        <v>110</v>
      </c>
      <c r="F16" s="38" t="str">
        <f t="array" ref="F16">IF(E16="","",IF(INDEX(A:A,MAX(IF(ISNUMBER($A$218:$A$237),ROW($A$218:$A$237),"")))&lt;&gt;E16,"Corrigez : révolution incorrecte","OK"))</f>
        <v>OK</v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 t="s">
        <v>1</v>
      </c>
      <c r="C17" s="35">
        <v>0.05</v>
      </c>
      <c r="D17" s="36">
        <f t="shared" si="0"/>
        <v>0.26450000000000001</v>
      </c>
      <c r="E17" s="37">
        <v>150</v>
      </c>
      <c r="F17" s="38" t="str">
        <f t="array" ref="F17">IF(E17="","",IF(INDEX(A:A,MAX(IF(ISNUMBER($A$244:$A$263),ROW($A$244:$A$263),"")))&lt;&gt;E17,"Corrigez : révolution incorrecte","OK"))</f>
        <v>OK</v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0.98</v>
      </c>
      <c r="D19" s="41">
        <f>SUM(D9:D18)</f>
        <v>5.1842000000000006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f>67+6</f>
        <v>73</v>
      </c>
      <c r="C36" s="63">
        <v>1</v>
      </c>
      <c r="D36" s="63">
        <v>6</v>
      </c>
      <c r="E36" s="54"/>
      <c r="F36" s="54"/>
      <c r="G36" s="54"/>
      <c r="H36" s="54">
        <v>1</v>
      </c>
      <c r="I36" s="52">
        <f>IFERROR(B36/A36,"")</f>
        <v>3.65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25</v>
      </c>
      <c r="B37" s="63">
        <f>75+28</f>
        <v>103</v>
      </c>
      <c r="C37" s="63"/>
      <c r="D37" s="63"/>
      <c r="E37" s="54"/>
      <c r="F37" s="54"/>
      <c r="G37" s="54"/>
      <c r="H37" s="54"/>
      <c r="I37" s="56">
        <f t="shared" ref="I37:I55" si="1">IF(A37&lt;&gt;0,(B37-(B36-D36))/(A37-A36),"")</f>
        <v>7.2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3">
        <f>93+28+28</f>
        <v>149</v>
      </c>
      <c r="C38" s="63">
        <v>2</v>
      </c>
      <c r="D38" s="63">
        <f>28+28</f>
        <v>56</v>
      </c>
      <c r="E38" s="54"/>
      <c r="F38" s="54"/>
      <c r="G38" s="54"/>
      <c r="H38" s="54">
        <v>1</v>
      </c>
      <c r="I38" s="56">
        <f t="shared" si="1"/>
        <v>9.1999999999999993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63">
        <f>119+28</f>
        <v>147</v>
      </c>
      <c r="C39" s="63"/>
      <c r="D39" s="63"/>
      <c r="E39" s="54"/>
      <c r="F39" s="54"/>
      <c r="G39" s="54"/>
      <c r="H39" s="54"/>
      <c r="I39" s="52">
        <f t="shared" si="1"/>
        <v>10.8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40</v>
      </c>
      <c r="B40" s="63">
        <f>147+28+28</f>
        <v>203</v>
      </c>
      <c r="C40" s="63">
        <v>3</v>
      </c>
      <c r="D40" s="63">
        <f>28+28</f>
        <v>56</v>
      </c>
      <c r="E40" s="54"/>
      <c r="F40" s="54"/>
      <c r="G40" s="54"/>
      <c r="H40" s="54"/>
      <c r="I40" s="52">
        <f t="shared" si="1"/>
        <v>11.2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45</v>
      </c>
      <c r="B41" s="63">
        <f>176+28</f>
        <v>204</v>
      </c>
      <c r="C41" s="63"/>
      <c r="D41" s="63"/>
      <c r="E41" s="54"/>
      <c r="F41" s="54"/>
      <c r="G41" s="54"/>
      <c r="H41" s="54"/>
      <c r="I41" s="56">
        <f t="shared" si="1"/>
        <v>11.4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50</v>
      </c>
      <c r="B42" s="63">
        <f>203+28+28</f>
        <v>259</v>
      </c>
      <c r="C42" s="63">
        <v>4</v>
      </c>
      <c r="D42" s="63">
        <f>28+28</f>
        <v>56</v>
      </c>
      <c r="E42" s="54"/>
      <c r="F42" s="54"/>
      <c r="G42" s="54"/>
      <c r="H42" s="54"/>
      <c r="I42" s="56">
        <f t="shared" si="1"/>
        <v>11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55</v>
      </c>
      <c r="B43" s="63">
        <f>226+28</f>
        <v>254</v>
      </c>
      <c r="C43" s="63"/>
      <c r="D43" s="63"/>
      <c r="E43" s="54"/>
      <c r="F43" s="54"/>
      <c r="G43" s="54"/>
      <c r="H43" s="54"/>
      <c r="I43" s="52">
        <f t="shared" si="1"/>
        <v>10.199999999999999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60</v>
      </c>
      <c r="B44" s="63">
        <f>245+28+28</f>
        <v>301</v>
      </c>
      <c r="C44" s="63">
        <v>5</v>
      </c>
      <c r="D44" s="63">
        <f>28+28</f>
        <v>56</v>
      </c>
      <c r="E44" s="54"/>
      <c r="F44" s="54"/>
      <c r="G44" s="54"/>
      <c r="H44" s="54"/>
      <c r="I44" s="52">
        <f t="shared" si="1"/>
        <v>9.4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65</v>
      </c>
      <c r="B45" s="63">
        <f>261+28</f>
        <v>289</v>
      </c>
      <c r="C45" s="63"/>
      <c r="D45" s="63"/>
      <c r="E45" s="54"/>
      <c r="F45" s="54"/>
      <c r="G45" s="54"/>
      <c r="H45" s="54"/>
      <c r="I45" s="52">
        <f t="shared" si="1"/>
        <v>8.8000000000000007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70</v>
      </c>
      <c r="B46" s="63">
        <f>274+28+28</f>
        <v>330</v>
      </c>
      <c r="C46" s="63">
        <v>6</v>
      </c>
      <c r="D46" s="63">
        <f>28+28</f>
        <v>56</v>
      </c>
      <c r="E46" s="54"/>
      <c r="F46" s="54"/>
      <c r="G46" s="54"/>
      <c r="H46" s="54"/>
      <c r="I46" s="52">
        <f t="shared" si="1"/>
        <v>8.1999999999999993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75</v>
      </c>
      <c r="B47" s="63">
        <f>284+28</f>
        <v>312</v>
      </c>
      <c r="C47" s="63"/>
      <c r="D47" s="63"/>
      <c r="E47" s="54"/>
      <c r="F47" s="54"/>
      <c r="G47" s="54"/>
      <c r="H47" s="54"/>
      <c r="I47" s="52">
        <f t="shared" si="1"/>
        <v>7.6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80</v>
      </c>
      <c r="B48" s="63">
        <f>292+28+28</f>
        <v>348</v>
      </c>
      <c r="C48" s="63">
        <v>7</v>
      </c>
      <c r="D48" s="63">
        <f>28+28</f>
        <v>56</v>
      </c>
      <c r="E48" s="54"/>
      <c r="F48" s="54"/>
      <c r="G48" s="54"/>
      <c r="H48" s="54"/>
      <c r="I48" s="52">
        <f t="shared" si="1"/>
        <v>7.2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90</v>
      </c>
      <c r="B49" s="63">
        <f>302+28+28</f>
        <v>358</v>
      </c>
      <c r="C49" s="63">
        <v>8</v>
      </c>
      <c r="D49" s="63">
        <f>28+28</f>
        <v>56</v>
      </c>
      <c r="E49" s="54"/>
      <c r="F49" s="54"/>
      <c r="G49" s="54"/>
      <c r="H49" s="54"/>
      <c r="I49" s="52">
        <f t="shared" si="1"/>
        <v>6.6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>
        <v>100</v>
      </c>
      <c r="B50" s="53">
        <v>361</v>
      </c>
      <c r="C50" s="53">
        <v>9</v>
      </c>
      <c r="D50" s="53">
        <f>28+27</f>
        <v>55</v>
      </c>
      <c r="E50" s="54"/>
      <c r="F50" s="54"/>
      <c r="G50" s="54"/>
      <c r="H50" s="54"/>
      <c r="I50" s="52">
        <f t="shared" si="1"/>
        <v>5.9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>
        <v>110</v>
      </c>
      <c r="B51" s="53">
        <f>307+26+25</f>
        <v>358</v>
      </c>
      <c r="C51" s="53">
        <v>10</v>
      </c>
      <c r="D51" s="53">
        <f>26+25</f>
        <v>51</v>
      </c>
      <c r="E51" s="54"/>
      <c r="F51" s="54"/>
      <c r="G51" s="54"/>
      <c r="H51" s="54"/>
      <c r="I51" s="52">
        <f t="shared" si="1"/>
        <v>5.2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>
        <v>120</v>
      </c>
      <c r="B52" s="53">
        <f>305+24+23</f>
        <v>352</v>
      </c>
      <c r="C52" s="53">
        <v>11</v>
      </c>
      <c r="D52" s="53">
        <f>24+23</f>
        <v>47</v>
      </c>
      <c r="E52" s="54"/>
      <c r="F52" s="54"/>
      <c r="G52" s="54"/>
      <c r="H52" s="54"/>
      <c r="I52" s="52">
        <f t="shared" si="1"/>
        <v>4.5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>
        <v>135</v>
      </c>
      <c r="B53" s="53">
        <f>301+22+22+21</f>
        <v>366</v>
      </c>
      <c r="C53" s="53">
        <v>12</v>
      </c>
      <c r="D53" s="53">
        <f>22+22+21</f>
        <v>65</v>
      </c>
      <c r="E53" s="54"/>
      <c r="F53" s="54"/>
      <c r="G53" s="54"/>
      <c r="H53" s="54"/>
      <c r="I53" s="52">
        <f t="shared" si="1"/>
        <v>4.0666666666666664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>
        <v>150</v>
      </c>
      <c r="B54" s="53">
        <f>298+20+19+18</f>
        <v>355</v>
      </c>
      <c r="C54" s="53">
        <v>13</v>
      </c>
      <c r="D54" s="53">
        <f>B54</f>
        <v>355</v>
      </c>
      <c r="E54" s="54"/>
      <c r="F54" s="54"/>
      <c r="G54" s="54"/>
      <c r="H54" s="54"/>
      <c r="I54" s="52">
        <f t="shared" si="1"/>
        <v>3.6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Hêtre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v>56</v>
      </c>
      <c r="C62" s="53"/>
      <c r="D62" s="63"/>
      <c r="E62" s="54"/>
      <c r="F62" s="54"/>
      <c r="G62" s="54"/>
      <c r="H62" s="54"/>
      <c r="I62" s="56">
        <f>IFERROR(B62/A62,"")</f>
        <v>2.8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25</v>
      </c>
      <c r="B63" s="63">
        <v>111</v>
      </c>
      <c r="C63" s="53">
        <v>1</v>
      </c>
      <c r="D63" s="63">
        <v>26</v>
      </c>
      <c r="E63" s="54"/>
      <c r="F63" s="54"/>
      <c r="G63" s="54"/>
      <c r="H63" s="54">
        <v>1</v>
      </c>
      <c r="I63" s="52">
        <f>IF(A63&lt;&gt;0,(B63-(B62-D62))/(A63-A62),"")</f>
        <v>11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30</v>
      </c>
      <c r="B64" s="63">
        <v>146</v>
      </c>
      <c r="C64" s="53"/>
      <c r="D64" s="63"/>
      <c r="E64" s="54"/>
      <c r="F64" s="54"/>
      <c r="G64" s="54"/>
      <c r="H64" s="54"/>
      <c r="I64" s="52">
        <f>IF(A64&lt;&gt;0,(B64-(B63-D63))/(A64-A63),"")</f>
        <v>12.2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35</v>
      </c>
      <c r="B65" s="63">
        <f>175+35</f>
        <v>210</v>
      </c>
      <c r="C65" s="53">
        <v>2</v>
      </c>
      <c r="D65" s="63">
        <f>35+35</f>
        <v>70</v>
      </c>
      <c r="E65" s="54"/>
      <c r="F65" s="54"/>
      <c r="G65" s="54"/>
      <c r="H65" s="54"/>
      <c r="I65" s="52">
        <f>IF(A65&lt;&gt;0,(B65-(B64-D64))/(A65-A64),"")</f>
        <v>12.8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40</v>
      </c>
      <c r="B66" s="63">
        <v>207</v>
      </c>
      <c r="C66" s="53"/>
      <c r="D66" s="63"/>
      <c r="E66" s="54"/>
      <c r="F66" s="54"/>
      <c r="G66" s="54"/>
      <c r="H66" s="54"/>
      <c r="I66" s="52">
        <f t="shared" ref="I66:I81" si="2">IF(A66&lt;&gt;0,(B66-(B65-D65))/(A66-A65),"")</f>
        <v>13.4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45</v>
      </c>
      <c r="B67" s="63">
        <f>241+35</f>
        <v>276</v>
      </c>
      <c r="C67" s="53">
        <v>3</v>
      </c>
      <c r="D67" s="63">
        <f>35+35</f>
        <v>70</v>
      </c>
      <c r="E67" s="54"/>
      <c r="F67" s="54"/>
      <c r="G67" s="54"/>
      <c r="H67" s="54"/>
      <c r="I67" s="52">
        <f t="shared" si="2"/>
        <v>13.8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50</v>
      </c>
      <c r="B68" s="63">
        <v>274</v>
      </c>
      <c r="C68" s="53"/>
      <c r="D68" s="63"/>
      <c r="E68" s="54"/>
      <c r="F68" s="54"/>
      <c r="G68" s="54"/>
      <c r="H68" s="54"/>
      <c r="I68" s="52">
        <f t="shared" si="2"/>
        <v>13.6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55</v>
      </c>
      <c r="B69" s="63">
        <f>306+35</f>
        <v>341</v>
      </c>
      <c r="C69" s="53">
        <v>4</v>
      </c>
      <c r="D69" s="63">
        <f>35+35</f>
        <v>70</v>
      </c>
      <c r="E69" s="54"/>
      <c r="F69" s="54"/>
      <c r="G69" s="54"/>
      <c r="H69" s="54"/>
      <c r="I69" s="52">
        <f t="shared" si="2"/>
        <v>13.4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60</v>
      </c>
      <c r="B70" s="63">
        <v>336</v>
      </c>
      <c r="C70" s="53"/>
      <c r="D70" s="63"/>
      <c r="E70" s="54"/>
      <c r="F70" s="54"/>
      <c r="G70" s="54"/>
      <c r="H70" s="54"/>
      <c r="I70" s="52">
        <f t="shared" si="2"/>
        <v>13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65</v>
      </c>
      <c r="B71" s="63">
        <f>363+35</f>
        <v>398</v>
      </c>
      <c r="C71" s="53">
        <v>5</v>
      </c>
      <c r="D71" s="63">
        <f>35+35</f>
        <v>70</v>
      </c>
      <c r="E71" s="54"/>
      <c r="F71" s="54"/>
      <c r="G71" s="54"/>
      <c r="H71" s="54"/>
      <c r="I71" s="52">
        <f t="shared" si="2"/>
        <v>12.4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70</v>
      </c>
      <c r="B72" s="63">
        <v>387</v>
      </c>
      <c r="C72" s="53"/>
      <c r="D72" s="63"/>
      <c r="E72" s="54"/>
      <c r="F72" s="54"/>
      <c r="G72" s="54"/>
      <c r="H72" s="54"/>
      <c r="I72" s="52">
        <f t="shared" si="2"/>
        <v>11.8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75</v>
      </c>
      <c r="B73" s="63">
        <f>407+35</f>
        <v>442</v>
      </c>
      <c r="C73" s="53">
        <v>6</v>
      </c>
      <c r="D73" s="63">
        <f>35+35</f>
        <v>70</v>
      </c>
      <c r="E73" s="54"/>
      <c r="F73" s="54"/>
      <c r="G73" s="54"/>
      <c r="H73" s="54"/>
      <c r="I73" s="52">
        <f t="shared" si="2"/>
        <v>11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80</v>
      </c>
      <c r="B74" s="63">
        <v>424</v>
      </c>
      <c r="C74" s="53"/>
      <c r="D74" s="63"/>
      <c r="E74" s="57"/>
      <c r="F74" s="57"/>
      <c r="G74" s="57"/>
      <c r="H74" s="57"/>
      <c r="I74" s="52">
        <f t="shared" si="2"/>
        <v>10.4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63">
        <v>85</v>
      </c>
      <c r="B75" s="63">
        <f>438+34</f>
        <v>472</v>
      </c>
      <c r="C75" s="63">
        <v>7</v>
      </c>
      <c r="D75" s="63">
        <f>34+33</f>
        <v>67</v>
      </c>
      <c r="E75" s="68"/>
      <c r="F75" s="68"/>
      <c r="G75" s="68"/>
      <c r="H75" s="68"/>
      <c r="I75" s="52">
        <f t="shared" si="2"/>
        <v>9.6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63">
        <v>95</v>
      </c>
      <c r="B76" s="53">
        <v>494</v>
      </c>
      <c r="C76" s="63">
        <v>8</v>
      </c>
      <c r="D76" s="53">
        <v>61</v>
      </c>
      <c r="E76" s="57"/>
      <c r="F76" s="57"/>
      <c r="G76" s="57"/>
      <c r="H76" s="57"/>
      <c r="I76" s="52">
        <f t="shared" si="2"/>
        <v>8.9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105</v>
      </c>
      <c r="B77" s="53">
        <v>513</v>
      </c>
      <c r="C77" s="53">
        <v>9</v>
      </c>
      <c r="D77" s="53">
        <v>57</v>
      </c>
      <c r="E77" s="57"/>
      <c r="F77" s="57"/>
      <c r="G77" s="57"/>
      <c r="H77" s="57"/>
      <c r="I77" s="52">
        <f t="shared" si="2"/>
        <v>8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115</v>
      </c>
      <c r="B78" s="53">
        <v>528</v>
      </c>
      <c r="C78" s="53">
        <v>10</v>
      </c>
      <c r="D78" s="53">
        <v>53</v>
      </c>
      <c r="E78" s="57"/>
      <c r="F78" s="57"/>
      <c r="G78" s="57"/>
      <c r="H78" s="57"/>
      <c r="I78" s="52">
        <f t="shared" si="2"/>
        <v>7.2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125</v>
      </c>
      <c r="B79" s="53">
        <v>539</v>
      </c>
      <c r="C79" s="53">
        <v>11</v>
      </c>
      <c r="D79" s="53">
        <v>51</v>
      </c>
      <c r="E79" s="57"/>
      <c r="F79" s="57"/>
      <c r="G79" s="57"/>
      <c r="H79" s="57"/>
      <c r="I79" s="52">
        <f t="shared" si="2"/>
        <v>6.4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135</v>
      </c>
      <c r="B80" s="53">
        <v>546</v>
      </c>
      <c r="C80" s="53">
        <v>12</v>
      </c>
      <c r="D80" s="53">
        <v>49</v>
      </c>
      <c r="E80" s="57"/>
      <c r="F80" s="57"/>
      <c r="G80" s="57"/>
      <c r="H80" s="57"/>
      <c r="I80" s="52">
        <f t="shared" si="2"/>
        <v>5.8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150</v>
      </c>
      <c r="B81" s="53">
        <v>571</v>
      </c>
      <c r="C81" s="53">
        <v>13</v>
      </c>
      <c r="D81" s="53">
        <v>571</v>
      </c>
      <c r="E81" s="57"/>
      <c r="F81" s="57"/>
      <c r="G81" s="57"/>
      <c r="H81" s="57"/>
      <c r="I81" s="52">
        <f t="shared" si="2"/>
        <v>4.9333333333333336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Chêne pédonculé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20</v>
      </c>
      <c r="B88" s="63">
        <f>67+6</f>
        <v>73</v>
      </c>
      <c r="C88" s="63">
        <v>1</v>
      </c>
      <c r="D88" s="63">
        <v>6</v>
      </c>
      <c r="E88" s="54"/>
      <c r="F88" s="54"/>
      <c r="G88" s="54"/>
      <c r="H88" s="54">
        <v>1</v>
      </c>
      <c r="I88" s="56">
        <f>IFERROR(B88/A88,"")</f>
        <v>3.65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25</v>
      </c>
      <c r="B89" s="63">
        <f>75+28</f>
        <v>103</v>
      </c>
      <c r="C89" s="63"/>
      <c r="D89" s="63"/>
      <c r="E89" s="54"/>
      <c r="F89" s="54"/>
      <c r="G89" s="54"/>
      <c r="H89" s="54"/>
      <c r="I89" s="56">
        <f t="shared" ref="I89:I107" si="3">IF(A89&lt;&gt;0,(B89-(B88-D88))/(A89-A88),"")</f>
        <v>7.2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30</v>
      </c>
      <c r="B90" s="63">
        <f>93+28+28</f>
        <v>149</v>
      </c>
      <c r="C90" s="63">
        <v>2</v>
      </c>
      <c r="D90" s="63">
        <f>28+28</f>
        <v>56</v>
      </c>
      <c r="E90" s="54"/>
      <c r="F90" s="54"/>
      <c r="G90" s="54"/>
      <c r="H90" s="54">
        <v>1</v>
      </c>
      <c r="I90" s="56">
        <f t="shared" si="3"/>
        <v>9.1999999999999993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35</v>
      </c>
      <c r="B91" s="63">
        <f>119+28</f>
        <v>147</v>
      </c>
      <c r="C91" s="63"/>
      <c r="D91" s="63"/>
      <c r="E91" s="54"/>
      <c r="F91" s="54"/>
      <c r="G91" s="54"/>
      <c r="H91" s="54"/>
      <c r="I91" s="56">
        <f t="shared" si="3"/>
        <v>10.8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40</v>
      </c>
      <c r="B92" s="63">
        <f>147+28+28</f>
        <v>203</v>
      </c>
      <c r="C92" s="63">
        <v>3</v>
      </c>
      <c r="D92" s="63">
        <f>28+28</f>
        <v>56</v>
      </c>
      <c r="E92" s="54"/>
      <c r="F92" s="54"/>
      <c r="G92" s="54"/>
      <c r="H92" s="54"/>
      <c r="I92" s="56">
        <f t="shared" si="3"/>
        <v>11.2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45</v>
      </c>
      <c r="B93" s="63">
        <f>176+28</f>
        <v>204</v>
      </c>
      <c r="C93" s="63"/>
      <c r="D93" s="63"/>
      <c r="E93" s="54"/>
      <c r="F93" s="54"/>
      <c r="G93" s="54"/>
      <c r="H93" s="54"/>
      <c r="I93" s="56">
        <f t="shared" si="3"/>
        <v>11.4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50</v>
      </c>
      <c r="B94" s="63">
        <f>203+28+28</f>
        <v>259</v>
      </c>
      <c r="C94" s="63">
        <v>4</v>
      </c>
      <c r="D94" s="63">
        <f>28+28</f>
        <v>56</v>
      </c>
      <c r="E94" s="54"/>
      <c r="F94" s="54"/>
      <c r="G94" s="54"/>
      <c r="H94" s="54"/>
      <c r="I94" s="56">
        <f t="shared" si="3"/>
        <v>11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283">
        <v>55</v>
      </c>
      <c r="B95" s="63">
        <f>226+28</f>
        <v>254</v>
      </c>
      <c r="C95" s="63"/>
      <c r="D95" s="63"/>
      <c r="E95" s="54"/>
      <c r="F95" s="54"/>
      <c r="G95" s="54"/>
      <c r="H95" s="54"/>
      <c r="I95" s="56">
        <f t="shared" si="3"/>
        <v>10.199999999999999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283">
        <v>60</v>
      </c>
      <c r="B96" s="63">
        <f>245+28+28</f>
        <v>301</v>
      </c>
      <c r="C96" s="63">
        <v>5</v>
      </c>
      <c r="D96" s="63">
        <f>28+28</f>
        <v>56</v>
      </c>
      <c r="E96" s="54"/>
      <c r="F96" s="54"/>
      <c r="G96" s="54"/>
      <c r="H96" s="54"/>
      <c r="I96" s="56">
        <f t="shared" si="3"/>
        <v>9.4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283">
        <v>65</v>
      </c>
      <c r="B97" s="63">
        <f>261+28</f>
        <v>289</v>
      </c>
      <c r="C97" s="63"/>
      <c r="D97" s="63"/>
      <c r="E97" s="54"/>
      <c r="F97" s="54"/>
      <c r="G97" s="54"/>
      <c r="H97" s="54"/>
      <c r="I97" s="56">
        <f t="shared" si="3"/>
        <v>8.8000000000000007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283">
        <v>70</v>
      </c>
      <c r="B98" s="63">
        <f>274+28+28</f>
        <v>330</v>
      </c>
      <c r="C98" s="63">
        <v>6</v>
      </c>
      <c r="D98" s="63">
        <f>28+28</f>
        <v>56</v>
      </c>
      <c r="E98" s="54"/>
      <c r="F98" s="54"/>
      <c r="G98" s="54"/>
      <c r="H98" s="54"/>
      <c r="I98" s="56">
        <f t="shared" si="3"/>
        <v>8.1999999999999993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283">
        <v>75</v>
      </c>
      <c r="B99" s="63">
        <f>284+28</f>
        <v>312</v>
      </c>
      <c r="C99" s="63"/>
      <c r="D99" s="63"/>
      <c r="E99" s="54"/>
      <c r="F99" s="54"/>
      <c r="G99" s="54"/>
      <c r="H99" s="54"/>
      <c r="I99" s="56">
        <f t="shared" si="3"/>
        <v>7.6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283">
        <v>80</v>
      </c>
      <c r="B100" s="63">
        <f>292+28+28</f>
        <v>348</v>
      </c>
      <c r="C100" s="63">
        <v>7</v>
      </c>
      <c r="D100" s="63">
        <f>28+28</f>
        <v>56</v>
      </c>
      <c r="E100" s="54"/>
      <c r="F100" s="54"/>
      <c r="G100" s="54"/>
      <c r="H100" s="54"/>
      <c r="I100" s="56">
        <f t="shared" si="3"/>
        <v>7.2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283">
        <v>90</v>
      </c>
      <c r="B101" s="63">
        <f>302+28+28</f>
        <v>358</v>
      </c>
      <c r="C101" s="63">
        <v>8</v>
      </c>
      <c r="D101" s="63">
        <f>28+28</f>
        <v>56</v>
      </c>
      <c r="E101" s="54"/>
      <c r="F101" s="54"/>
      <c r="G101" s="54"/>
      <c r="H101" s="54"/>
      <c r="I101" s="56">
        <f t="shared" si="3"/>
        <v>6.6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283">
        <v>100</v>
      </c>
      <c r="B102" s="53">
        <v>361</v>
      </c>
      <c r="C102" s="53">
        <v>9</v>
      </c>
      <c r="D102" s="53">
        <v>55</v>
      </c>
      <c r="E102" s="54"/>
      <c r="F102" s="54"/>
      <c r="G102" s="54"/>
      <c r="H102" s="54"/>
      <c r="I102" s="56">
        <f t="shared" si="3"/>
        <v>5.9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283">
        <v>110</v>
      </c>
      <c r="B103" s="53">
        <v>358</v>
      </c>
      <c r="C103" s="53">
        <v>10</v>
      </c>
      <c r="D103" s="53">
        <v>51</v>
      </c>
      <c r="E103" s="54"/>
      <c r="F103" s="54"/>
      <c r="G103" s="54"/>
      <c r="H103" s="54"/>
      <c r="I103" s="56">
        <f t="shared" si="3"/>
        <v>5.2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283">
        <v>120</v>
      </c>
      <c r="B104" s="53">
        <v>352</v>
      </c>
      <c r="C104" s="53">
        <v>11</v>
      </c>
      <c r="D104" s="53">
        <v>47</v>
      </c>
      <c r="E104" s="54"/>
      <c r="F104" s="54"/>
      <c r="G104" s="54"/>
      <c r="H104" s="54"/>
      <c r="I104" s="56">
        <f t="shared" si="3"/>
        <v>4.5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283">
        <v>135</v>
      </c>
      <c r="B105" s="53">
        <v>366</v>
      </c>
      <c r="C105" s="53">
        <v>12</v>
      </c>
      <c r="D105" s="53">
        <v>65</v>
      </c>
      <c r="E105" s="54"/>
      <c r="F105" s="54"/>
      <c r="G105" s="54"/>
      <c r="H105" s="54"/>
      <c r="I105" s="56">
        <f t="shared" si="3"/>
        <v>4.0666666666666664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283">
        <v>150</v>
      </c>
      <c r="B106" s="53">
        <v>355</v>
      </c>
      <c r="C106" s="53">
        <v>13</v>
      </c>
      <c r="D106" s="53">
        <v>355</v>
      </c>
      <c r="E106" s="54"/>
      <c r="F106" s="54"/>
      <c r="G106" s="54"/>
      <c r="H106" s="54"/>
      <c r="I106" s="56">
        <f t="shared" si="3"/>
        <v>3.6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283"/>
      <c r="B107" s="53"/>
      <c r="C107" s="53"/>
      <c r="D107" s="53"/>
      <c r="E107" s="54"/>
      <c r="F107" s="54"/>
      <c r="G107" s="54"/>
      <c r="H107" s="54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Erable sycomore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10</v>
      </c>
      <c r="B114" s="63">
        <f>12.1+6.7</f>
        <v>18.8</v>
      </c>
      <c r="C114" s="53"/>
      <c r="D114" s="63"/>
      <c r="E114" s="54"/>
      <c r="F114" s="54"/>
      <c r="G114" s="54"/>
      <c r="H114" s="54"/>
      <c r="I114" s="56">
        <f>IFERROR(B114/A114,"")</f>
        <v>1.8800000000000001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15</v>
      </c>
      <c r="B115" s="63">
        <f>42.6+42+6.7</f>
        <v>91.3</v>
      </c>
      <c r="C115" s="53"/>
      <c r="D115" s="63"/>
      <c r="E115" s="54"/>
      <c r="F115" s="54"/>
      <c r="G115" s="54"/>
      <c r="H115" s="54"/>
      <c r="I115" s="56">
        <f t="shared" ref="I115:I133" si="4">IF(A115&lt;&gt;0,(B115-(B114-D114))/(A115-A114),"")</f>
        <v>14.5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20</v>
      </c>
      <c r="B116" s="63">
        <f>81.2+6.7+42+42</f>
        <v>171.9</v>
      </c>
      <c r="C116" s="53">
        <v>1</v>
      </c>
      <c r="D116" s="63">
        <f>6.7+42+42</f>
        <v>90.7</v>
      </c>
      <c r="E116" s="54"/>
      <c r="F116" s="54"/>
      <c r="G116" s="54"/>
      <c r="H116" s="54">
        <v>1</v>
      </c>
      <c r="I116" s="56">
        <f t="shared" si="4"/>
        <v>16.12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25</v>
      </c>
      <c r="B117" s="63">
        <f>123+42</f>
        <v>165</v>
      </c>
      <c r="C117" s="53"/>
      <c r="D117" s="63"/>
      <c r="E117" s="54"/>
      <c r="F117" s="54"/>
      <c r="G117" s="54"/>
      <c r="H117" s="54"/>
      <c r="I117" s="56">
        <f t="shared" si="4"/>
        <v>16.759999999999998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30</v>
      </c>
      <c r="B118" s="63">
        <f>163.2+42+42</f>
        <v>247.2</v>
      </c>
      <c r="C118" s="53">
        <v>2</v>
      </c>
      <c r="D118" s="63">
        <f>42+42</f>
        <v>84</v>
      </c>
      <c r="E118" s="54"/>
      <c r="F118" s="54"/>
      <c r="G118" s="54"/>
      <c r="H118" s="54">
        <v>1</v>
      </c>
      <c r="I118" s="56">
        <f t="shared" si="4"/>
        <v>16.439999999999998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35</v>
      </c>
      <c r="B119" s="63">
        <f>197+42</f>
        <v>239</v>
      </c>
      <c r="C119" s="53"/>
      <c r="D119" s="63"/>
      <c r="E119" s="54"/>
      <c r="F119" s="54"/>
      <c r="G119" s="54"/>
      <c r="H119" s="54"/>
      <c r="I119" s="56">
        <f t="shared" si="4"/>
        <v>15.160000000000002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>
        <v>40</v>
      </c>
      <c r="B120" s="63">
        <f>223.3+42+40.1</f>
        <v>305.40000000000003</v>
      </c>
      <c r="C120" s="63">
        <v>3</v>
      </c>
      <c r="D120" s="63">
        <f>42+40.1</f>
        <v>82.1</v>
      </c>
      <c r="E120" s="93"/>
      <c r="F120" s="93"/>
      <c r="G120" s="93"/>
      <c r="H120" s="93"/>
      <c r="I120" s="56">
        <f t="shared" si="4"/>
        <v>13.280000000000006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>
        <v>45</v>
      </c>
      <c r="B121" s="63">
        <f>253.9+26.3</f>
        <v>280.2</v>
      </c>
      <c r="C121" s="63"/>
      <c r="D121" s="63"/>
      <c r="E121" s="93"/>
      <c r="F121" s="93"/>
      <c r="G121" s="93"/>
      <c r="H121" s="93"/>
      <c r="I121" s="56">
        <f t="shared" si="4"/>
        <v>11.37999999999999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50</v>
      </c>
      <c r="B122" s="63">
        <f>281.6+26.3+21.2</f>
        <v>329.1</v>
      </c>
      <c r="C122" s="63">
        <v>4</v>
      </c>
      <c r="D122" s="63">
        <f>26.3+21.2</f>
        <v>47.5</v>
      </c>
      <c r="E122" s="93"/>
      <c r="F122" s="93"/>
      <c r="G122" s="93"/>
      <c r="H122" s="93"/>
      <c r="I122" s="56">
        <f t="shared" si="4"/>
        <v>9.7800000000000065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>
        <v>55</v>
      </c>
      <c r="B123" s="63">
        <f>305.7+18.4</f>
        <v>324.09999999999997</v>
      </c>
      <c r="C123" s="63"/>
      <c r="D123" s="63"/>
      <c r="E123" s="93"/>
      <c r="F123" s="93"/>
      <c r="G123" s="93"/>
      <c r="H123" s="93"/>
      <c r="I123" s="56">
        <f t="shared" si="4"/>
        <v>8.4999999999999893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>
        <v>60</v>
      </c>
      <c r="B124" s="63">
        <f>325.5+18.4+16.7</f>
        <v>360.59999999999997</v>
      </c>
      <c r="C124" s="63">
        <v>5</v>
      </c>
      <c r="D124" s="63">
        <f>18.4+16.7</f>
        <v>35.099999999999994</v>
      </c>
      <c r="E124" s="93"/>
      <c r="F124" s="93"/>
      <c r="G124" s="93"/>
      <c r="H124" s="93"/>
      <c r="I124" s="56">
        <f t="shared" si="4"/>
        <v>7.3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>
        <v>65</v>
      </c>
      <c r="B125" s="63">
        <f>340.1+15.9</f>
        <v>356</v>
      </c>
      <c r="C125" s="63"/>
      <c r="D125" s="63"/>
      <c r="E125" s="93"/>
      <c r="F125" s="93"/>
      <c r="G125" s="93"/>
      <c r="H125" s="93"/>
      <c r="I125" s="56">
        <f t="shared" si="4"/>
        <v>6.1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>
        <v>70</v>
      </c>
      <c r="B126" s="63">
        <f>350.8+15.9+15</f>
        <v>381.7</v>
      </c>
      <c r="C126" s="63">
        <v>6</v>
      </c>
      <c r="D126" s="63">
        <f>15.9+15</f>
        <v>30.9</v>
      </c>
      <c r="E126" s="68"/>
      <c r="F126" s="68"/>
      <c r="G126" s="68"/>
      <c r="H126" s="68"/>
      <c r="I126" s="56">
        <f t="shared" si="4"/>
        <v>5.1399999999999979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>
        <v>75</v>
      </c>
      <c r="B127" s="63">
        <f>361+14.1</f>
        <v>375.1</v>
      </c>
      <c r="C127" s="63"/>
      <c r="D127" s="63"/>
      <c r="E127" s="68"/>
      <c r="F127" s="68"/>
      <c r="G127" s="68"/>
      <c r="H127" s="68"/>
      <c r="I127" s="56">
        <f t="shared" si="4"/>
        <v>4.8600000000000021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>
        <v>80</v>
      </c>
      <c r="B128" s="53">
        <f>368.3+14.1+13.2</f>
        <v>395.6</v>
      </c>
      <c r="C128" s="53">
        <v>7</v>
      </c>
      <c r="D128" s="53">
        <f>B128</f>
        <v>395.6</v>
      </c>
      <c r="E128" s="57"/>
      <c r="F128" s="57"/>
      <c r="G128" s="57"/>
      <c r="H128" s="57"/>
      <c r="I128" s="56">
        <f t="shared" si="4"/>
        <v>4.0999999999999996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Merisier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15</v>
      </c>
      <c r="B140" s="63">
        <v>40</v>
      </c>
      <c r="C140" s="53"/>
      <c r="D140" s="63"/>
      <c r="E140" s="66"/>
      <c r="F140" s="66"/>
      <c r="G140" s="66"/>
      <c r="H140" s="66"/>
      <c r="I140" s="60">
        <f>IFERROR(B140/A140,"")</f>
        <v>2.6666666666666665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20</v>
      </c>
      <c r="B141" s="63">
        <f>85+3</f>
        <v>88</v>
      </c>
      <c r="C141" s="53">
        <v>1</v>
      </c>
      <c r="D141" s="63">
        <v>3</v>
      </c>
      <c r="E141" s="66"/>
      <c r="F141" s="66"/>
      <c r="G141" s="66"/>
      <c r="H141" s="66">
        <v>1</v>
      </c>
      <c r="I141" s="60">
        <f t="shared" ref="I141:I159" si="5">IF(A141&lt;&gt;0,(B141-(B140-D140))/(A141-A140),"")</f>
        <v>9.6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25</v>
      </c>
      <c r="B142" s="63">
        <f>113+25</f>
        <v>138</v>
      </c>
      <c r="C142" s="53">
        <v>2</v>
      </c>
      <c r="D142" s="63">
        <f>25+27</f>
        <v>52</v>
      </c>
      <c r="E142" s="66"/>
      <c r="F142" s="66"/>
      <c r="G142" s="66"/>
      <c r="H142" s="66">
        <v>1</v>
      </c>
      <c r="I142" s="60">
        <f t="shared" si="5"/>
        <v>10.6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8">
        <v>31</v>
      </c>
      <c r="B143" s="58">
        <v>155</v>
      </c>
      <c r="C143" s="58">
        <v>3</v>
      </c>
      <c r="D143" s="58">
        <v>36</v>
      </c>
      <c r="E143" s="66"/>
      <c r="F143" s="66"/>
      <c r="G143" s="66"/>
      <c r="H143" s="66"/>
      <c r="I143" s="60">
        <f t="shared" si="5"/>
        <v>11.5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8">
        <v>37</v>
      </c>
      <c r="B144" s="58">
        <v>188</v>
      </c>
      <c r="C144" s="58">
        <v>4</v>
      </c>
      <c r="D144" s="58">
        <v>36</v>
      </c>
      <c r="E144" s="66"/>
      <c r="F144" s="66"/>
      <c r="G144" s="66"/>
      <c r="H144" s="66"/>
      <c r="I144" s="60">
        <f t="shared" si="5"/>
        <v>11.5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8">
        <v>44</v>
      </c>
      <c r="B145" s="58">
        <v>230</v>
      </c>
      <c r="C145" s="58">
        <v>5</v>
      </c>
      <c r="D145" s="58">
        <v>43</v>
      </c>
      <c r="E145" s="66"/>
      <c r="F145" s="66"/>
      <c r="G145" s="66"/>
      <c r="H145" s="66"/>
      <c r="I145" s="60">
        <f t="shared" si="5"/>
        <v>11.142857142857142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8">
        <v>52</v>
      </c>
      <c r="B146" s="58">
        <v>270</v>
      </c>
      <c r="C146" s="58">
        <v>6</v>
      </c>
      <c r="D146" s="58">
        <v>48</v>
      </c>
      <c r="E146" s="66"/>
      <c r="F146" s="66"/>
      <c r="G146" s="66"/>
      <c r="H146" s="66"/>
      <c r="I146" s="60">
        <f t="shared" si="5"/>
        <v>10.375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8">
        <v>60</v>
      </c>
      <c r="B147" s="58">
        <v>297</v>
      </c>
      <c r="C147" s="58">
        <v>7</v>
      </c>
      <c r="D147" s="58">
        <v>47</v>
      </c>
      <c r="E147" s="66"/>
      <c r="F147" s="66"/>
      <c r="G147" s="66"/>
      <c r="H147" s="66"/>
      <c r="I147" s="60">
        <f>IF(A147&lt;&gt;0,(B147-(B146-D146))/(A147-A146),"")</f>
        <v>9.375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8">
        <v>69</v>
      </c>
      <c r="B148" s="58">
        <v>328</v>
      </c>
      <c r="C148" s="58">
        <v>8</v>
      </c>
      <c r="D148" s="58">
        <v>328</v>
      </c>
      <c r="E148" s="66"/>
      <c r="F148" s="66"/>
      <c r="G148" s="66"/>
      <c r="H148" s="66"/>
      <c r="I148" s="60">
        <f t="shared" si="5"/>
        <v>8.6666666666666661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Châtaignier</v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>
        <v>10</v>
      </c>
      <c r="B166" s="63">
        <f>12.1+6.7</f>
        <v>18.8</v>
      </c>
      <c r="C166" s="53"/>
      <c r="D166" s="63"/>
      <c r="E166" s="54"/>
      <c r="F166" s="54"/>
      <c r="G166" s="54"/>
      <c r="H166" s="54"/>
      <c r="I166" s="52">
        <f>IFERROR(B166/A166,"")</f>
        <v>1.8800000000000001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>
        <v>15</v>
      </c>
      <c r="B167" s="63">
        <f>42.6+42+6.7</f>
        <v>91.3</v>
      </c>
      <c r="C167" s="53"/>
      <c r="D167" s="63"/>
      <c r="E167" s="54"/>
      <c r="F167" s="54"/>
      <c r="G167" s="54"/>
      <c r="H167" s="54"/>
      <c r="I167" s="52">
        <f t="shared" ref="I167:I185" si="6">IF(A167&lt;&gt;0,(B167-(B166-D166))/(A167-A166),"")</f>
        <v>14.5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>
        <v>20</v>
      </c>
      <c r="B168" s="63">
        <f>81.2+6.7+42+42</f>
        <v>171.9</v>
      </c>
      <c r="C168" s="53">
        <v>1</v>
      </c>
      <c r="D168" s="63">
        <f>6.7+42+42</f>
        <v>90.7</v>
      </c>
      <c r="E168" s="54"/>
      <c r="F168" s="54"/>
      <c r="G168" s="54"/>
      <c r="H168" s="54">
        <v>1</v>
      </c>
      <c r="I168" s="52">
        <f t="shared" si="6"/>
        <v>16.12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>
        <v>25</v>
      </c>
      <c r="B169" s="63">
        <f>123+42</f>
        <v>165</v>
      </c>
      <c r="C169" s="53"/>
      <c r="D169" s="63"/>
      <c r="E169" s="54"/>
      <c r="F169" s="54"/>
      <c r="G169" s="54"/>
      <c r="H169" s="54"/>
      <c r="I169" s="52">
        <f t="shared" si="6"/>
        <v>16.759999999999998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>
        <v>30</v>
      </c>
      <c r="B170" s="63">
        <f>163.2+42+42</f>
        <v>247.2</v>
      </c>
      <c r="C170" s="53">
        <v>2</v>
      </c>
      <c r="D170" s="63">
        <f>42+42</f>
        <v>84</v>
      </c>
      <c r="E170" s="54"/>
      <c r="F170" s="54"/>
      <c r="G170" s="54"/>
      <c r="H170" s="54">
        <v>1</v>
      </c>
      <c r="I170" s="52">
        <f t="shared" si="6"/>
        <v>16.439999999999998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>
        <v>35</v>
      </c>
      <c r="B171" s="63">
        <f>197+42</f>
        <v>239</v>
      </c>
      <c r="C171" s="53"/>
      <c r="D171" s="63"/>
      <c r="E171" s="54"/>
      <c r="F171" s="54"/>
      <c r="G171" s="54"/>
      <c r="H171" s="54"/>
      <c r="I171" s="52">
        <f t="shared" si="6"/>
        <v>15.160000000000002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63">
        <v>40</v>
      </c>
      <c r="B172" s="63">
        <f>223.3+42+40.1</f>
        <v>305.40000000000003</v>
      </c>
      <c r="C172" s="63">
        <v>3</v>
      </c>
      <c r="D172" s="63">
        <f>42+40.1</f>
        <v>82.1</v>
      </c>
      <c r="E172" s="93"/>
      <c r="F172" s="93"/>
      <c r="G172" s="93"/>
      <c r="H172" s="93"/>
      <c r="I172" s="52">
        <f t="shared" si="6"/>
        <v>13.280000000000006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63">
        <v>45</v>
      </c>
      <c r="B173" s="63">
        <f>253.9+26.3</f>
        <v>280.2</v>
      </c>
      <c r="C173" s="63"/>
      <c r="D173" s="63"/>
      <c r="E173" s="93"/>
      <c r="F173" s="93"/>
      <c r="G173" s="93"/>
      <c r="H173" s="93"/>
      <c r="I173" s="52">
        <f t="shared" si="6"/>
        <v>11.37999999999999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63">
        <v>50</v>
      </c>
      <c r="B174" s="63">
        <f>281.6+26.3+21.2</f>
        <v>329.1</v>
      </c>
      <c r="C174" s="63">
        <v>4</v>
      </c>
      <c r="D174" s="63">
        <f>26.3+21.2</f>
        <v>47.5</v>
      </c>
      <c r="E174" s="93"/>
      <c r="F174" s="93"/>
      <c r="G174" s="93"/>
      <c r="H174" s="93"/>
      <c r="I174" s="52">
        <f t="shared" si="6"/>
        <v>9.7800000000000065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63">
        <v>55</v>
      </c>
      <c r="B175" s="63">
        <f>305.7+18.4</f>
        <v>324.09999999999997</v>
      </c>
      <c r="C175" s="63"/>
      <c r="D175" s="63"/>
      <c r="E175" s="93"/>
      <c r="F175" s="93"/>
      <c r="G175" s="93"/>
      <c r="H175" s="93"/>
      <c r="I175" s="52">
        <f t="shared" si="6"/>
        <v>8.4999999999999893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63">
        <v>60</v>
      </c>
      <c r="B176" s="63">
        <f>325.5+18.4+16.7</f>
        <v>360.59999999999997</v>
      </c>
      <c r="C176" s="63">
        <v>5</v>
      </c>
      <c r="D176" s="63">
        <f>18.4+16.7</f>
        <v>35.099999999999994</v>
      </c>
      <c r="E176" s="93"/>
      <c r="F176" s="93"/>
      <c r="G176" s="93"/>
      <c r="H176" s="93"/>
      <c r="I176" s="52">
        <f t="shared" si="6"/>
        <v>7.3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63">
        <v>65</v>
      </c>
      <c r="B177" s="63">
        <f>340.1+15.9</f>
        <v>356</v>
      </c>
      <c r="C177" s="63"/>
      <c r="D177" s="63"/>
      <c r="E177" s="93"/>
      <c r="F177" s="93"/>
      <c r="G177" s="93"/>
      <c r="H177" s="93"/>
      <c r="I177" s="52">
        <f t="shared" si="6"/>
        <v>6.1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63">
        <v>70</v>
      </c>
      <c r="B178" s="63">
        <f>350.8+15.9+15</f>
        <v>381.7</v>
      </c>
      <c r="C178" s="63">
        <v>6</v>
      </c>
      <c r="D178" s="63">
        <f>15.9+15</f>
        <v>30.9</v>
      </c>
      <c r="E178" s="68"/>
      <c r="F178" s="68"/>
      <c r="G178" s="68"/>
      <c r="H178" s="68"/>
      <c r="I178" s="52">
        <f t="shared" si="6"/>
        <v>5.1399999999999979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63">
        <v>75</v>
      </c>
      <c r="B179" s="63">
        <f>361+14.1</f>
        <v>375.1</v>
      </c>
      <c r="C179" s="63"/>
      <c r="D179" s="63"/>
      <c r="E179" s="68"/>
      <c r="F179" s="68"/>
      <c r="G179" s="68"/>
      <c r="H179" s="68"/>
      <c r="I179" s="52">
        <f t="shared" si="6"/>
        <v>4.8600000000000021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>
        <v>80</v>
      </c>
      <c r="B180" s="53">
        <v>395.6</v>
      </c>
      <c r="C180" s="53">
        <v>7</v>
      </c>
      <c r="D180" s="53">
        <v>395.6</v>
      </c>
      <c r="E180" s="57"/>
      <c r="F180" s="57"/>
      <c r="G180" s="57"/>
      <c r="H180" s="57"/>
      <c r="I180" s="52">
        <f t="shared" si="6"/>
        <v>4.0999999999999996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>Charme</v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>
        <v>15</v>
      </c>
      <c r="B192" s="63">
        <f>(84+8)/1.56</f>
        <v>58.974358974358971</v>
      </c>
      <c r="C192" s="63"/>
      <c r="D192" s="63"/>
      <c r="E192" s="54"/>
      <c r="F192" s="54"/>
      <c r="G192" s="54"/>
      <c r="H192" s="54">
        <v>1</v>
      </c>
      <c r="I192" s="52">
        <f>IFERROR(B192/A192,"")</f>
        <v>3.9316239316239314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>
        <v>20</v>
      </c>
      <c r="B193" s="63">
        <f>(131+8+16)/1.56</f>
        <v>99.358974358974351</v>
      </c>
      <c r="C193" s="63">
        <v>1</v>
      </c>
      <c r="D193" s="63">
        <f>(8+16+21)/1.56</f>
        <v>28.846153846153847</v>
      </c>
      <c r="E193" s="54"/>
      <c r="F193" s="54"/>
      <c r="G193" s="54"/>
      <c r="H193" s="54"/>
      <c r="I193" s="52">
        <f t="shared" ref="I193:I211" si="7">IF(A193&lt;&gt;0,(B193-(B192-D192))/(A193-A192),"")</f>
        <v>8.0769230769230766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>
        <v>25</v>
      </c>
      <c r="B194" s="63">
        <f>173/1.56</f>
        <v>110.8974358974359</v>
      </c>
      <c r="C194" s="63"/>
      <c r="D194" s="63"/>
      <c r="E194" s="54"/>
      <c r="F194" s="54"/>
      <c r="G194" s="54"/>
      <c r="H194" s="54">
        <v>1</v>
      </c>
      <c r="I194" s="52">
        <f t="shared" si="7"/>
        <v>8.0769230769230802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>
        <v>30</v>
      </c>
      <c r="B195" s="63">
        <f>(210+25)/1.56</f>
        <v>150.64102564102564</v>
      </c>
      <c r="C195" s="63">
        <v>2</v>
      </c>
      <c r="D195" s="63">
        <f>(25+28)/1.56</f>
        <v>33.974358974358971</v>
      </c>
      <c r="E195" s="54"/>
      <c r="F195" s="54"/>
      <c r="G195" s="54"/>
      <c r="H195" s="54"/>
      <c r="I195" s="52">
        <f t="shared" si="7"/>
        <v>7.9487179487179471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>
        <v>35</v>
      </c>
      <c r="B196" s="63">
        <f>241/1.56</f>
        <v>154.48717948717947</v>
      </c>
      <c r="C196" s="63"/>
      <c r="D196" s="63"/>
      <c r="E196" s="54"/>
      <c r="F196" s="54"/>
      <c r="G196" s="54"/>
      <c r="H196" s="54"/>
      <c r="I196" s="52">
        <f t="shared" si="7"/>
        <v>7.5641025641025639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>
        <v>40</v>
      </c>
      <c r="B197" s="63">
        <f>(268+29)/1.56</f>
        <v>190.38461538461539</v>
      </c>
      <c r="C197" s="63">
        <v>3</v>
      </c>
      <c r="D197" s="63">
        <f>(29+29)/1.56</f>
        <v>37.179487179487175</v>
      </c>
      <c r="E197" s="54"/>
      <c r="F197" s="54"/>
      <c r="G197" s="54"/>
      <c r="H197" s="54"/>
      <c r="I197" s="52">
        <f t="shared" si="7"/>
        <v>7.1794871794871824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>
        <v>45</v>
      </c>
      <c r="B198" s="63">
        <f>291/1.56</f>
        <v>186.53846153846152</v>
      </c>
      <c r="C198" s="63"/>
      <c r="D198" s="63"/>
      <c r="E198" s="54"/>
      <c r="F198" s="54"/>
      <c r="G198" s="54"/>
      <c r="H198" s="54"/>
      <c r="I198" s="52">
        <f t="shared" si="7"/>
        <v>6.6666666666666625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>
        <v>50</v>
      </c>
      <c r="B199" s="53">
        <f>(311+29)/1.56</f>
        <v>217.94871794871793</v>
      </c>
      <c r="C199" s="53">
        <v>4</v>
      </c>
      <c r="D199" s="53">
        <f>(29+29)/1.56</f>
        <v>37.179487179487175</v>
      </c>
      <c r="E199" s="54"/>
      <c r="F199" s="54"/>
      <c r="G199" s="54"/>
      <c r="H199" s="54"/>
      <c r="I199" s="52">
        <f t="shared" si="7"/>
        <v>6.2820512820512819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>
        <v>55</v>
      </c>
      <c r="B200" s="53">
        <f>328/1.56</f>
        <v>210.25641025641025</v>
      </c>
      <c r="C200" s="53"/>
      <c r="D200" s="53"/>
      <c r="E200" s="54"/>
      <c r="F200" s="54"/>
      <c r="G200" s="54"/>
      <c r="H200" s="54"/>
      <c r="I200" s="52">
        <f t="shared" si="7"/>
        <v>5.8974358974359005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>
        <v>60</v>
      </c>
      <c r="B201" s="53">
        <f>(343+28)/1.56</f>
        <v>237.82051282051282</v>
      </c>
      <c r="C201" s="53">
        <v>5</v>
      </c>
      <c r="D201" s="53">
        <f>(28+27)/1.56</f>
        <v>35.256410256410255</v>
      </c>
      <c r="E201" s="54"/>
      <c r="F201" s="54"/>
      <c r="G201" s="54"/>
      <c r="H201" s="54"/>
      <c r="I201" s="52">
        <f t="shared" si="7"/>
        <v>5.5128205128205137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>
        <v>65</v>
      </c>
      <c r="B202" s="53">
        <f>357/1.56</f>
        <v>228.84615384615384</v>
      </c>
      <c r="C202" s="53"/>
      <c r="D202" s="53"/>
      <c r="E202" s="54"/>
      <c r="F202" s="54"/>
      <c r="G202" s="54"/>
      <c r="H202" s="54"/>
      <c r="I202" s="52">
        <f t="shared" si="7"/>
        <v>5.2564102564102537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>
        <v>70</v>
      </c>
      <c r="B203" s="53">
        <f>(369+27)/1.56</f>
        <v>253.84615384615384</v>
      </c>
      <c r="C203" s="53">
        <v>6</v>
      </c>
      <c r="D203" s="53">
        <f>(27+26)/1.56</f>
        <v>33.974358974358971</v>
      </c>
      <c r="E203" s="54"/>
      <c r="F203" s="54"/>
      <c r="G203" s="54"/>
      <c r="H203" s="54"/>
      <c r="I203" s="52">
        <f t="shared" si="7"/>
        <v>5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>
        <v>75</v>
      </c>
      <c r="B204" s="53">
        <f>381/1.56</f>
        <v>244.23076923076923</v>
      </c>
      <c r="C204" s="53"/>
      <c r="D204" s="53"/>
      <c r="E204" s="54"/>
      <c r="F204" s="54"/>
      <c r="G204" s="54"/>
      <c r="H204" s="54"/>
      <c r="I204" s="52">
        <f t="shared" si="7"/>
        <v>4.8717948717948731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>
        <v>80</v>
      </c>
      <c r="B205" s="53">
        <f>(391+25)/1.56</f>
        <v>266.66666666666669</v>
      </c>
      <c r="C205" s="53">
        <v>7</v>
      </c>
      <c r="D205" s="53">
        <f>(25+24)/1.56</f>
        <v>31.410256410256409</v>
      </c>
      <c r="E205" s="54"/>
      <c r="F205" s="54"/>
      <c r="G205" s="54"/>
      <c r="H205" s="54"/>
      <c r="I205" s="52">
        <f t="shared" si="7"/>
        <v>4.4871794871794917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>
        <v>85</v>
      </c>
      <c r="B206" s="53">
        <f>401/1.56</f>
        <v>257.05128205128204</v>
      </c>
      <c r="C206" s="53"/>
      <c r="D206" s="53"/>
      <c r="E206" s="54"/>
      <c r="F206" s="54"/>
      <c r="G206" s="54"/>
      <c r="H206" s="54"/>
      <c r="I206" s="52">
        <f t="shared" si="7"/>
        <v>4.3589743589743533</v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>
        <v>90</v>
      </c>
      <c r="B207" s="53">
        <f>(409+24)/1.56</f>
        <v>277.56410256410254</v>
      </c>
      <c r="C207" s="53">
        <v>8</v>
      </c>
      <c r="D207" s="53">
        <f>(24+23)/1.56</f>
        <v>30.128205128205128</v>
      </c>
      <c r="E207" s="54"/>
      <c r="F207" s="54"/>
      <c r="G207" s="54"/>
      <c r="H207" s="54"/>
      <c r="I207" s="52">
        <f t="shared" si="7"/>
        <v>4.1025641025640995</v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>
        <v>95</v>
      </c>
      <c r="B208" s="53">
        <f>417/1.56</f>
        <v>267.30769230769232</v>
      </c>
      <c r="C208" s="53"/>
      <c r="D208" s="53"/>
      <c r="E208" s="54"/>
      <c r="F208" s="54"/>
      <c r="G208" s="54"/>
      <c r="H208" s="54"/>
      <c r="I208" s="52">
        <f t="shared" si="7"/>
        <v>3.9743589743589838</v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>
        <v>100</v>
      </c>
      <c r="B209" s="53">
        <f>(424+22)/1.56</f>
        <v>285.89743589743591</v>
      </c>
      <c r="C209" s="53">
        <v>9</v>
      </c>
      <c r="D209" s="53">
        <f>(22+22)/1.56</f>
        <v>28.205128205128204</v>
      </c>
      <c r="E209" s="54"/>
      <c r="F209" s="54"/>
      <c r="G209" s="54"/>
      <c r="H209" s="54"/>
      <c r="I209" s="52">
        <f t="shared" si="7"/>
        <v>3.7179487179487181</v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>
        <v>110</v>
      </c>
      <c r="B210" s="53">
        <f>(437+21)/1.56</f>
        <v>293.58974358974359</v>
      </c>
      <c r="C210" s="53">
        <v>10</v>
      </c>
      <c r="D210" s="53">
        <f>(21+20)/1.56</f>
        <v>26.282051282051281</v>
      </c>
      <c r="E210" s="54"/>
      <c r="F210" s="54"/>
      <c r="G210" s="54"/>
      <c r="H210" s="54"/>
      <c r="I210" s="52">
        <f t="shared" si="7"/>
        <v>3.5897435897435854</v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>
        <v>120</v>
      </c>
      <c r="B211" s="53">
        <f>(449+20)/1.56</f>
        <v>300.64102564102564</v>
      </c>
      <c r="C211" s="53">
        <v>11</v>
      </c>
      <c r="D211" s="53">
        <f>B211</f>
        <v>300.64102564102564</v>
      </c>
      <c r="E211" s="54"/>
      <c r="F211" s="54"/>
      <c r="G211" s="54"/>
      <c r="H211" s="54"/>
      <c r="I211" s="52">
        <f t="shared" si="7"/>
        <v>3.3333333333333313</v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>Tilleul</v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>
        <v>10</v>
      </c>
      <c r="B218" s="63">
        <f>51/1.56</f>
        <v>32.692307692307693</v>
      </c>
      <c r="C218" s="63"/>
      <c r="D218" s="63"/>
      <c r="E218" s="54"/>
      <c r="F218" s="54"/>
      <c r="G218" s="54"/>
      <c r="H218" s="54"/>
      <c r="I218" s="56">
        <f>IFERROR(B218/A218,"")</f>
        <v>3.2692307692307692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>
        <v>15</v>
      </c>
      <c r="B219" s="63">
        <f>(110+12)/1.56</f>
        <v>78.205128205128204</v>
      </c>
      <c r="C219" s="63"/>
      <c r="D219" s="63"/>
      <c r="E219" s="54"/>
      <c r="F219" s="54"/>
      <c r="G219" s="54"/>
      <c r="H219" s="54"/>
      <c r="I219" s="56">
        <f t="shared" ref="I219:I237" si="8">IF(A219&lt;&gt;0,(B219-(B218-D218))/(A219-A218),"")</f>
        <v>9.1025641025641022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>
        <v>20</v>
      </c>
      <c r="B220" s="63">
        <f>(166+12+22)/1.56</f>
        <v>128.2051282051282</v>
      </c>
      <c r="C220" s="63">
        <v>1</v>
      </c>
      <c r="D220" s="63">
        <f>(12+22+27)/1.56</f>
        <v>39.102564102564102</v>
      </c>
      <c r="E220" s="54"/>
      <c r="F220" s="54"/>
      <c r="G220" s="54"/>
      <c r="H220" s="54">
        <v>1</v>
      </c>
      <c r="I220" s="56">
        <f t="shared" si="8"/>
        <v>10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3">
        <v>25</v>
      </c>
      <c r="B221" s="63">
        <f>215/1.56</f>
        <v>137.82051282051282</v>
      </c>
      <c r="C221" s="63"/>
      <c r="D221" s="63"/>
      <c r="E221" s="54"/>
      <c r="F221" s="54"/>
      <c r="G221" s="54"/>
      <c r="H221" s="54"/>
      <c r="I221" s="56">
        <f t="shared" si="8"/>
        <v>9.7435897435897427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3">
        <v>30</v>
      </c>
      <c r="B222" s="63">
        <f>(257+30)/1.56</f>
        <v>183.97435897435898</v>
      </c>
      <c r="C222" s="63">
        <v>2</v>
      </c>
      <c r="D222" s="63">
        <f>(30+31)/1.56</f>
        <v>39.102564102564102</v>
      </c>
      <c r="E222" s="54"/>
      <c r="F222" s="54"/>
      <c r="G222" s="54"/>
      <c r="H222" s="54">
        <v>1</v>
      </c>
      <c r="I222" s="56">
        <f t="shared" si="8"/>
        <v>9.2307692307692317</v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3">
        <v>35</v>
      </c>
      <c r="B223" s="63">
        <f>294/1.56</f>
        <v>188.46153846153845</v>
      </c>
      <c r="C223" s="63"/>
      <c r="D223" s="63"/>
      <c r="E223" s="54"/>
      <c r="F223" s="54"/>
      <c r="G223" s="54"/>
      <c r="H223" s="54"/>
      <c r="I223" s="56">
        <f t="shared" si="8"/>
        <v>8.717948717948719</v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3">
        <v>40</v>
      </c>
      <c r="B224" s="63">
        <f>(325+31)/1.56</f>
        <v>228.2051282051282</v>
      </c>
      <c r="C224" s="63">
        <v>3</v>
      </c>
      <c r="D224" s="63">
        <f>(31+31)/1.56</f>
        <v>39.743589743589745</v>
      </c>
      <c r="E224" s="54"/>
      <c r="F224" s="54"/>
      <c r="G224" s="54"/>
      <c r="H224" s="54"/>
      <c r="I224" s="56">
        <f t="shared" si="8"/>
        <v>7.9487179487179507</v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3">
        <v>45</v>
      </c>
      <c r="B225" s="53">
        <v>226.28205128205127</v>
      </c>
      <c r="C225" s="53"/>
      <c r="D225" s="53"/>
      <c r="E225" s="54"/>
      <c r="F225" s="54"/>
      <c r="G225" s="54"/>
      <c r="H225" s="54"/>
      <c r="I225" s="56">
        <f t="shared" si="8"/>
        <v>7.5641025641025639</v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3">
        <v>50</v>
      </c>
      <c r="B226" s="53">
        <v>261.53846153846155</v>
      </c>
      <c r="C226" s="53">
        <v>4</v>
      </c>
      <c r="D226" s="53">
        <v>36.53846153846154</v>
      </c>
      <c r="E226" s="54"/>
      <c r="F226" s="54"/>
      <c r="G226" s="54"/>
      <c r="H226" s="54"/>
      <c r="I226" s="56">
        <f t="shared" si="8"/>
        <v>7.0512820512820555</v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>
        <v>55</v>
      </c>
      <c r="B227" s="58">
        <v>258.33333333333331</v>
      </c>
      <c r="C227" s="58"/>
      <c r="D227" s="58"/>
      <c r="E227" s="66"/>
      <c r="F227" s="66"/>
      <c r="G227" s="66"/>
      <c r="H227" s="66"/>
      <c r="I227" s="56">
        <f t="shared" si="8"/>
        <v>6.6666666666666625</v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>
        <v>60</v>
      </c>
      <c r="B228" s="58">
        <v>289.10256410256409</v>
      </c>
      <c r="C228" s="58">
        <v>5</v>
      </c>
      <c r="D228" s="58">
        <v>35.256410256410255</v>
      </c>
      <c r="E228" s="66"/>
      <c r="F228" s="66"/>
      <c r="G228" s="66"/>
      <c r="H228" s="66"/>
      <c r="I228" s="56">
        <f t="shared" si="8"/>
        <v>6.1538461538461551</v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>
        <v>65</v>
      </c>
      <c r="B229" s="58">
        <v>282.69230769230768</v>
      </c>
      <c r="C229" s="58"/>
      <c r="D229" s="58"/>
      <c r="E229" s="66"/>
      <c r="F229" s="66"/>
      <c r="G229" s="66"/>
      <c r="H229" s="66"/>
      <c r="I229" s="56">
        <f t="shared" si="8"/>
        <v>5.7692307692307683</v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>
        <v>70</v>
      </c>
      <c r="B230" s="58">
        <v>308.97435897435895</v>
      </c>
      <c r="C230" s="58">
        <v>6</v>
      </c>
      <c r="D230" s="58">
        <v>31.410256410256409</v>
      </c>
      <c r="E230" s="67"/>
      <c r="F230" s="67"/>
      <c r="G230" s="67"/>
      <c r="H230" s="67"/>
      <c r="I230" s="56">
        <f t="shared" si="8"/>
        <v>5.2564102564102537</v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>
        <v>75</v>
      </c>
      <c r="B231" s="63">
        <f>473/1.56</f>
        <v>303.20512820512818</v>
      </c>
      <c r="C231" s="94"/>
      <c r="D231" s="63"/>
      <c r="E231" s="57"/>
      <c r="F231" s="57"/>
      <c r="G231" s="57"/>
      <c r="H231" s="57"/>
      <c r="I231" s="56">
        <f t="shared" si="8"/>
        <v>5.1282051282051269</v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>
        <v>80</v>
      </c>
      <c r="B232" s="53">
        <v>326.92307692307691</v>
      </c>
      <c r="C232" s="53">
        <v>7</v>
      </c>
      <c r="D232" s="53">
        <v>28.846153846153847</v>
      </c>
      <c r="E232" s="57"/>
      <c r="F232" s="57"/>
      <c r="G232" s="57"/>
      <c r="H232" s="57"/>
      <c r="I232" s="56">
        <f t="shared" si="8"/>
        <v>4.7435897435897463</v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>
        <v>85</v>
      </c>
      <c r="B233" s="53">
        <v>320.5128205128205</v>
      </c>
      <c r="C233" s="53"/>
      <c r="D233" s="53"/>
      <c r="E233" s="57"/>
      <c r="F233" s="57"/>
      <c r="G233" s="57"/>
      <c r="H233" s="57"/>
      <c r="I233" s="56">
        <f t="shared" si="8"/>
        <v>4.4871794871794917</v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>
        <v>90</v>
      </c>
      <c r="B234" s="53">
        <v>342.30769230769232</v>
      </c>
      <c r="C234" s="53">
        <v>8</v>
      </c>
      <c r="D234" s="53">
        <v>27.564102564102562</v>
      </c>
      <c r="E234" s="57"/>
      <c r="F234" s="57"/>
      <c r="G234" s="57"/>
      <c r="H234" s="57"/>
      <c r="I234" s="56">
        <f t="shared" si="8"/>
        <v>4.3589743589743648</v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>
        <v>95</v>
      </c>
      <c r="B235" s="53">
        <v>335.25641025641022</v>
      </c>
      <c r="C235" s="53"/>
      <c r="D235" s="53"/>
      <c r="E235" s="57"/>
      <c r="F235" s="57"/>
      <c r="G235" s="57"/>
      <c r="H235" s="57"/>
      <c r="I235" s="56">
        <f t="shared" si="8"/>
        <v>4.102564102564088</v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>
        <v>100</v>
      </c>
      <c r="B236" s="53">
        <v>355.12820512820514</v>
      </c>
      <c r="C236" s="53">
        <v>9</v>
      </c>
      <c r="D236" s="53">
        <v>25</v>
      </c>
      <c r="E236" s="57"/>
      <c r="F236" s="57"/>
      <c r="G236" s="57"/>
      <c r="H236" s="57"/>
      <c r="I236" s="56">
        <f t="shared" si="8"/>
        <v>3.9743589743589838</v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>
        <v>110</v>
      </c>
      <c r="B237" s="53">
        <v>366.66666666666663</v>
      </c>
      <c r="C237" s="53">
        <v>10</v>
      </c>
      <c r="D237" s="53">
        <v>366.66666666666663</v>
      </c>
      <c r="E237" s="57"/>
      <c r="F237" s="57"/>
      <c r="G237" s="57"/>
      <c r="H237" s="57"/>
      <c r="I237" s="56">
        <f t="shared" si="8"/>
        <v>3.6538461538461489</v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>Alisier torminal</v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>
        <v>20</v>
      </c>
      <c r="B244" s="63">
        <f>67+6</f>
        <v>73</v>
      </c>
      <c r="C244" s="63">
        <v>1</v>
      </c>
      <c r="D244" s="63">
        <v>6</v>
      </c>
      <c r="E244" s="54"/>
      <c r="F244" s="54"/>
      <c r="G244" s="54"/>
      <c r="H244" s="54">
        <v>1</v>
      </c>
      <c r="I244" s="56">
        <f>IFERROR(B244/A244,"")</f>
        <v>3.65</v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>
        <v>25</v>
      </c>
      <c r="B245" s="63">
        <f>75+28</f>
        <v>103</v>
      </c>
      <c r="C245" s="63"/>
      <c r="D245" s="63"/>
      <c r="E245" s="54"/>
      <c r="F245" s="54"/>
      <c r="G245" s="54"/>
      <c r="H245" s="54"/>
      <c r="I245" s="56">
        <f>IF(A245&lt;&gt;0,(B245-(B244-D244))/(A245-A244),"")</f>
        <v>7.2</v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>
        <v>30</v>
      </c>
      <c r="B246" s="63">
        <f>93+28+28</f>
        <v>149</v>
      </c>
      <c r="C246" s="63">
        <v>2</v>
      </c>
      <c r="D246" s="63">
        <f>28+28</f>
        <v>56</v>
      </c>
      <c r="E246" s="54"/>
      <c r="F246" s="54"/>
      <c r="G246" s="54"/>
      <c r="H246" s="54">
        <v>1</v>
      </c>
      <c r="I246" s="56">
        <f>IF(A246&lt;&gt;0,(B246-(B245-D245))/(A246-A245),"")</f>
        <v>9.1999999999999993</v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>
        <v>35</v>
      </c>
      <c r="B247" s="63">
        <f>119+28</f>
        <v>147</v>
      </c>
      <c r="C247" s="63"/>
      <c r="D247" s="63"/>
      <c r="E247" s="54"/>
      <c r="F247" s="54"/>
      <c r="G247" s="54"/>
      <c r="H247" s="54"/>
      <c r="I247" s="56">
        <f t="shared" ref="I247:I263" si="9">IF(A247&lt;&gt;0,(B247-(B246-D246))/(A247-A246),"")</f>
        <v>10.8</v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>
        <v>40</v>
      </c>
      <c r="B248" s="63">
        <f>147+28+28</f>
        <v>203</v>
      </c>
      <c r="C248" s="63">
        <v>3</v>
      </c>
      <c r="D248" s="63">
        <f>28+28</f>
        <v>56</v>
      </c>
      <c r="E248" s="54"/>
      <c r="F248" s="54"/>
      <c r="G248" s="54"/>
      <c r="H248" s="54"/>
      <c r="I248" s="56">
        <f t="shared" si="9"/>
        <v>11.2</v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>
        <v>45</v>
      </c>
      <c r="B249" s="63">
        <f>176+28</f>
        <v>204</v>
      </c>
      <c r="C249" s="63"/>
      <c r="D249" s="63"/>
      <c r="E249" s="54"/>
      <c r="F249" s="54"/>
      <c r="G249" s="54"/>
      <c r="H249" s="54"/>
      <c r="I249" s="56">
        <f t="shared" si="9"/>
        <v>11.4</v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>
        <v>50</v>
      </c>
      <c r="B250" s="63">
        <f>203+28+28</f>
        <v>259</v>
      </c>
      <c r="C250" s="63">
        <v>4</v>
      </c>
      <c r="D250" s="63">
        <f>28+28</f>
        <v>56</v>
      </c>
      <c r="E250" s="54"/>
      <c r="F250" s="54"/>
      <c r="G250" s="54"/>
      <c r="H250" s="54"/>
      <c r="I250" s="56">
        <f t="shared" si="9"/>
        <v>11</v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283">
        <v>55</v>
      </c>
      <c r="B251" s="63">
        <f>226+28</f>
        <v>254</v>
      </c>
      <c r="C251" s="63"/>
      <c r="D251" s="63"/>
      <c r="E251" s="54"/>
      <c r="F251" s="54"/>
      <c r="G251" s="54"/>
      <c r="H251" s="54"/>
      <c r="I251" s="56">
        <f t="shared" si="9"/>
        <v>10.199999999999999</v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283">
        <v>60</v>
      </c>
      <c r="B252" s="63">
        <f>245+28+28</f>
        <v>301</v>
      </c>
      <c r="C252" s="63">
        <v>5</v>
      </c>
      <c r="D252" s="63">
        <f>28+28</f>
        <v>56</v>
      </c>
      <c r="E252" s="54"/>
      <c r="F252" s="54"/>
      <c r="G252" s="54"/>
      <c r="H252" s="54"/>
      <c r="I252" s="56">
        <f t="shared" si="9"/>
        <v>9.4</v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283">
        <v>65</v>
      </c>
      <c r="B253" s="63">
        <f>261+28</f>
        <v>289</v>
      </c>
      <c r="C253" s="63"/>
      <c r="D253" s="63"/>
      <c r="E253" s="54"/>
      <c r="F253" s="54"/>
      <c r="G253" s="54"/>
      <c r="H253" s="54"/>
      <c r="I253" s="56">
        <f t="shared" si="9"/>
        <v>8.8000000000000007</v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283">
        <v>70</v>
      </c>
      <c r="B254" s="63">
        <f>274+28+28</f>
        <v>330</v>
      </c>
      <c r="C254" s="63">
        <v>6</v>
      </c>
      <c r="D254" s="63">
        <f>28+28</f>
        <v>56</v>
      </c>
      <c r="E254" s="54"/>
      <c r="F254" s="54"/>
      <c r="G254" s="54"/>
      <c r="H254" s="54"/>
      <c r="I254" s="56">
        <f t="shared" si="9"/>
        <v>8.1999999999999993</v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283">
        <v>75</v>
      </c>
      <c r="B255" s="63">
        <f>284+28</f>
        <v>312</v>
      </c>
      <c r="C255" s="63"/>
      <c r="D255" s="63"/>
      <c r="E255" s="54"/>
      <c r="F255" s="54"/>
      <c r="G255" s="54"/>
      <c r="H255" s="54"/>
      <c r="I255" s="56">
        <f t="shared" si="9"/>
        <v>7.6</v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283">
        <v>80</v>
      </c>
      <c r="B256" s="63">
        <f>292+28+28</f>
        <v>348</v>
      </c>
      <c r="C256" s="63">
        <v>7</v>
      </c>
      <c r="D256" s="63">
        <f>28+28</f>
        <v>56</v>
      </c>
      <c r="E256" s="54"/>
      <c r="F256" s="54"/>
      <c r="G256" s="54"/>
      <c r="H256" s="54"/>
      <c r="I256" s="56">
        <f t="shared" si="9"/>
        <v>7.2</v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283">
        <v>90</v>
      </c>
      <c r="B257" s="63">
        <f>302+28+28</f>
        <v>358</v>
      </c>
      <c r="C257" s="63">
        <v>8</v>
      </c>
      <c r="D257" s="63">
        <f>28+28</f>
        <v>56</v>
      </c>
      <c r="E257" s="54"/>
      <c r="F257" s="54"/>
      <c r="G257" s="54"/>
      <c r="H257" s="54"/>
      <c r="I257" s="56">
        <f t="shared" si="9"/>
        <v>6.6</v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283">
        <v>100</v>
      </c>
      <c r="B258" s="53">
        <v>361</v>
      </c>
      <c r="C258" s="53">
        <v>9</v>
      </c>
      <c r="D258" s="53">
        <v>55</v>
      </c>
      <c r="E258" s="54"/>
      <c r="F258" s="54"/>
      <c r="G258" s="54"/>
      <c r="H258" s="54"/>
      <c r="I258" s="56">
        <f t="shared" si="9"/>
        <v>5.9</v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283">
        <v>110</v>
      </c>
      <c r="B259" s="53">
        <v>358</v>
      </c>
      <c r="C259" s="53">
        <v>10</v>
      </c>
      <c r="D259" s="53">
        <v>51</v>
      </c>
      <c r="E259" s="54"/>
      <c r="F259" s="54"/>
      <c r="G259" s="54"/>
      <c r="H259" s="54"/>
      <c r="I259" s="56">
        <f t="shared" si="9"/>
        <v>5.2</v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283">
        <v>120</v>
      </c>
      <c r="B260" s="53">
        <v>352</v>
      </c>
      <c r="C260" s="53">
        <v>11</v>
      </c>
      <c r="D260" s="53">
        <v>47</v>
      </c>
      <c r="E260" s="54"/>
      <c r="F260" s="54"/>
      <c r="G260" s="54"/>
      <c r="H260" s="54"/>
      <c r="I260" s="56">
        <f t="shared" si="9"/>
        <v>4.5</v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283">
        <v>135</v>
      </c>
      <c r="B261" s="53">
        <v>366</v>
      </c>
      <c r="C261" s="53">
        <v>12</v>
      </c>
      <c r="D261" s="53">
        <v>65</v>
      </c>
      <c r="E261" s="54"/>
      <c r="F261" s="54"/>
      <c r="G261" s="54"/>
      <c r="H261" s="54"/>
      <c r="I261" s="56">
        <f t="shared" si="9"/>
        <v>4.0666666666666664</v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283">
        <v>150</v>
      </c>
      <c r="B262" s="53">
        <v>355</v>
      </c>
      <c r="C262" s="53">
        <v>13</v>
      </c>
      <c r="D262" s="53">
        <v>355</v>
      </c>
      <c r="E262" s="54"/>
      <c r="F262" s="54"/>
      <c r="G262" s="54"/>
      <c r="H262" s="54"/>
      <c r="I262" s="56">
        <f t="shared" si="9"/>
        <v>3.6</v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283"/>
      <c r="B263" s="53"/>
      <c r="C263" s="53"/>
      <c r="D263" s="53"/>
      <c r="E263" s="54"/>
      <c r="F263" s="54"/>
      <c r="G263" s="54"/>
      <c r="H263" s="54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B16" sqref="B16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0.81469999999999998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0.18529999999999999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Chêne sessile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Hêtre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Chêne pédonculé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Erable sycomore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>Merisier</v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>Châtaignier</v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>Charme</v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>Tilleul</v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>Alisier torminal</v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4.0735000000000001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14.936166666666667</v>
      </c>
      <c r="H3" s="70">
        <f>(B3+E3+F3)*44/12+(C3+D3)*0.475*44/12</f>
        <v>196.922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49.632499999999993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181.98583333333332</v>
      </c>
      <c r="S3" s="62">
        <f ca="1">AVERAGE(OFFSET($R$3,0,0,'Données projet'!$E$9+1,1))-AVERAGE(OFFSET($H$3,0,0,'Données projet'!$E$9+1,1))</f>
        <v>546.11281471711925</v>
      </c>
      <c r="T3" s="62">
        <f>IF('Données projet'!E9&gt;30,$R$33-$H$33,LOOKUP('Données projet'!$E$9,$A$3:$A$203,R3:R203)-LOOKUP('Données projet'!$E$9,$A$3:$A$203,$H$3:$H$203))</f>
        <v>348.18069831447099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49.632499999999993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181.98583333333332</v>
      </c>
      <c r="AN3" s="62">
        <f ca="1">AVERAGE(OFFSET($AM$3,0,0,'Données projet'!$E$10+1,1))-AVERAGE(OFFSET($H$3,0,0,'Données projet'!$E$10+1,1))</f>
        <v>693.87994318348024</v>
      </c>
      <c r="AO3" s="62">
        <f>IF('Données projet'!E10&gt;30,$AM$33-$H$33,LOOKUP('Données projet'!$E$10,$A$3:$A$203,AM3:AM203)-LOOKUP('Données projet'!$E$10,$A$3:$A$203,$H$3:$H$203))</f>
        <v>327.71043739333641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49.632499999999993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181.98583333333332</v>
      </c>
      <c r="BI3" s="62">
        <f ca="1">AVERAGE(OFFSET($BH$3,0,0,'Données projet'!$E$11+1,1))-AVERAGE(OFFSET($H$3,0,0,'Données projet'!$E$11+1,1))</f>
        <v>513.7388209355762</v>
      </c>
      <c r="BJ3" s="62">
        <f>IF('Données projet'!E11&gt;30,$BH$33-$H$33,LOOKUP('Données projet'!$E$11,$A$3:$A$203,BH3:BH203)-LOOKUP('Données projet'!$E$11,$A$3:$A$203,$H$3:$H$203))</f>
        <v>328.24603121433927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49.632499999999993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181.98583333333332</v>
      </c>
      <c r="CD3" s="62">
        <f ca="1">AVERAGE(OFFSET($CC$3,0,0,'Données projet'!$E$12+1,1))-AVERAGE(OFFSET($H$3,0,0,'Données projet'!$E$12+1,1))</f>
        <v>447.25854887589878</v>
      </c>
      <c r="CE3" s="62">
        <f>IF('Données projet'!E12&gt;30,$CC$33-$H$33,LOOKUP('Données projet'!$E$12,$A$3:$A$203,CC3:CC203)-LOOKUP('Données projet'!$E$12,$A$3:$A$203,$H$3:$H$203))</f>
        <v>480.13390593590157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49.632499999999993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181.98583333333332</v>
      </c>
      <c r="CY3" s="62">
        <f ca="1">AVERAGE(OFFSET($CX$3,0,0,'Données projet'!$E$13+1,1))-AVERAGE(OFFSET($H$3,0,0,'Données projet'!$E$13+1,1))</f>
        <v>308.52515801950324</v>
      </c>
      <c r="CZ3" s="62">
        <f>IF('Données projet'!E13&gt;30,$CX$33-$H$33,LOOKUP('Données projet'!$E$13,$A$3:$A$203,CX3:CX203)-LOOKUP('Données projet'!$E$13,$A$3:$A$203,$H$3:$H$203))</f>
        <v>299.05420638408953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49.632499999999993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181.98583333333332</v>
      </c>
      <c r="DT3" s="62">
        <f ca="1">AVERAGE(OFFSET($DS$3,0,0,'Données projet'!$E$14+1,1))-AVERAGE(OFFSET($H$3,0,0,'Données projet'!$E$14+1,1))</f>
        <v>416.72317068678774</v>
      </c>
      <c r="DU3" s="62">
        <f>IF('Données projet'!E14&gt;30,$DS$33-$H$33,LOOKUP('Données projet'!$E$14,$A$3:$A$203,DS3:DS203)-LOOKUP('Données projet'!$E$14,$A$3:$A$203,$H$3:$H$203))</f>
        <v>447.32457429495537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49.632499999999993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2">
        <f>EM3+(EE3+EF3)*44/12</f>
        <v>181.98583333333332</v>
      </c>
      <c r="EO3" s="62">
        <f ca="1">AVERAGE(OFFSET($EN$3,0,0,'Données projet'!$E$15+1,1))-AVERAGE(OFFSET($H$3,0,0,'Données projet'!$E$15+1,1))</f>
        <v>454.78867027701426</v>
      </c>
      <c r="EP3" s="62">
        <f>IF('Données projet'!E15&gt;30,$EN$33-$H$33,LOOKUP('Données projet'!$E$15,$A$3:$A$203,EN3:EN203)-LOOKUP('Données projet'!$E$15,$A$3:$A$203,$H$3:$H$203))</f>
        <v>366.45346303927056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49.632499999999993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projet'!$B$16,Paramètres!$A$1:$I$89,3,0)*VLOOKUP('Données projet'!$B$16,Paramètres!$A$1:$I$89,5,0)</f>
        <v>0</v>
      </c>
      <c r="FG3" s="13">
        <v>0</v>
      </c>
      <c r="FH3" s="15">
        <f>(FF3+FG3)*0.475*44/12</f>
        <v>0</v>
      </c>
      <c r="FI3" s="62">
        <f>FH3+(EZ3+FA3)*44/12</f>
        <v>181.98583333333332</v>
      </c>
      <c r="FJ3" s="62">
        <f ca="1">AVERAGE(OFFSET($FI$3,0,0,'Données projet'!$E$16+1,1))-AVERAGE(OFFSET($H$3,0,0,'Données projet'!$E$16+1,1))</f>
        <v>390.05579539539576</v>
      </c>
      <c r="FK3" s="62">
        <f>IF('Données projet'!E16&gt;30,$FI$33-$H$33,LOOKUP('Données projet'!$E$16,$A$3:$A$203,FI3:FI203)-LOOKUP('Données projet'!$E$16,$A$3:$A$203,$H$3:$H$203))</f>
        <v>323.72278615226139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49.632499999999993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>
        <f>FZ3*VLOOKUP('Données projet'!$B$17,Paramètres!$A$1:$I$89,3,0)*VLOOKUP('Données projet'!$B$17,Paramètres!$A$1:$I$89,5,0)</f>
        <v>0</v>
      </c>
      <c r="GB3" s="13">
        <v>0</v>
      </c>
      <c r="GC3" s="15">
        <f>(GA3+GB3)*0.475*44/12</f>
        <v>0</v>
      </c>
      <c r="GD3" s="62">
        <f>GC3+(FU3+FV3)*44/12</f>
        <v>181.98583333333332</v>
      </c>
      <c r="GE3" s="62">
        <f ca="1">AVERAGE(OFFSET($GD$3,0,0,'Données projet'!$E$17+1,1))-AVERAGE(OFFSET($H$3,0,0,'Données projet'!$E$17+1,1))</f>
        <v>578.44111602076555</v>
      </c>
      <c r="GF3" s="62">
        <f>IF('Données projet'!E17&gt;30,$GD$33-$H$33,LOOKUP('Données projet'!$E$17,$A$3:$A$203,GD3:GD203)-LOOKUP('Données projet'!$E$17,$A$3:$A$203,$H$3:$H$203))</f>
        <v>368.08542661432784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49.632499999999993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4.0735000000000001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14.936166666666667</v>
      </c>
      <c r="H4" s="70">
        <f t="shared" ref="H4:H67" si="1">(B4+E4+F4)*44/12+(C4+D4)*0.475*44/12</f>
        <v>196.922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49.985830590091624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3.65</v>
      </c>
      <c r="N4" s="14">
        <f>IF('Données projet'!$A$36&gt;35,N3+M4-V3,IF(A4&lt;'Données projet'!$A$36,$K$205^A4,IF(A4='Données projet'!$A$36,'Données projet'!$B$36,N3+M4-V3)))</f>
        <v>1.2392705892426346</v>
      </c>
      <c r="O4" s="14">
        <f>N4*VLOOKUP('Données projet'!$B$9,Paramètres!$A$1:$I$89,3,0)*VLOOKUP('Données projet'!$B$9,Paramètres!$A$1:$I$89,5,0)</f>
        <v>1.1212920291467359</v>
      </c>
      <c r="P4" s="14">
        <f>EXP(-1.0587+0.8836*LN(O4)+0.284)</f>
        <v>0.50989827066551541</v>
      </c>
      <c r="Q4" s="22">
        <f t="shared" ref="Q4:Q34" si="2">(O4+P4)*0.475*44/12</f>
        <v>2.8409897721730037</v>
      </c>
      <c r="R4" s="62">
        <f t="shared" si="0"/>
        <v>187.3445908247312</v>
      </c>
      <c r="S4" s="62">
        <f ca="1">AVERAGE(OFFSET($R$3,0,0,'Données projet'!$E$9+1,1))-AVERAGE(OFFSET($H$3,0,0,'Données projet'!$E$9+1,1))</f>
        <v>546.11281471711925</v>
      </c>
      <c r="T4" s="62">
        <f>$T$3</f>
        <v>348.18069831447099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49.985830590091624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2.8</v>
      </c>
      <c r="AI4" s="14">
        <f>IF('Données projet'!$A$62&gt;35,AI3+AH4-AQ3,IF(A4&lt;'Données projet'!$A$62,$AF$205^A4,IF(A4='Données projet'!$A$62,'Données projet'!$B$62,AI3+AH4-AQ3)))</f>
        <v>1.2229519710813024</v>
      </c>
      <c r="AJ4" s="14">
        <f>AI4*VLOOKUP('Données projet'!$B$10,Paramètres!$A$1:$I$89,3,0)*VLOOKUP('Données projet'!$B$10,Paramètres!$A$1:$I$89,5,0)</f>
        <v>1.0492927911877574</v>
      </c>
      <c r="AK4" s="14">
        <f>EXP(-1.0587+0.8836*LN(AJ4)+0.284)</f>
        <v>0.48085748368030745</v>
      </c>
      <c r="AL4" s="22">
        <f t="shared" ref="AL4:AL67" si="4">(AJ4+AK4)*0.475*44/12</f>
        <v>2.6650117287285462</v>
      </c>
      <c r="AM4" s="62">
        <f t="shared" ref="AM4:AM67" si="5">AL4+(AD4+AE4)*44/12</f>
        <v>187.16861278128675</v>
      </c>
      <c r="AN4" s="62">
        <f ca="1">AVERAGE(OFFSET($AM$3,0,0,'Données projet'!$E$10+1,1))-AVERAGE(OFFSET($H$3,0,0,'Données projet'!$E$10+1,1))</f>
        <v>693.87994318348024</v>
      </c>
      <c r="AO4" s="62">
        <f>$AO$3</f>
        <v>327.71043739333641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49.985830590091624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3.65</v>
      </c>
      <c r="BD4" s="13">
        <f>IF('Données projet'!$A$88&gt;35,BD3+BC4-BL3,IF(A4&lt;'Données projet'!$A$88,$BA$205^A4,IF(A4='Données projet'!$A$88,'Données projet'!$B$88,BD3+BC4-BL3)))</f>
        <v>1.2392705892426346</v>
      </c>
      <c r="BE4" s="14">
        <f>BD4*VLOOKUP('Données projet'!$B$11,Paramètres!$A$1:$I$89,3,0)*VLOOKUP('Données projet'!$B$11,Paramètres!$A$1:$I$89,5,0)</f>
        <v>1.0439615443779955</v>
      </c>
      <c r="BF4" s="14">
        <f>EXP(-1.0587+0.8836*LN(BE4)+0.284)</f>
        <v>0.478698084995758</v>
      </c>
      <c r="BG4" s="22">
        <f t="shared" ref="BG4:BG67" si="7">(BE4+BF4)*0.475*44/12</f>
        <v>2.6519655211592874</v>
      </c>
      <c r="BH4" s="62">
        <f t="shared" ref="BH4:BH67" si="8">BG4+(AY4+AZ4)*44/12</f>
        <v>187.15556657371749</v>
      </c>
      <c r="BI4" s="62">
        <f ca="1">AVERAGE(OFFSET($BH$3,0,0,'Données projet'!$E$11+1,1))-AVERAGE(OFFSET($H$3,0,0,'Données projet'!$E$11+1,1))</f>
        <v>513.7388209355762</v>
      </c>
      <c r="BJ4" s="62">
        <f>$BJ$3</f>
        <v>328.24603121433927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49.985830590091624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1.8800000000000001</v>
      </c>
      <c r="BY4" s="13">
        <f>IF('Données projet'!$A$114&gt;35,BY3+BX4-CG3,IF(A4&lt;'Données projet'!$A$114,$BV$205^A4,IF(A4='Données projet'!$A$114,'Données projet'!$B$114,BY3+BX4-CG3)))</f>
        <v>1.3409598814794317</v>
      </c>
      <c r="BZ4" s="14">
        <f>BY4*VLOOKUP('Données projet'!$B$12,Paramètres!$A$1:$I$89,3,0)*VLOOKUP('Données projet'!$B$12,Paramètres!$A$1:$I$89,5,0)</f>
        <v>1.0668676817050358</v>
      </c>
      <c r="CA4" s="14">
        <f>EXP(-1.0587+0.8836*LN(BZ4)+0.284)</f>
        <v>0.4879671150566765</v>
      </c>
      <c r="CB4" s="22">
        <f t="shared" ref="CB4:CB67" si="10">(BZ4+CA4)*0.475*44/12</f>
        <v>2.7080039376933152</v>
      </c>
      <c r="CC4" s="62">
        <f t="shared" ref="CC4:CC67" si="11">CB4+(BT4+BU4)*44/12</f>
        <v>187.21160499025152</v>
      </c>
      <c r="CD4" s="62">
        <f ca="1">AVERAGE(OFFSET($CC$3,0,0,'Données projet'!$E$12+1,1))-AVERAGE(OFFSET($H$3,0,0,'Données projet'!$E$12+1,1))</f>
        <v>447.25854887589878</v>
      </c>
      <c r="CE4" s="62">
        <f>$CE$3</f>
        <v>480.13390593590157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49.985830590091624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2.6666666666666665</v>
      </c>
      <c r="CT4" s="13">
        <f>IF('Données projet'!$A$140&gt;35,CT3+CS4-DB3,IF(A4&lt;'Données projet'!$A$140,$CQ$205^A4,IF(A4='Données projet'!$A$140,'Données projet'!$B$140,CT3+CS4-DB3)))</f>
        <v>1.2788040393997409</v>
      </c>
      <c r="CU4" s="18">
        <f>CT4*VLOOKUP('Données projet'!$B$13,Paramètres!$A$1:$I$89,3,0)*VLOOKUP('Données projet'!$B$13,Paramètres!$A$1:$I$89,5,0)</f>
        <v>0.99746715073179792</v>
      </c>
      <c r="CV4" s="14">
        <f>EXP(-1.0587+0.8836*LN(CU4)+0.284)</f>
        <v>0.45981048445793882</v>
      </c>
      <c r="CW4" s="22">
        <f t="shared" ref="CW4:CW67" si="13">(CU4+CV4)*0.475*44/12</f>
        <v>2.5380918812887914</v>
      </c>
      <c r="CX4" s="62">
        <f t="shared" ref="CX4:CX67" si="14">CW4+(CO4+CP4)*44/12</f>
        <v>187.04169293384697</v>
      </c>
      <c r="CY4" s="62">
        <f ca="1">AVERAGE(OFFSET($CX$3,0,0,'Données projet'!$E$13+1,1))-AVERAGE(OFFSET($H$3,0,0,'Données projet'!$E$13+1,1))</f>
        <v>308.52515801950324</v>
      </c>
      <c r="CZ4" s="62">
        <f>$CZ$3</f>
        <v>299.05420638408953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49.985830590091624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1.8800000000000001</v>
      </c>
      <c r="DO4" s="13">
        <f>IF('Données projet'!$A$166&gt;35,DO3+DN4-DW3,IF(A4&lt;'Données projet'!$A$166,$DL$205^A4,IF(A4='Données projet'!$A$166,'Données projet'!$B$166,DO3+DN4-DW3)))</f>
        <v>1.3409598814794317</v>
      </c>
      <c r="DP4" s="18">
        <f>DO4*VLOOKUP('Données projet'!$B$14,Paramètres!$A$1:$I$89,3,0)*VLOOKUP('Données projet'!$B$14,Paramètres!$A$1:$I$89,5,0)</f>
        <v>0.98319178510071925</v>
      </c>
      <c r="DQ4" s="14">
        <f>EXP(-1.0587+0.8836*LN(DP4)+0.284)</f>
        <v>0.45399097010154899</v>
      </c>
      <c r="DR4" s="22">
        <f t="shared" ref="DR4:DR67" si="16">(DP4+DQ4)*0.475*44/12</f>
        <v>2.5030932986439507</v>
      </c>
      <c r="DS4" s="62">
        <f t="shared" ref="DS4:DS67" si="17">DR4+(DJ4+DK4)*44/12</f>
        <v>187.00669435120216</v>
      </c>
      <c r="DT4" s="62">
        <f ca="1">AVERAGE(OFFSET($DS$3,0,0,'Données projet'!$E$14+1,1))-AVERAGE(OFFSET($H$3,0,0,'Données projet'!$E$14+1,1))</f>
        <v>416.72317068678774</v>
      </c>
      <c r="DU4" s="62">
        <f>$DU$3</f>
        <v>447.32457429495537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49.985830590091624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3.9316239316239314</v>
      </c>
      <c r="EJ4" s="13">
        <f>IF('Données projet'!$A$192&gt;35,EJ3+EI4-ER3,IF(A4&lt;'Données projet'!$A$192,$EG$205^A4,IF(A4='Données projet'!$A$192,'Données projet'!$B$192,EJ3+EI4-ER3)))</f>
        <v>1.3123335001208698</v>
      </c>
      <c r="EK4" s="18">
        <f>EJ4*VLOOKUP('Données projet'!$B$15,Paramètres!$A$1:$I$89,3,0)*VLOOKUP('Données projet'!$B$15,Paramètres!$A$1:$I$89,5,0)</f>
        <v>1.2488165587150197</v>
      </c>
      <c r="EL4" s="14">
        <f>EXP(-1.0587+0.8836*LN(EK4)+0.284)</f>
        <v>0.56081325633235957</v>
      </c>
      <c r="EM4" s="22">
        <f t="shared" ref="EM4:EM67" si="19">(EK4+EL4)*0.475*44/12</f>
        <v>3.1517719278741851</v>
      </c>
      <c r="EN4" s="62">
        <f t="shared" ref="EN4:EN67" si="20">EM4+(EE4+EF4)*44/12</f>
        <v>187.65537298043239</v>
      </c>
      <c r="EO4" s="62">
        <f ca="1">AVERAGE(OFFSET($EN$3,0,0,'Données projet'!$E$15+1,1))-AVERAGE(OFFSET($H$3,0,0,'Données projet'!$E$15+1,1))</f>
        <v>454.78867027701426</v>
      </c>
      <c r="EP4" s="62">
        <f>$EP$3</f>
        <v>366.45346303927056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49.985830590091624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3.2692307692307692</v>
      </c>
      <c r="FE4" s="13">
        <f>IF('Données projet'!$A$218&gt;35,FE3+FD4-FM3,IF(A4&lt;'Données projet'!$A$218,$FB$205^A4,IF(A4='Données projet'!$A$218,'Données projet'!$B$218,FE3+FD4-FM3)))</f>
        <v>1.4172437739267318</v>
      </c>
      <c r="FF4" s="18">
        <f>FE4*VLOOKUP('Données projet'!$B$16,Paramètres!$A$1:$I$89,3,0)*VLOOKUP('Données projet'!$B$16,Paramètres!$A$1:$I$89,5,0)</f>
        <v>0.95068712355005169</v>
      </c>
      <c r="FG4" s="14">
        <f>EXP(-1.0587+0.8836*LN(FF4)+0.284)</f>
        <v>0.44070309303270105</v>
      </c>
      <c r="FH4" s="22">
        <f t="shared" ref="FH4:FH67" si="22">(FF4+FG4)*0.475*44/12</f>
        <v>2.4233379605482943</v>
      </c>
      <c r="FI4" s="62">
        <f t="shared" ref="FI4:FI67" si="23">FH4+(EZ4+FA4)*44/12</f>
        <v>186.92693901310648</v>
      </c>
      <c r="FJ4" s="62">
        <f ca="1">AVERAGE(OFFSET($FI$3,0,0,'Données projet'!$E$16+1,1))-AVERAGE(OFFSET($H$3,0,0,'Données projet'!$E$16+1,1))</f>
        <v>390.05579539539576</v>
      </c>
      <c r="FK4" s="62">
        <f>$FK$3</f>
        <v>323.72278615226139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projet'!$B$16,Paramètres!$A$1:$I$89,3,0)*0.475*44/12</f>
        <v>0</v>
      </c>
      <c r="FR4" s="23">
        <f>EXP(-LN(2)/25)*FR3+(1-EXP(-LN(2)/25))/(LN(2)/25)*Calculateur!FM4*Calculateur!FO4*VLOOKUP('Données projet'!$B$16,Paramètres!$A$1:$I$89,3,0)*0.475*44/12</f>
        <v>0</v>
      </c>
      <c r="FS4" s="23">
        <f>EXP(-LN(2)/2)*FS3+(1-EXP(-LN(2)/2))/(LN(2)/2)*FM4*FP4*VLOOKUP('Données projet'!$B$16,Paramètres!$A$1:$I$89,3,0)*0.475*44/12</f>
        <v>0</v>
      </c>
      <c r="FT4" s="24">
        <f t="shared" ref="FT4:FT67" si="24">SUM(FQ4:FS4)</f>
        <v>0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49.985830590091624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3.65</v>
      </c>
      <c r="FZ4" s="13">
        <f>IF('Données projet'!$A$244&gt;35,FZ3+FY4-GH3,IF(A4&lt;'Données projet'!$A$244,$FW$205^A4,IF(A4='Données projet'!$A$244,'Données projet'!$B$244,FZ3+FY4-GH3)))</f>
        <v>1.2392705892426346</v>
      </c>
      <c r="GA4" s="18">
        <f>FZ4*VLOOKUP('Données projet'!$B$17,Paramètres!$A$1:$I$89,3,0)*VLOOKUP('Données projet'!$B$17,Paramètres!$A$1:$I$89,5,0)</f>
        <v>1.1986225139154763</v>
      </c>
      <c r="GB4" s="14">
        <f>EXP(-1.0587+0.8836*LN(GA4)+0.284)</f>
        <v>0.54084878793982472</v>
      </c>
      <c r="GC4" s="22">
        <f t="shared" ref="GC4:GC67" si="25">(GA4+GB4)*0.475*44/12</f>
        <v>3.0295791840646493</v>
      </c>
      <c r="GD4" s="62">
        <f t="shared" ref="GD4:GD67" si="26">GC4+(FU4+FV4)*44/12</f>
        <v>187.53318023662285</v>
      </c>
      <c r="GE4" s="62">
        <f ca="1">AVERAGE(OFFSET($GD$3,0,0,'Données projet'!$E$17+1,1))-AVERAGE(OFFSET($H$3,0,0,'Données projet'!$E$17+1,1))</f>
        <v>578.44111602076555</v>
      </c>
      <c r="GF4" s="62">
        <f>$GF$3</f>
        <v>368.08542661432784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>
        <f>EXP(-LN(2)/35)*GL3+(1-EXP(-LN(2)/35))/(LN(2)/35)*GH4*GI4*VLOOKUP('Données projet'!$B$17,Paramètres!$A$1:$I$89,3,0)*0.475*44/12</f>
        <v>0</v>
      </c>
      <c r="GM4" s="23">
        <f>EXP(-LN(2)/25)*GM3+(1-EXP(-LN(2)/25))/(LN(2)/25)*Calculateur!GH4*Calculateur!GJ4*VLOOKUP('Données projet'!$B$17,Paramètres!$A$1:$I$89,3,0)*0.475*44/12</f>
        <v>0</v>
      </c>
      <c r="GN4" s="23">
        <f>EXP(-LN(2)/2)*GN3+(1-EXP(-LN(2)/2))/(LN(2)/2)*GH4*GK4*VLOOKUP('Données projet'!$B$17,Paramètres!$A$1:$I$89,3,0)*0.475*44/12</f>
        <v>0</v>
      </c>
      <c r="GO4" s="23">
        <f t="shared" ref="GO4:GO67" si="27">SUM(GL4:GN4)</f>
        <v>0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49.985830590091624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4.0735000000000001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14.936166666666667</v>
      </c>
      <c r="H5" s="70">
        <f t="shared" si="1"/>
        <v>196.922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50.333031684374006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3.65</v>
      </c>
      <c r="N5" s="14">
        <f>IF('Données projet'!$A$36&gt;35,N4+M5-V4,IF(A5&lt;'Données projet'!$A$36,$K$205^A5,IF(A5='Données projet'!$A$36,'Données projet'!$B$36,N4+M5-V4)))</f>
        <v>1.5357915933617867</v>
      </c>
      <c r="O5" s="14">
        <f>N5*VLOOKUP('Données projet'!$B$9,Paramètres!$A$1:$I$89,3,0)*VLOOKUP('Données projet'!$B$9,Paramètres!$A$1:$I$89,5,0)</f>
        <v>1.3895842336737447</v>
      </c>
      <c r="P5" s="14">
        <f t="shared" ref="P5:P68" si="33">EXP(-1.0587+0.8836*LN(O5)+0.284)</f>
        <v>0.61631841327304715</v>
      </c>
      <c r="Q5" s="22">
        <f t="shared" si="2"/>
        <v>3.4936137767656628</v>
      </c>
      <c r="R5" s="62">
        <f t="shared" si="0"/>
        <v>190.49250773058148</v>
      </c>
      <c r="S5" s="62">
        <f ca="1">AVERAGE(OFFSET($R$3,0,0,'Données projet'!$E$9+1,1))-AVERAGE(OFFSET($H$3,0,0,'Données projet'!$E$9+1,1))</f>
        <v>546.11281471711925</v>
      </c>
      <c r="T5" s="62">
        <f t="shared" ref="T5:T68" si="34">$T$3</f>
        <v>348.18069831447099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50.333031684374006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2.8</v>
      </c>
      <c r="AI5" s="14">
        <f>IF('Données projet'!$A$62&gt;35,AI4+AH5-AQ4,IF(A5&lt;'Données projet'!$A$62,$AF$205^A5,IF(A5='Données projet'!$A$62,'Données projet'!$B$62,AI4+AH5-AQ4)))</f>
        <v>1.4956115235716427</v>
      </c>
      <c r="AJ5" s="14">
        <f>AI5*VLOOKUP('Données projet'!$B$10,Paramètres!$A$1:$I$89,3,0)*VLOOKUP('Données projet'!$B$10,Paramètres!$A$1:$I$89,5,0)</f>
        <v>1.2832346872244698</v>
      </c>
      <c r="AK5" s="14">
        <f t="shared" ref="AK5:AK68" si="35">EXP(-1.0587+0.8836*LN(AJ5)+0.284)</f>
        <v>0.57444879990343678</v>
      </c>
      <c r="AL5" s="22">
        <f t="shared" si="4"/>
        <v>3.2354654067477706</v>
      </c>
      <c r="AM5" s="62">
        <f t="shared" si="5"/>
        <v>190.23435936056359</v>
      </c>
      <c r="AN5" s="62">
        <f ca="1">AVERAGE(OFFSET($AM$3,0,0,'Données projet'!$E$10+1,1))-AVERAGE(OFFSET($H$3,0,0,'Données projet'!$E$10+1,1))</f>
        <v>693.87994318348024</v>
      </c>
      <c r="AO5" s="62">
        <f t="shared" ref="AO5:AO68" si="36">$AO$3</f>
        <v>327.71043739333641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50.333031684374006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3.65</v>
      </c>
      <c r="BD5" s="13">
        <f>IF('Données projet'!$A$88&gt;35,BD4+BC5-BL4,IF(A5&lt;'Données projet'!$A$88,$BA$205^A5,IF(A5='Données projet'!$A$88,'Données projet'!$B$88,BD4+BC5-BL4)))</f>
        <v>1.5357915933617867</v>
      </c>
      <c r="BE5" s="14">
        <f>BD5*VLOOKUP('Données projet'!$B$11,Paramètres!$A$1:$I$89,3,0)*VLOOKUP('Données projet'!$B$11,Paramètres!$A$1:$I$89,5,0)</f>
        <v>1.2937508382479692</v>
      </c>
      <c r="BF5" s="14">
        <f t="shared" ref="BF5:BF68" si="37">EXP(-1.0587+0.8836*LN(BE5)+0.284)</f>
        <v>0.57860648124254321</v>
      </c>
      <c r="BG5" s="22">
        <f t="shared" si="7"/>
        <v>3.2610223314459752</v>
      </c>
      <c r="BH5" s="62">
        <f t="shared" si="8"/>
        <v>190.2599162852618</v>
      </c>
      <c r="BI5" s="62">
        <f ca="1">AVERAGE(OFFSET($BH$3,0,0,'Données projet'!$E$11+1,1))-AVERAGE(OFFSET($H$3,0,0,'Données projet'!$E$11+1,1))</f>
        <v>513.7388209355762</v>
      </c>
      <c r="BJ5" s="62">
        <f t="shared" ref="BJ5:BJ68" si="38">$BJ$3</f>
        <v>328.24603121433927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50.333031684374006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1.8800000000000001</v>
      </c>
      <c r="BY5" s="13">
        <f>IF('Données projet'!$A$114&gt;35,BY4+BX5-CG4,IF(A5&lt;'Données projet'!$A$114,$BV$205^A5,IF(A5='Données projet'!$A$114,'Données projet'!$B$114,BY4+BX5-CG4)))</f>
        <v>1.7981734037373314</v>
      </c>
      <c r="BZ5" s="14">
        <f>BY5*VLOOKUP('Données projet'!$B$12,Paramètres!$A$1:$I$89,3,0)*VLOOKUP('Données projet'!$B$12,Paramètres!$A$1:$I$89,5,0)</f>
        <v>1.430626760013421</v>
      </c>
      <c r="CA5" s="14">
        <f t="shared" ref="CA5:CA68" si="39">EXP(-1.0587+0.8836*LN(BZ5)+0.284)</f>
        <v>0.63237565565318243</v>
      </c>
      <c r="CB5" s="22">
        <f t="shared" si="10"/>
        <v>3.5930625406193339</v>
      </c>
      <c r="CC5" s="62">
        <f t="shared" si="11"/>
        <v>190.59195649443515</v>
      </c>
      <c r="CD5" s="62">
        <f ca="1">AVERAGE(OFFSET($CC$3,0,0,'Données projet'!$E$12+1,1))-AVERAGE(OFFSET($H$3,0,0,'Données projet'!$E$12+1,1))</f>
        <v>447.25854887589878</v>
      </c>
      <c r="CE5" s="62">
        <f t="shared" ref="CE5:CE68" si="40">$CE$3</f>
        <v>480.13390593590157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50.333031684374006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2.6666666666666665</v>
      </c>
      <c r="CT5" s="13">
        <f>IF('Données projet'!$A$140&gt;35,CT4+CS5-DB4,IF(A5&lt;'Données projet'!$A$140,$CQ$205^A5,IF(A5='Données projet'!$A$140,'Données projet'!$B$140,CT4+CS5-DB4)))</f>
        <v>1.6353397711850939</v>
      </c>
      <c r="CU5" s="18">
        <f>CT5*VLOOKUP('Données projet'!$B$13,Paramètres!$A$1:$I$89,3,0)*VLOOKUP('Données projet'!$B$13,Paramètres!$A$1:$I$89,5,0)</f>
        <v>1.2755650215243732</v>
      </c>
      <c r="CV5" s="14">
        <f t="shared" ref="CV5:CV68" si="41">EXP(-1.0587+0.8836*LN(CU5)+0.284)</f>
        <v>0.57141400910743001</v>
      </c>
      <c r="CW5" s="22">
        <f t="shared" si="13"/>
        <v>3.2168218116837237</v>
      </c>
      <c r="CX5" s="62">
        <f t="shared" si="14"/>
        <v>190.21571576549954</v>
      </c>
      <c r="CY5" s="62">
        <f ca="1">AVERAGE(OFFSET($CX$3,0,0,'Données projet'!$E$13+1,1))-AVERAGE(OFFSET($H$3,0,0,'Données projet'!$E$13+1,1))</f>
        <v>308.52515801950324</v>
      </c>
      <c r="CZ5" s="62">
        <f t="shared" ref="CZ5:CZ68" si="42">$CZ$3</f>
        <v>299.05420638408953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50.333031684374006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1.8800000000000001</v>
      </c>
      <c r="DO5" s="13">
        <f>IF('Données projet'!$A$166&gt;35,DO4+DN5-DW4,IF(A5&lt;'Données projet'!$A$166,$DL$205^A5,IF(A5='Données projet'!$A$166,'Données projet'!$B$166,DO4+DN5-DW4)))</f>
        <v>1.7981734037373314</v>
      </c>
      <c r="DP5" s="18">
        <f>DO5*VLOOKUP('Données projet'!$B$14,Paramètres!$A$1:$I$89,3,0)*VLOOKUP('Données projet'!$B$14,Paramètres!$A$1:$I$89,5,0)</f>
        <v>1.3184207396202114</v>
      </c>
      <c r="DQ5" s="14">
        <f t="shared" ref="DQ5:DQ68" si="43">EXP(-1.0587+0.8836*LN(DP5)+0.284)</f>
        <v>0.58834464151389798</v>
      </c>
      <c r="DR5" s="22">
        <f t="shared" si="16"/>
        <v>3.3209497054752402</v>
      </c>
      <c r="DS5" s="62">
        <f t="shared" si="17"/>
        <v>190.31984365929105</v>
      </c>
      <c r="DT5" s="62">
        <f ca="1">AVERAGE(OFFSET($DS$3,0,0,'Données projet'!$E$14+1,1))-AVERAGE(OFFSET($H$3,0,0,'Données projet'!$E$14+1,1))</f>
        <v>416.72317068678774</v>
      </c>
      <c r="DU5" s="62">
        <f t="shared" ref="DU5:DU68" si="44">$DU$3</f>
        <v>447.32457429495537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50.333031684374006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3.9316239316239314</v>
      </c>
      <c r="EJ5" s="13">
        <f>IF('Données projet'!$A$192&gt;35,EJ4+EI5-ER4,IF(A5&lt;'Données projet'!$A$192,$EG$205^A5,IF(A5='Données projet'!$A$192,'Données projet'!$B$192,EJ4+EI5-ER4)))</f>
        <v>1.7222192155394931</v>
      </c>
      <c r="EK5" s="18">
        <f>EJ5*VLOOKUP('Données projet'!$B$15,Paramètres!$A$1:$I$89,3,0)*VLOOKUP('Données projet'!$B$15,Paramètres!$A$1:$I$89,5,0)</f>
        <v>1.6388638055073816</v>
      </c>
      <c r="EL5" s="14">
        <f t="shared" ref="EL5:EL68" si="45">EXP(-1.0587+0.8836*LN(EK5)+0.284)</f>
        <v>0.71305353852816888</v>
      </c>
      <c r="EM5" s="22">
        <f t="shared" si="19"/>
        <v>4.0962560408619169</v>
      </c>
      <c r="EN5" s="62">
        <f t="shared" si="20"/>
        <v>191.09514999467774</v>
      </c>
      <c r="EO5" s="62">
        <f ca="1">AVERAGE(OFFSET($EN$3,0,0,'Données projet'!$E$15+1,1))-AVERAGE(OFFSET($H$3,0,0,'Données projet'!$E$15+1,1))</f>
        <v>454.78867027701426</v>
      </c>
      <c r="EP5" s="62">
        <f t="shared" ref="EP5:EP68" si="46">$EP$3</f>
        <v>366.45346303927056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50.333031684374006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3.2692307692307692</v>
      </c>
      <c r="FE5" s="13">
        <f>IF('Données projet'!$A$218&gt;35,FE4+FD5-FM4,IF(A5&lt;'Données projet'!$A$218,$FB$205^A5,IF(A5='Données projet'!$A$218,'Données projet'!$B$218,FE4+FD5-FM4)))</f>
        <v>2.0085799147340855</v>
      </c>
      <c r="FF5" s="18">
        <f>FE5*VLOOKUP('Données projet'!$B$16,Paramètres!$A$1:$I$89,3,0)*VLOOKUP('Données projet'!$B$16,Paramètres!$A$1:$I$89,5,0)</f>
        <v>1.3473554068036244</v>
      </c>
      <c r="FG5" s="14">
        <f t="shared" ref="FG5:FG68" si="47">EXP(-1.0587+0.8836*LN(FF5)+0.284)</f>
        <v>0.5997393019338928</v>
      </c>
      <c r="FH5" s="22">
        <f t="shared" si="22"/>
        <v>3.3911899510511758</v>
      </c>
      <c r="FI5" s="62">
        <f t="shared" si="23"/>
        <v>190.390083904867</v>
      </c>
      <c r="FJ5" s="62">
        <f ca="1">AVERAGE(OFFSET($FI$3,0,0,'Données projet'!$E$16+1,1))-AVERAGE(OFFSET($H$3,0,0,'Données projet'!$E$16+1,1))</f>
        <v>390.05579539539576</v>
      </c>
      <c r="FK5" s="62">
        <f t="shared" ref="FK5:FK68" si="48">$FK$3</f>
        <v>323.72278615226139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projet'!$B$16,Paramètres!$A$1:$I$89,3,0)*0.475*44/12</f>
        <v>0</v>
      </c>
      <c r="FR5" s="23">
        <f>EXP(-LN(2)/25)*FR4+(1-EXP(-LN(2)/25))/(LN(2)/25)*Calculateur!FM5*Calculateur!FO5*VLOOKUP('Données projet'!$B$16,Paramètres!$A$1:$I$89,3,0)*0.475*44/12</f>
        <v>0</v>
      </c>
      <c r="FS5" s="23">
        <f>EXP(-LN(2)/2)*FS4+(1-EXP(-LN(2)/2))/(LN(2)/2)*FM5*FP5*VLOOKUP('Données projet'!$B$16,Paramètres!$A$1:$I$89,3,0)*0.475*44/12</f>
        <v>0</v>
      </c>
      <c r="FT5" s="24">
        <f t="shared" si="24"/>
        <v>0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50.333031684374006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3.65</v>
      </c>
      <c r="FZ5" s="13">
        <f>IF('Données projet'!$A$244&gt;35,FZ4+FY5-GH4,IF(A5&lt;'Données projet'!$A$244,$FW$205^A5,IF(A5='Données projet'!$A$244,'Données projet'!$B$244,FZ4+FY5-GH4)))</f>
        <v>1.5357915933617867</v>
      </c>
      <c r="GA5" s="18">
        <f>FZ5*VLOOKUP('Données projet'!$B$17,Paramètres!$A$1:$I$89,3,0)*VLOOKUP('Données projet'!$B$17,Paramètres!$A$1:$I$89,5,0)</f>
        <v>1.4854176290995202</v>
      </c>
      <c r="GB5" s="14">
        <f t="shared" ref="GB5:GB68" si="49">EXP(-1.0587+0.8836*LN(GA5)+0.284)</f>
        <v>0.65372856897250708</v>
      </c>
      <c r="GC5" s="22">
        <f t="shared" si="25"/>
        <v>3.725679628308781</v>
      </c>
      <c r="GD5" s="62">
        <f t="shared" si="26"/>
        <v>190.72457358212458</v>
      </c>
      <c r="GE5" s="62">
        <f ca="1">AVERAGE(OFFSET($GD$3,0,0,'Données projet'!$E$17+1,1))-AVERAGE(OFFSET($H$3,0,0,'Données projet'!$E$17+1,1))</f>
        <v>578.44111602076555</v>
      </c>
      <c r="GF5" s="62">
        <f t="shared" ref="GF5:GF68" si="50">$GF$3</f>
        <v>368.08542661432784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>
        <f>EXP(-LN(2)/35)*GL4+(1-EXP(-LN(2)/35))/(LN(2)/35)*GH5*GI5*VLOOKUP('Données projet'!$B$17,Paramètres!$A$1:$I$89,3,0)*0.475*44/12</f>
        <v>0</v>
      </c>
      <c r="GM5" s="23">
        <f>EXP(-LN(2)/25)*GM4+(1-EXP(-LN(2)/25))/(LN(2)/25)*Calculateur!GH5*Calculateur!GJ5*VLOOKUP('Données projet'!$B$17,Paramètres!$A$1:$I$89,3,0)*0.475*44/12</f>
        <v>0</v>
      </c>
      <c r="GN5" s="23">
        <f>EXP(-LN(2)/2)*GN4+(1-EXP(-LN(2)/2))/(LN(2)/2)*GH5*GK5*VLOOKUP('Données projet'!$B$17,Paramètres!$A$1:$I$89,3,0)*0.475*44/12</f>
        <v>0</v>
      </c>
      <c r="GO5" s="23">
        <f t="shared" si="27"/>
        <v>0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50.333031684374006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4.0735000000000001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14.936166666666667</v>
      </c>
      <c r="H6" s="70">
        <f t="shared" si="1"/>
        <v>196.922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50.674209615895961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3.65</v>
      </c>
      <c r="N6" s="14">
        <f>IF('Données projet'!$A$36&gt;35,N5+M6-V5,IF(A6&lt;'Données projet'!$A$36,$K$205^A6,IF(A6='Données projet'!$A$36,'Données projet'!$B$36,N5+M6-V5)))</f>
        <v>1.9032613528593461</v>
      </c>
      <c r="O6" s="14">
        <f>N6*VLOOKUP('Données projet'!$B$9,Paramètres!$A$1:$I$89,3,0)*VLOOKUP('Données projet'!$B$9,Paramètres!$A$1:$I$89,5,0)</f>
        <v>1.7220708720671365</v>
      </c>
      <c r="P6" s="14">
        <f t="shared" si="33"/>
        <v>0.74494935243383209</v>
      </c>
      <c r="Q6" s="22">
        <f t="shared" si="2"/>
        <v>4.2967268910058536</v>
      </c>
      <c r="R6" s="62">
        <f t="shared" si="0"/>
        <v>193.7688288159577</v>
      </c>
      <c r="S6" s="62">
        <f ca="1">AVERAGE(OFFSET($R$3,0,0,'Données projet'!$E$9+1,1))-AVERAGE(OFFSET($H$3,0,0,'Données projet'!$E$9+1,1))</f>
        <v>546.11281471711925</v>
      </c>
      <c r="T6" s="62">
        <f t="shared" si="34"/>
        <v>348.18069831447099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50.674209615895961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2.8</v>
      </c>
      <c r="AI6" s="14">
        <f>IF('Données projet'!$A$62&gt;35,AI5+AH6-AQ5,IF(A6&lt;'Données projet'!$A$62,$AF$205^A6,IF(A6='Données projet'!$A$62,'Données projet'!$B$62,AI5+AH6-AQ5)))</f>
        <v>1.8290610607238502</v>
      </c>
      <c r="AJ6" s="14">
        <f>AI6*VLOOKUP('Données projet'!$B$10,Paramètres!$A$1:$I$89,3,0)*VLOOKUP('Données projet'!$B$10,Paramètres!$A$1:$I$89,5,0)</f>
        <v>1.5693343901010637</v>
      </c>
      <c r="AK6" s="14">
        <f t="shared" si="35"/>
        <v>0.68625618797666377</v>
      </c>
      <c r="AL6" s="22">
        <f t="shared" si="4"/>
        <v>3.9284869234853752</v>
      </c>
      <c r="AM6" s="62">
        <f t="shared" si="5"/>
        <v>193.40058884843722</v>
      </c>
      <c r="AN6" s="62">
        <f ca="1">AVERAGE(OFFSET($AM$3,0,0,'Données projet'!$E$10+1,1))-AVERAGE(OFFSET($H$3,0,0,'Données projet'!$E$10+1,1))</f>
        <v>693.87994318348024</v>
      </c>
      <c r="AO6" s="62">
        <f t="shared" si="36"/>
        <v>327.71043739333641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50.674209615895961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3.65</v>
      </c>
      <c r="BD6" s="13">
        <f>IF('Données projet'!$A$88&gt;35,BD5+BC6-BL5,IF(A6&lt;'Données projet'!$A$88,$BA$205^A6,IF(A6='Données projet'!$A$88,'Données projet'!$B$88,BD5+BC6-BL5)))</f>
        <v>1.9032613528593461</v>
      </c>
      <c r="BE6" s="14">
        <f>BD6*VLOOKUP('Données projet'!$B$11,Paramètres!$A$1:$I$89,3,0)*VLOOKUP('Données projet'!$B$11,Paramètres!$A$1:$I$89,5,0)</f>
        <v>1.6033073636487132</v>
      </c>
      <c r="BF6" s="14">
        <f t="shared" si="37"/>
        <v>0.69936661672428513</v>
      </c>
      <c r="BG6" s="22">
        <f t="shared" si="7"/>
        <v>4.0104905158163051</v>
      </c>
      <c r="BH6" s="62">
        <f t="shared" si="8"/>
        <v>193.48259244076817</v>
      </c>
      <c r="BI6" s="62">
        <f ca="1">AVERAGE(OFFSET($BH$3,0,0,'Données projet'!$E$11+1,1))-AVERAGE(OFFSET($H$3,0,0,'Données projet'!$E$11+1,1))</f>
        <v>513.7388209355762</v>
      </c>
      <c r="BJ6" s="62">
        <f t="shared" si="38"/>
        <v>328.24603121433927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50.674209615895961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1.8800000000000001</v>
      </c>
      <c r="BY6" s="13">
        <f>IF('Données projet'!$A$114&gt;35,BY5+BX6-CG5,IF(A6&lt;'Données projet'!$A$114,$BV$205^A6,IF(A6='Données projet'!$A$114,'Données projet'!$B$114,BY5+BX6-CG5)))</f>
        <v>2.4112783943550782</v>
      </c>
      <c r="BZ6" s="14">
        <f>BY6*VLOOKUP('Données projet'!$B$12,Paramètres!$A$1:$I$89,3,0)*VLOOKUP('Données projet'!$B$12,Paramètres!$A$1:$I$89,5,0)</f>
        <v>1.9184130905489003</v>
      </c>
      <c r="CA6" s="14">
        <f t="shared" si="39"/>
        <v>0.81952032734079794</v>
      </c>
      <c r="CB6" s="22">
        <f t="shared" si="10"/>
        <v>4.7685673694912243</v>
      </c>
      <c r="CC6" s="62">
        <f t="shared" si="11"/>
        <v>194.24066929444308</v>
      </c>
      <c r="CD6" s="62">
        <f ca="1">AVERAGE(OFFSET($CC$3,0,0,'Données projet'!$E$12+1,1))-AVERAGE(OFFSET($H$3,0,0,'Données projet'!$E$12+1,1))</f>
        <v>447.25854887589878</v>
      </c>
      <c r="CE6" s="62">
        <f t="shared" si="40"/>
        <v>480.13390593590157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50.674209615895961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2.6666666666666665</v>
      </c>
      <c r="CT6" s="13">
        <f>IF('Données projet'!$A$140&gt;35,CT5+CS6-DB5,IF(A6&lt;'Données projet'!$A$140,$CQ$205^A6,IF(A6='Données projet'!$A$140,'Données projet'!$B$140,CT5+CS6-DB5)))</f>
        <v>2.0912791051825459</v>
      </c>
      <c r="CU6" s="18">
        <f>CT6*VLOOKUP('Données projet'!$B$13,Paramètres!$A$1:$I$89,3,0)*VLOOKUP('Données projet'!$B$13,Paramètres!$A$1:$I$89,5,0)</f>
        <v>1.6311977020423858</v>
      </c>
      <c r="CV6" s="14">
        <f t="shared" si="41"/>
        <v>0.71010553443370616</v>
      </c>
      <c r="CW6" s="22">
        <f t="shared" si="13"/>
        <v>4.0777698035291934</v>
      </c>
      <c r="CX6" s="62">
        <f t="shared" si="14"/>
        <v>193.54987172848104</v>
      </c>
      <c r="CY6" s="62">
        <f ca="1">AVERAGE(OFFSET($CX$3,0,0,'Données projet'!$E$13+1,1))-AVERAGE(OFFSET($H$3,0,0,'Données projet'!$E$13+1,1))</f>
        <v>308.52515801950324</v>
      </c>
      <c r="CZ6" s="62">
        <f t="shared" si="42"/>
        <v>299.05420638408953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50.674209615895961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1.8800000000000001</v>
      </c>
      <c r="DO6" s="13">
        <f>IF('Données projet'!$A$166&gt;35,DO5+DN6-DW5,IF(A6&lt;'Données projet'!$A$166,$DL$205^A6,IF(A6='Données projet'!$A$166,'Données projet'!$B$166,DO5+DN6-DW5)))</f>
        <v>2.4112783943550782</v>
      </c>
      <c r="DP6" s="18">
        <f>DO6*VLOOKUP('Données projet'!$B$14,Paramètres!$A$1:$I$89,3,0)*VLOOKUP('Données projet'!$B$14,Paramètres!$A$1:$I$89,5,0)</f>
        <v>1.7679493187411432</v>
      </c>
      <c r="DQ6" s="14">
        <f t="shared" si="43"/>
        <v>0.76245881525064307</v>
      </c>
      <c r="DR6" s="22">
        <f t="shared" si="16"/>
        <v>4.4071275000356946</v>
      </c>
      <c r="DS6" s="62">
        <f t="shared" si="17"/>
        <v>193.87922942498756</v>
      </c>
      <c r="DT6" s="62">
        <f ca="1">AVERAGE(OFFSET($DS$3,0,0,'Données projet'!$E$14+1,1))-AVERAGE(OFFSET($H$3,0,0,'Données projet'!$E$14+1,1))</f>
        <v>416.72317068678774</v>
      </c>
      <c r="DU6" s="62">
        <f t="shared" si="44"/>
        <v>447.32457429495537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50.674209615895961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3.9316239316239314</v>
      </c>
      <c r="EJ6" s="13">
        <f>IF('Données projet'!$A$192&gt;35,EJ5+EI6-ER5,IF(A6&lt;'Données projet'!$A$192,$EG$205^A6,IF(A6='Données projet'!$A$192,'Données projet'!$B$192,EJ5+EI6-ER5)))</f>
        <v>2.2601259711043618</v>
      </c>
      <c r="EK6" s="18">
        <f>EJ6*VLOOKUP('Données projet'!$B$15,Paramètres!$A$1:$I$89,3,0)*VLOOKUP('Données projet'!$B$15,Paramètres!$A$1:$I$89,5,0)</f>
        <v>2.1507358741029106</v>
      </c>
      <c r="EL6" s="14">
        <f t="shared" si="45"/>
        <v>0.90662148775281182</v>
      </c>
      <c r="EM6" s="22">
        <f t="shared" si="19"/>
        <v>5.3248974052320497</v>
      </c>
      <c r="EN6" s="62">
        <f t="shared" si="20"/>
        <v>194.79699933018389</v>
      </c>
      <c r="EO6" s="62">
        <f ca="1">AVERAGE(OFFSET($EN$3,0,0,'Données projet'!$E$15+1,1))-AVERAGE(OFFSET($H$3,0,0,'Données projet'!$E$15+1,1))</f>
        <v>454.78867027701426</v>
      </c>
      <c r="EP6" s="62">
        <f t="shared" si="46"/>
        <v>366.45346303927056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50.674209615895961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3.2692307692307692</v>
      </c>
      <c r="FE6" s="13">
        <f>IF('Données projet'!$A$218&gt;35,FE5+FD6-FM5,IF(A6&lt;'Données projet'!$A$218,$FB$205^A6,IF(A6='Données projet'!$A$218,'Données projet'!$B$218,FE5+FD6-FM5)))</f>
        <v>2.8466473785911686</v>
      </c>
      <c r="FF6" s="18">
        <f>FE6*VLOOKUP('Données projet'!$B$16,Paramètres!$A$1:$I$89,3,0)*VLOOKUP('Données projet'!$B$16,Paramètres!$A$1:$I$89,5,0)</f>
        <v>1.909531061558956</v>
      </c>
      <c r="FG6" s="14">
        <f t="shared" si="47"/>
        <v>0.81616679340497278</v>
      </c>
      <c r="FH6" s="22">
        <f t="shared" si="22"/>
        <v>4.7472570973955088</v>
      </c>
      <c r="FI6" s="62">
        <f t="shared" si="23"/>
        <v>194.21935902234736</v>
      </c>
      <c r="FJ6" s="62">
        <f ca="1">AVERAGE(OFFSET($FI$3,0,0,'Données projet'!$E$16+1,1))-AVERAGE(OFFSET($H$3,0,0,'Données projet'!$E$16+1,1))</f>
        <v>390.05579539539576</v>
      </c>
      <c r="FK6" s="62">
        <f t="shared" si="48"/>
        <v>323.72278615226139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projet'!$B$16,Paramètres!$A$1:$I$89,3,0)*0.475*44/12</f>
        <v>0</v>
      </c>
      <c r="FR6" s="23">
        <f>EXP(-LN(2)/25)*FR5+(1-EXP(-LN(2)/25))/(LN(2)/25)*Calculateur!FM6*Calculateur!FO6*VLOOKUP('Données projet'!$B$16,Paramètres!$A$1:$I$89,3,0)*0.475*44/12</f>
        <v>0</v>
      </c>
      <c r="FS6" s="23">
        <f>EXP(-LN(2)/2)*FS5+(1-EXP(-LN(2)/2))/(LN(2)/2)*FM6*FP6*VLOOKUP('Données projet'!$B$16,Paramètres!$A$1:$I$89,3,0)*0.475*44/12</f>
        <v>0</v>
      </c>
      <c r="FT6" s="24">
        <f t="shared" si="24"/>
        <v>0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50.674209615895961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3.65</v>
      </c>
      <c r="FZ6" s="13">
        <f>IF('Données projet'!$A$244&gt;35,FZ5+FY6-GH5,IF(A6&lt;'Données projet'!$A$244,$FW$205^A6,IF(A6='Données projet'!$A$244,'Données projet'!$B$244,FZ5+FY6-GH5)))</f>
        <v>1.9032613528593461</v>
      </c>
      <c r="GA6" s="18">
        <f>FZ6*VLOOKUP('Données projet'!$B$17,Paramètres!$A$1:$I$89,3,0)*VLOOKUP('Données projet'!$B$17,Paramètres!$A$1:$I$89,5,0)</f>
        <v>1.8408343804855598</v>
      </c>
      <c r="GB6" s="14">
        <f t="shared" si="49"/>
        <v>0.79016732850363813</v>
      </c>
      <c r="GC6" s="22">
        <f t="shared" si="25"/>
        <v>4.5823279764895188</v>
      </c>
      <c r="GD6" s="62">
        <f t="shared" si="26"/>
        <v>194.05442990144138</v>
      </c>
      <c r="GE6" s="62">
        <f ca="1">AVERAGE(OFFSET($GD$3,0,0,'Données projet'!$E$17+1,1))-AVERAGE(OFFSET($H$3,0,0,'Données projet'!$E$17+1,1))</f>
        <v>578.44111602076555</v>
      </c>
      <c r="GF6" s="62">
        <f t="shared" si="50"/>
        <v>368.08542661432784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>
        <f>EXP(-LN(2)/35)*GL5+(1-EXP(-LN(2)/35))/(LN(2)/35)*GH6*GI6*VLOOKUP('Données projet'!$B$17,Paramètres!$A$1:$I$89,3,0)*0.475*44/12</f>
        <v>0</v>
      </c>
      <c r="GM6" s="23">
        <f>EXP(-LN(2)/25)*GM5+(1-EXP(-LN(2)/25))/(LN(2)/25)*Calculateur!GH6*Calculateur!GJ6*VLOOKUP('Données projet'!$B$17,Paramètres!$A$1:$I$89,3,0)*0.475*44/12</f>
        <v>0</v>
      </c>
      <c r="GN6" s="23">
        <f>EXP(-LN(2)/2)*GN5+(1-EXP(-LN(2)/2))/(LN(2)/2)*GH6*GK6*VLOOKUP('Données projet'!$B$17,Paramètres!$A$1:$I$89,3,0)*0.475*44/12</f>
        <v>0</v>
      </c>
      <c r="GO6" s="23">
        <f t="shared" si="27"/>
        <v>0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50.674209615895961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4.0735000000000001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14.936166666666667</v>
      </c>
      <c r="H7" s="70">
        <f t="shared" si="1"/>
        <v>196.922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51.0094688730656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3.65</v>
      </c>
      <c r="N7" s="14">
        <f>IF('Données projet'!$A$36&gt;35,N6+M7-V6,IF(A7&lt;'Données projet'!$A$36,$K$205^A7,IF(A7='Données projet'!$A$36,'Données projet'!$B$36,N6+M7-V6)))</f>
        <v>2.3586558182407358</v>
      </c>
      <c r="O7" s="14">
        <f>N7*VLOOKUP('Données projet'!$B$9,Paramètres!$A$1:$I$89,3,0)*VLOOKUP('Données projet'!$B$9,Paramètres!$A$1:$I$89,5,0)</f>
        <v>2.1341117843442179</v>
      </c>
      <c r="P7" s="14">
        <f t="shared" si="33"/>
        <v>0.90042667189585779</v>
      </c>
      <c r="Q7" s="22">
        <f t="shared" si="2"/>
        <v>5.2851544779514645</v>
      </c>
      <c r="R7" s="62">
        <f t="shared" si="0"/>
        <v>197.20876256808089</v>
      </c>
      <c r="S7" s="62">
        <f ca="1">AVERAGE(OFFSET($R$3,0,0,'Données projet'!$E$9+1,1))-AVERAGE(OFFSET($H$3,0,0,'Données projet'!$E$9+1,1))</f>
        <v>546.11281471711925</v>
      </c>
      <c r="T7" s="62">
        <f t="shared" si="34"/>
        <v>348.18069831447099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51.0094688730656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2.8</v>
      </c>
      <c r="AI7" s="14">
        <f>IF('Données projet'!$A$62&gt;35,AI6+AH7-AQ6,IF(A7&lt;'Données projet'!$A$62,$AF$205^A7,IF(A7='Données projet'!$A$62,'Données projet'!$B$62,AI6+AH7-AQ6)))</f>
        <v>2.2368538294402907</v>
      </c>
      <c r="AJ7" s="14">
        <f>AI7*VLOOKUP('Données projet'!$B$10,Paramètres!$A$1:$I$89,3,0)*VLOOKUP('Données projet'!$B$10,Paramètres!$A$1:$I$89,5,0)</f>
        <v>1.9192205856597695</v>
      </c>
      <c r="AK7" s="14">
        <f t="shared" si="35"/>
        <v>0.8198251186449117</v>
      </c>
      <c r="AL7" s="22">
        <f t="shared" si="4"/>
        <v>4.770504601663986</v>
      </c>
      <c r="AM7" s="62">
        <f t="shared" si="5"/>
        <v>196.69411269179341</v>
      </c>
      <c r="AN7" s="62">
        <f ca="1">AVERAGE(OFFSET($AM$3,0,0,'Données projet'!$E$10+1,1))-AVERAGE(OFFSET($H$3,0,0,'Données projet'!$E$10+1,1))</f>
        <v>693.87994318348024</v>
      </c>
      <c r="AO7" s="62">
        <f t="shared" si="36"/>
        <v>327.71043739333641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51.0094688730656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3.65</v>
      </c>
      <c r="BD7" s="13">
        <f>IF('Données projet'!$A$88&gt;35,BD6+BC7-BL6,IF(A7&lt;'Données projet'!$A$88,$BA$205^A7,IF(A7='Données projet'!$A$88,'Données projet'!$B$88,BD6+BC7-BL6)))</f>
        <v>2.3586558182407358</v>
      </c>
      <c r="BE7" s="14">
        <f>BD7*VLOOKUP('Données projet'!$B$11,Paramètres!$A$1:$I$89,3,0)*VLOOKUP('Données projet'!$B$11,Paramètres!$A$1:$I$89,5,0)</f>
        <v>1.9869316612859962</v>
      </c>
      <c r="BF7" s="14">
        <f t="shared" si="37"/>
        <v>0.84533042826968274</v>
      </c>
      <c r="BG7" s="22">
        <f t="shared" si="7"/>
        <v>4.9328564726428068</v>
      </c>
      <c r="BH7" s="62">
        <f t="shared" si="8"/>
        <v>196.85646456277223</v>
      </c>
      <c r="BI7" s="62">
        <f ca="1">AVERAGE(OFFSET($BH$3,0,0,'Données projet'!$E$11+1,1))-AVERAGE(OFFSET($H$3,0,0,'Données projet'!$E$11+1,1))</f>
        <v>513.7388209355762</v>
      </c>
      <c r="BJ7" s="62">
        <f t="shared" si="38"/>
        <v>328.24603121433927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51.0094688730656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1.8800000000000001</v>
      </c>
      <c r="BY7" s="13">
        <f>IF('Données projet'!$A$114&gt;35,BY6+BX7-CG6,IF(A7&lt;'Données projet'!$A$114,$BV$205^A7,IF(A7='Données projet'!$A$114,'Données projet'!$B$114,BY6+BX7-CG6)))</f>
        <v>3.2334275899082998</v>
      </c>
      <c r="BZ7" s="14">
        <f>BY7*VLOOKUP('Données projet'!$B$12,Paramètres!$A$1:$I$89,3,0)*VLOOKUP('Données projet'!$B$12,Paramètres!$A$1:$I$89,5,0)</f>
        <v>2.5725149905310434</v>
      </c>
      <c r="CA7" s="14">
        <f t="shared" si="39"/>
        <v>1.0620484215684383</v>
      </c>
      <c r="CB7" s="22">
        <f t="shared" si="10"/>
        <v>6.3301979427399298</v>
      </c>
      <c r="CC7" s="62">
        <f t="shared" si="11"/>
        <v>198.25380603286936</v>
      </c>
      <c r="CD7" s="62">
        <f ca="1">AVERAGE(OFFSET($CC$3,0,0,'Données projet'!$E$12+1,1))-AVERAGE(OFFSET($H$3,0,0,'Données projet'!$E$12+1,1))</f>
        <v>447.25854887589878</v>
      </c>
      <c r="CE7" s="62">
        <f t="shared" si="40"/>
        <v>480.13390593590157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51.0094688730656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2.6666666666666665</v>
      </c>
      <c r="CT7" s="13">
        <f>IF('Données projet'!$A$140&gt;35,CT6+CS7-DB6,IF(A7&lt;'Données projet'!$A$140,$CQ$205^A7,IF(A7='Données projet'!$A$140,'Données projet'!$B$140,CT6+CS7-DB6)))</f>
        <v>2.6743361672197152</v>
      </c>
      <c r="CU7" s="18">
        <f>CT7*VLOOKUP('Données projet'!$B$13,Paramètres!$A$1:$I$89,3,0)*VLOOKUP('Données projet'!$B$13,Paramètres!$A$1:$I$89,5,0)</f>
        <v>2.0859822104313781</v>
      </c>
      <c r="CV7" s="14">
        <f t="shared" si="41"/>
        <v>0.88245976121767966</v>
      </c>
      <c r="CW7" s="22">
        <f t="shared" si="13"/>
        <v>5.1700364339554419</v>
      </c>
      <c r="CX7" s="62">
        <f t="shared" si="14"/>
        <v>197.09364452408485</v>
      </c>
      <c r="CY7" s="62">
        <f ca="1">AVERAGE(OFFSET($CX$3,0,0,'Données projet'!$E$13+1,1))-AVERAGE(OFFSET($H$3,0,0,'Données projet'!$E$13+1,1))</f>
        <v>308.52515801950324</v>
      </c>
      <c r="CZ7" s="62">
        <f t="shared" si="42"/>
        <v>299.05420638408953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51.0094688730656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1.8800000000000001</v>
      </c>
      <c r="DO7" s="13">
        <f>IF('Données projet'!$A$166&gt;35,DO6+DN7-DW6,IF(A7&lt;'Données projet'!$A$166,$DL$205^A7,IF(A7='Données projet'!$A$166,'Données projet'!$B$166,DO6+DN7-DW6)))</f>
        <v>3.2334275899082998</v>
      </c>
      <c r="DP7" s="18">
        <f>DO7*VLOOKUP('Données projet'!$B$14,Paramètres!$A$1:$I$89,3,0)*VLOOKUP('Données projet'!$B$14,Paramètres!$A$1:$I$89,5,0)</f>
        <v>2.3707491089207653</v>
      </c>
      <c r="DQ7" s="14">
        <f t="shared" si="43"/>
        <v>0.98810017791193172</v>
      </c>
      <c r="DR7" s="22">
        <f t="shared" si="16"/>
        <v>5.8499958412336142</v>
      </c>
      <c r="DS7" s="62">
        <f t="shared" si="17"/>
        <v>197.77360393136303</v>
      </c>
      <c r="DT7" s="62">
        <f ca="1">AVERAGE(OFFSET($DS$3,0,0,'Données projet'!$E$14+1,1))-AVERAGE(OFFSET($H$3,0,0,'Données projet'!$E$14+1,1))</f>
        <v>416.72317068678774</v>
      </c>
      <c r="DU7" s="62">
        <f t="shared" si="44"/>
        <v>447.32457429495537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51.0094688730656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3.9316239316239314</v>
      </c>
      <c r="EJ7" s="13">
        <f>IF('Données projet'!$A$192&gt;35,EJ6+EI7-ER6,IF(A7&lt;'Données projet'!$A$192,$EG$205^A7,IF(A7='Données projet'!$A$192,'Données projet'!$B$192,EJ6+EI7-ER6)))</f>
        <v>2.9660390263734668</v>
      </c>
      <c r="EK7" s="18">
        <f>EJ7*VLOOKUP('Données projet'!$B$15,Paramètres!$A$1:$I$89,3,0)*VLOOKUP('Données projet'!$B$15,Paramètres!$A$1:$I$89,5,0)</f>
        <v>2.822482737496991</v>
      </c>
      <c r="EL7" s="14">
        <f t="shared" si="45"/>
        <v>1.1527360536654156</v>
      </c>
      <c r="EM7" s="22">
        <f t="shared" si="19"/>
        <v>6.9235060612745238</v>
      </c>
      <c r="EN7" s="62">
        <f t="shared" si="20"/>
        <v>198.84711415140396</v>
      </c>
      <c r="EO7" s="62">
        <f ca="1">AVERAGE(OFFSET($EN$3,0,0,'Données projet'!$E$15+1,1))-AVERAGE(OFFSET($H$3,0,0,'Données projet'!$E$15+1,1))</f>
        <v>454.78867027701426</v>
      </c>
      <c r="EP7" s="62">
        <f t="shared" si="46"/>
        <v>366.45346303927056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51.0094688730656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3.2692307692307692</v>
      </c>
      <c r="FE7" s="13">
        <f>IF('Données projet'!$A$218&gt;35,FE6+FD7-FM6,IF(A7&lt;'Données projet'!$A$218,$FB$205^A7,IF(A7='Données projet'!$A$218,'Données projet'!$B$218,FE6+FD7-FM6)))</f>
        <v>4.034393273873186</v>
      </c>
      <c r="FF7" s="18">
        <f>FE7*VLOOKUP('Données projet'!$B$16,Paramètres!$A$1:$I$89,3,0)*VLOOKUP('Données projet'!$B$16,Paramètres!$A$1:$I$89,5,0)</f>
        <v>2.7062710081141335</v>
      </c>
      <c r="FG7" s="14">
        <f t="shared" si="47"/>
        <v>1.1106963183986573</v>
      </c>
      <c r="FH7" s="22">
        <f t="shared" si="22"/>
        <v>6.6478847603431106</v>
      </c>
      <c r="FI7" s="62">
        <f t="shared" si="23"/>
        <v>198.57149285047254</v>
      </c>
      <c r="FJ7" s="62">
        <f ca="1">AVERAGE(OFFSET($FI$3,0,0,'Données projet'!$E$16+1,1))-AVERAGE(OFFSET($H$3,0,0,'Données projet'!$E$16+1,1))</f>
        <v>390.05579539539576</v>
      </c>
      <c r="FK7" s="62">
        <f t="shared" si="48"/>
        <v>323.72278615226139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projet'!$B$16,Paramètres!$A$1:$I$89,3,0)*0.475*44/12</f>
        <v>0</v>
      </c>
      <c r="FR7" s="23">
        <f>EXP(-LN(2)/25)*FR6+(1-EXP(-LN(2)/25))/(LN(2)/25)*Calculateur!FM7*Calculateur!FO7*VLOOKUP('Données projet'!$B$16,Paramètres!$A$1:$I$89,3,0)*0.475*44/12</f>
        <v>0</v>
      </c>
      <c r="FS7" s="23">
        <f>EXP(-LN(2)/2)*FS6+(1-EXP(-LN(2)/2))/(LN(2)/2)*FM7*FP7*VLOOKUP('Données projet'!$B$16,Paramètres!$A$1:$I$89,3,0)*0.475*44/12</f>
        <v>0</v>
      </c>
      <c r="FT7" s="24">
        <f t="shared" si="24"/>
        <v>0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51.0094688730656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3.65</v>
      </c>
      <c r="FZ7" s="13">
        <f>IF('Données projet'!$A$244&gt;35,FZ6+FY7-GH6,IF(A7&lt;'Données projet'!$A$244,$FW$205^A7,IF(A7='Données projet'!$A$244,'Données projet'!$B$244,FZ6+FY7-GH6)))</f>
        <v>2.3586558182407358</v>
      </c>
      <c r="GA7" s="18">
        <f>FZ7*VLOOKUP('Données projet'!$B$17,Paramètres!$A$1:$I$89,3,0)*VLOOKUP('Données projet'!$B$17,Paramètres!$A$1:$I$89,5,0)</f>
        <v>2.2812919074024398</v>
      </c>
      <c r="GB7" s="14">
        <f t="shared" si="49"/>
        <v>0.95508202741684722</v>
      </c>
      <c r="GC7" s="22">
        <f t="shared" si="25"/>
        <v>5.6366846031435918</v>
      </c>
      <c r="GD7" s="62">
        <f t="shared" si="26"/>
        <v>197.560292693273</v>
      </c>
      <c r="GE7" s="62">
        <f ca="1">AVERAGE(OFFSET($GD$3,0,0,'Données projet'!$E$17+1,1))-AVERAGE(OFFSET($H$3,0,0,'Données projet'!$E$17+1,1))</f>
        <v>578.44111602076555</v>
      </c>
      <c r="GF7" s="62">
        <f t="shared" si="50"/>
        <v>368.08542661432784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>
        <f>EXP(-LN(2)/35)*GL6+(1-EXP(-LN(2)/35))/(LN(2)/35)*GH7*GI7*VLOOKUP('Données projet'!$B$17,Paramètres!$A$1:$I$89,3,0)*0.475*44/12</f>
        <v>0</v>
      </c>
      <c r="GM7" s="23">
        <f>EXP(-LN(2)/25)*GM6+(1-EXP(-LN(2)/25))/(LN(2)/25)*Calculateur!GH7*Calculateur!GJ7*VLOOKUP('Données projet'!$B$17,Paramètres!$A$1:$I$89,3,0)*0.475*44/12</f>
        <v>0</v>
      </c>
      <c r="GN7" s="23">
        <f>EXP(-LN(2)/2)*GN6+(1-EXP(-LN(2)/2))/(LN(2)/2)*GH7*GK7*VLOOKUP('Données projet'!$B$17,Paramètres!$A$1:$I$89,3,0)*0.475*44/12</f>
        <v>0</v>
      </c>
      <c r="GO7" s="23">
        <f t="shared" si="27"/>
        <v>0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51.0094688730656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4.0735000000000001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14.936166666666667</v>
      </c>
      <c r="H8" s="70">
        <f t="shared" si="1"/>
        <v>196.922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51.338912131650758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3.65</v>
      </c>
      <c r="N8" s="14">
        <f>IF('Données projet'!$A$36&gt;35,N7+M8-V7,IF(A8&lt;'Données projet'!$A$36,$K$205^A8,IF(A8='Données projet'!$A$36,'Données projet'!$B$36,N7+M8-V7)))</f>
        <v>2.9230127856917649</v>
      </c>
      <c r="O8" s="14">
        <f>N8*VLOOKUP('Données projet'!$B$9,Paramètres!$A$1:$I$89,3,0)*VLOOKUP('Données projet'!$B$9,Paramètres!$A$1:$I$89,5,0)</f>
        <v>2.6447419684939089</v>
      </c>
      <c r="P8" s="14">
        <f t="shared" si="33"/>
        <v>1.0883534414958294</v>
      </c>
      <c r="Q8" s="22">
        <f t="shared" si="2"/>
        <v>6.5018078390654601</v>
      </c>
      <c r="R8" s="62">
        <f t="shared" si="0"/>
        <v>200.85559676622935</v>
      </c>
      <c r="S8" s="62">
        <f ca="1">AVERAGE(OFFSET($R$3,0,0,'Données projet'!$E$9+1,1))-AVERAGE(OFFSET($H$3,0,0,'Données projet'!$E$9+1,1))</f>
        <v>546.11281471711925</v>
      </c>
      <c r="T8" s="62">
        <f t="shared" si="34"/>
        <v>348.18069831447099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51.338912131650758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2.8</v>
      </c>
      <c r="AI8" s="14">
        <f>IF('Données projet'!$A$62&gt;35,AI7+AH8-AQ7,IF(A8&lt;'Données projet'!$A$62,$AF$205^A8,IF(A8='Données projet'!$A$62,'Données projet'!$B$62,AI7+AH8-AQ7)))</f>
        <v>2.735564799734763</v>
      </c>
      <c r="AJ8" s="14">
        <f>AI8*VLOOKUP('Données projet'!$B$10,Paramètres!$A$1:$I$89,3,0)*VLOOKUP('Données projet'!$B$10,Paramètres!$A$1:$I$89,5,0)</f>
        <v>2.3471145981724271</v>
      </c>
      <c r="AK8" s="14">
        <f t="shared" si="35"/>
        <v>0.97939113254888255</v>
      </c>
      <c r="AL8" s="22">
        <f t="shared" si="4"/>
        <v>5.7936641476729482</v>
      </c>
      <c r="AM8" s="62">
        <f t="shared" si="5"/>
        <v>200.14745307483685</v>
      </c>
      <c r="AN8" s="62">
        <f ca="1">AVERAGE(OFFSET($AM$3,0,0,'Données projet'!$E$10+1,1))-AVERAGE(OFFSET($H$3,0,0,'Données projet'!$E$10+1,1))</f>
        <v>693.87994318348024</v>
      </c>
      <c r="AO8" s="62">
        <f t="shared" si="36"/>
        <v>327.71043739333641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51.338912131650758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3.65</v>
      </c>
      <c r="BD8" s="13">
        <f>IF('Données projet'!$A$88&gt;35,BD7+BC8-BL7,IF(A8&lt;'Données projet'!$A$88,$BA$205^A8,IF(A8='Données projet'!$A$88,'Données projet'!$B$88,BD7+BC8-BL7)))</f>
        <v>2.9230127856917649</v>
      </c>
      <c r="BE8" s="14">
        <f>BD8*VLOOKUP('Données projet'!$B$11,Paramètres!$A$1:$I$89,3,0)*VLOOKUP('Données projet'!$B$11,Paramètres!$A$1:$I$89,5,0)</f>
        <v>2.462345970666743</v>
      </c>
      <c r="BF8" s="14">
        <f t="shared" si="37"/>
        <v>1.021758139251189</v>
      </c>
      <c r="BG8" s="22">
        <f t="shared" si="7"/>
        <v>6.068147991440398</v>
      </c>
      <c r="BH8" s="62">
        <f t="shared" si="8"/>
        <v>200.42193691860427</v>
      </c>
      <c r="BI8" s="62">
        <f ca="1">AVERAGE(OFFSET($BH$3,0,0,'Données projet'!$E$11+1,1))-AVERAGE(OFFSET($H$3,0,0,'Données projet'!$E$11+1,1))</f>
        <v>513.7388209355762</v>
      </c>
      <c r="BJ8" s="62">
        <f t="shared" si="38"/>
        <v>328.24603121433927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51.338912131650758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1.8800000000000001</v>
      </c>
      <c r="BY8" s="13">
        <f>IF('Données projet'!$A$114&gt;35,BY7+BX8-CG7,IF(A8&lt;'Données projet'!$A$114,$BV$205^A8,IF(A8='Données projet'!$A$114,'Données projet'!$B$114,BY7+BX8-CG7)))</f>
        <v>4.3358966777357582</v>
      </c>
      <c r="BZ8" s="14">
        <f>BY8*VLOOKUP('Données projet'!$B$12,Paramètres!$A$1:$I$89,3,0)*VLOOKUP('Données projet'!$B$12,Paramètres!$A$1:$I$89,5,0)</f>
        <v>3.4496393968065697</v>
      </c>
      <c r="CA8" s="14">
        <f t="shared" si="39"/>
        <v>1.3763500576196861</v>
      </c>
      <c r="CB8" s="22">
        <f t="shared" si="10"/>
        <v>8.4052649664590611</v>
      </c>
      <c r="CC8" s="62">
        <f t="shared" si="11"/>
        <v>202.75905389362296</v>
      </c>
      <c r="CD8" s="62">
        <f ca="1">AVERAGE(OFFSET($CC$3,0,0,'Données projet'!$E$12+1,1))-AVERAGE(OFFSET($H$3,0,0,'Données projet'!$E$12+1,1))</f>
        <v>447.25854887589878</v>
      </c>
      <c r="CE8" s="62">
        <f t="shared" si="40"/>
        <v>480.13390593590157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51.338912131650758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2.6666666666666665</v>
      </c>
      <c r="CT8" s="13">
        <f>IF('Données projet'!$A$140&gt;35,CT7+CS8-DB7,IF(A8&lt;'Données projet'!$A$140,$CQ$205^A8,IF(A8='Données projet'!$A$140,'Données projet'!$B$140,CT7+CS8-DB7)))</f>
        <v>3.4199518933533928</v>
      </c>
      <c r="CU8" s="18">
        <f>CT8*VLOOKUP('Données projet'!$B$13,Paramètres!$A$1:$I$89,3,0)*VLOOKUP('Données projet'!$B$13,Paramètres!$A$1:$I$89,5,0)</f>
        <v>2.6675624768156463</v>
      </c>
      <c r="CV8" s="14">
        <f t="shared" si="41"/>
        <v>1.0966471776471767</v>
      </c>
      <c r="CW8" s="22">
        <f t="shared" si="13"/>
        <v>6.5559984815227494</v>
      </c>
      <c r="CX8" s="62">
        <f t="shared" si="14"/>
        <v>200.90978740868664</v>
      </c>
      <c r="CY8" s="62">
        <f ca="1">AVERAGE(OFFSET($CX$3,0,0,'Données projet'!$E$13+1,1))-AVERAGE(OFFSET($H$3,0,0,'Données projet'!$E$13+1,1))</f>
        <v>308.52515801950324</v>
      </c>
      <c r="CZ8" s="62">
        <f t="shared" si="42"/>
        <v>299.05420638408953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51.338912131650758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1.8800000000000001</v>
      </c>
      <c r="DO8" s="13">
        <f>IF('Données projet'!$A$166&gt;35,DO7+DN8-DW7,IF(A8&lt;'Données projet'!$A$166,$DL$205^A8,IF(A8='Données projet'!$A$166,'Données projet'!$B$166,DO7+DN8-DW7)))</f>
        <v>4.3358966777357582</v>
      </c>
      <c r="DP8" s="18">
        <f>DO8*VLOOKUP('Données projet'!$B$14,Paramètres!$A$1:$I$89,3,0)*VLOOKUP('Données projet'!$B$14,Paramètres!$A$1:$I$89,5,0)</f>
        <v>3.1790794441158581</v>
      </c>
      <c r="DQ8" s="14">
        <f t="shared" si="43"/>
        <v>1.2805176385410906</v>
      </c>
      <c r="DR8" s="22">
        <f t="shared" si="16"/>
        <v>7.767131585627518</v>
      </c>
      <c r="DS8" s="62">
        <f t="shared" si="17"/>
        <v>202.1209205127914</v>
      </c>
      <c r="DT8" s="62">
        <f ca="1">AVERAGE(OFFSET($DS$3,0,0,'Données projet'!$E$14+1,1))-AVERAGE(OFFSET($H$3,0,0,'Données projet'!$E$14+1,1))</f>
        <v>416.72317068678774</v>
      </c>
      <c r="DU8" s="62">
        <f t="shared" si="44"/>
        <v>447.32457429495537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51.338912131650758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3.9316239316239314</v>
      </c>
      <c r="EJ8" s="13">
        <f>IF('Données projet'!$A$192&gt;35,EJ7+EI8-ER7,IF(A8&lt;'Données projet'!$A$192,$EG$205^A8,IF(A8='Données projet'!$A$192,'Données projet'!$B$192,EJ7+EI8-ER7)))</f>
        <v>3.8924323769757887</v>
      </c>
      <c r="EK8" s="18">
        <f>EJ8*VLOOKUP('Données projet'!$B$15,Paramètres!$A$1:$I$89,3,0)*VLOOKUP('Données projet'!$B$15,Paramètres!$A$1:$I$89,5,0)</f>
        <v>3.7040386499301605</v>
      </c>
      <c r="EL8" s="14">
        <f t="shared" si="45"/>
        <v>1.4656617203213813</v>
      </c>
      <c r="EM8" s="22">
        <f t="shared" si="19"/>
        <v>9.0038948115214357</v>
      </c>
      <c r="EN8" s="62">
        <f t="shared" si="20"/>
        <v>203.35768373868532</v>
      </c>
      <c r="EO8" s="62">
        <f ca="1">AVERAGE(OFFSET($EN$3,0,0,'Données projet'!$E$15+1,1))-AVERAGE(OFFSET($H$3,0,0,'Données projet'!$E$15+1,1))</f>
        <v>454.78867027701426</v>
      </c>
      <c r="EP8" s="62">
        <f t="shared" si="46"/>
        <v>366.45346303927056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51.338912131650758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3.2692307692307692</v>
      </c>
      <c r="FE8" s="13">
        <f>IF('Données projet'!$A$218&gt;35,FE7+FD8-FM7,IF(A8&lt;'Données projet'!$A$218,$FB$205^A8,IF(A8='Données projet'!$A$218,'Données projet'!$B$218,FE7+FD8-FM7)))</f>
        <v>5.7177187489686574</v>
      </c>
      <c r="FF8" s="18">
        <f>FE8*VLOOKUP('Données projet'!$B$16,Paramètres!$A$1:$I$89,3,0)*VLOOKUP('Données projet'!$B$16,Paramètres!$A$1:$I$89,5,0)</f>
        <v>3.8354457368081754</v>
      </c>
      <c r="FG8" s="14">
        <f t="shared" si="47"/>
        <v>1.5115125017003845</v>
      </c>
      <c r="FH8" s="22">
        <f t="shared" si="22"/>
        <v>9.3126189320690731</v>
      </c>
      <c r="FI8" s="62">
        <f t="shared" si="23"/>
        <v>203.66640785923298</v>
      </c>
      <c r="FJ8" s="62">
        <f ca="1">AVERAGE(OFFSET($FI$3,0,0,'Données projet'!$E$16+1,1))-AVERAGE(OFFSET($H$3,0,0,'Données projet'!$E$16+1,1))</f>
        <v>390.05579539539576</v>
      </c>
      <c r="FK8" s="62">
        <f t="shared" si="48"/>
        <v>323.72278615226139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projet'!$B$16,Paramètres!$A$1:$I$89,3,0)*0.475*44/12</f>
        <v>0</v>
      </c>
      <c r="FR8" s="23">
        <f>EXP(-LN(2)/25)*FR7+(1-EXP(-LN(2)/25))/(LN(2)/25)*Calculateur!FM8*Calculateur!FO8*VLOOKUP('Données projet'!$B$16,Paramètres!$A$1:$I$89,3,0)*0.475*44/12</f>
        <v>0</v>
      </c>
      <c r="FS8" s="23">
        <f>EXP(-LN(2)/2)*FS7+(1-EXP(-LN(2)/2))/(LN(2)/2)*FM8*FP8*VLOOKUP('Données projet'!$B$16,Paramètres!$A$1:$I$89,3,0)*0.475*44/12</f>
        <v>0</v>
      </c>
      <c r="FT8" s="24">
        <f t="shared" si="24"/>
        <v>0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51.338912131650758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3.65</v>
      </c>
      <c r="FZ8" s="13">
        <f>IF('Données projet'!$A$244&gt;35,FZ7+FY8-GH7,IF(A8&lt;'Données projet'!$A$244,$FW$205^A8,IF(A8='Données projet'!$A$244,'Données projet'!$B$244,FZ7+FY8-GH7)))</f>
        <v>2.9230127856917649</v>
      </c>
      <c r="GA8" s="18">
        <f>FZ8*VLOOKUP('Données projet'!$B$17,Paramètres!$A$1:$I$89,3,0)*VLOOKUP('Données projet'!$B$17,Paramètres!$A$1:$I$89,5,0)</f>
        <v>2.8271379663210752</v>
      </c>
      <c r="GB8" s="14">
        <f t="shared" si="49"/>
        <v>1.1544158385061292</v>
      </c>
      <c r="GC8" s="22">
        <f t="shared" si="25"/>
        <v>6.9345395434073795</v>
      </c>
      <c r="GD8" s="62">
        <f t="shared" si="26"/>
        <v>201.28832847057126</v>
      </c>
      <c r="GE8" s="62">
        <f ca="1">AVERAGE(OFFSET($GD$3,0,0,'Données projet'!$E$17+1,1))-AVERAGE(OFFSET($H$3,0,0,'Données projet'!$E$17+1,1))</f>
        <v>578.44111602076555</v>
      </c>
      <c r="GF8" s="62">
        <f t="shared" si="50"/>
        <v>368.08542661432784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>
        <f>EXP(-LN(2)/35)*GL7+(1-EXP(-LN(2)/35))/(LN(2)/35)*GH8*GI8*VLOOKUP('Données projet'!$B$17,Paramètres!$A$1:$I$89,3,0)*0.475*44/12</f>
        <v>0</v>
      </c>
      <c r="GM8" s="23">
        <f>EXP(-LN(2)/25)*GM7+(1-EXP(-LN(2)/25))/(LN(2)/25)*Calculateur!GH8*Calculateur!GJ8*VLOOKUP('Données projet'!$B$17,Paramètres!$A$1:$I$89,3,0)*0.475*44/12</f>
        <v>0</v>
      </c>
      <c r="GN8" s="23">
        <f>EXP(-LN(2)/2)*GN7+(1-EXP(-LN(2)/2))/(LN(2)/2)*GH8*GK8*VLOOKUP('Données projet'!$B$17,Paramètres!$A$1:$I$89,3,0)*0.475*44/12</f>
        <v>0</v>
      </c>
      <c r="GO8" s="23">
        <f t="shared" si="27"/>
        <v>0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51.338912131650758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4.0735000000000001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14.936166666666667</v>
      </c>
      <c r="H9" s="70">
        <f t="shared" si="1"/>
        <v>196.922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51.662640286224232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3.65</v>
      </c>
      <c r="N9" s="14">
        <f>IF('Données projet'!$A$36&gt;35,N8+M9-V8,IF(A9&lt;'Données projet'!$A$36,$K$205^A9,IF(A9='Données projet'!$A$36,'Données projet'!$B$36,N8+M9-V8)))</f>
        <v>3.6224037772879885</v>
      </c>
      <c r="O9" s="14">
        <f>N9*VLOOKUP('Données projet'!$B$9,Paramètres!$A$1:$I$89,3,0)*VLOOKUP('Données projet'!$B$9,Paramètres!$A$1:$I$89,5,0)</f>
        <v>3.2775509376901719</v>
      </c>
      <c r="P9" s="14">
        <f t="shared" si="33"/>
        <v>1.315502139804245</v>
      </c>
      <c r="Q9" s="22">
        <f t="shared" si="2"/>
        <v>7.9995674433027766</v>
      </c>
      <c r="R9" s="62">
        <f t="shared" si="0"/>
        <v>204.76258182612497</v>
      </c>
      <c r="S9" s="62">
        <f ca="1">AVERAGE(OFFSET($R$3,0,0,'Données projet'!$E$9+1,1))-AVERAGE(OFFSET($H$3,0,0,'Données projet'!$E$9+1,1))</f>
        <v>546.11281471711925</v>
      </c>
      <c r="T9" s="62">
        <f t="shared" si="34"/>
        <v>348.18069831447099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51.662640286224232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2.8</v>
      </c>
      <c r="AI9" s="14">
        <f>IF('Données projet'!$A$62&gt;35,AI8+AH9-AQ8,IF(A9&lt;'Données projet'!$A$62,$AF$205^A9,IF(A9='Données projet'!$A$62,'Données projet'!$B$62,AI8+AH9-AQ8)))</f>
        <v>3.3454643638562565</v>
      </c>
      <c r="AJ9" s="14">
        <f>AI9*VLOOKUP('Données projet'!$B$10,Paramètres!$A$1:$I$89,3,0)*VLOOKUP('Données projet'!$B$10,Paramètres!$A$1:$I$89,5,0)</f>
        <v>2.8704084241886685</v>
      </c>
      <c r="AK9" s="14">
        <f t="shared" si="35"/>
        <v>1.170014151433729</v>
      </c>
      <c r="AL9" s="22">
        <f t="shared" si="4"/>
        <v>7.0370693192090075</v>
      </c>
      <c r="AM9" s="62">
        <f t="shared" si="5"/>
        <v>203.8000837020312</v>
      </c>
      <c r="AN9" s="62">
        <f ca="1">AVERAGE(OFFSET($AM$3,0,0,'Données projet'!$E$10+1,1))-AVERAGE(OFFSET($H$3,0,0,'Données projet'!$E$10+1,1))</f>
        <v>693.87994318348024</v>
      </c>
      <c r="AO9" s="62">
        <f t="shared" si="36"/>
        <v>327.71043739333641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51.662640286224232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3.65</v>
      </c>
      <c r="BD9" s="13">
        <f>IF('Données projet'!$A$88&gt;35,BD8+BC9-BL8,IF(A9&lt;'Données projet'!$A$88,$BA$205^A9,IF(A9='Données projet'!$A$88,'Données projet'!$B$88,BD8+BC9-BL8)))</f>
        <v>3.6224037772879885</v>
      </c>
      <c r="BE9" s="14">
        <f>BD9*VLOOKUP('Données projet'!$B$11,Paramètres!$A$1:$I$89,3,0)*VLOOKUP('Données projet'!$B$11,Paramètres!$A$1:$I$89,5,0)</f>
        <v>3.0515129419874016</v>
      </c>
      <c r="BF9" s="14">
        <f t="shared" si="37"/>
        <v>1.2350078267772846</v>
      </c>
      <c r="BG9" s="22">
        <f t="shared" si="7"/>
        <v>7.4656903389318279</v>
      </c>
      <c r="BH9" s="62">
        <f t="shared" si="8"/>
        <v>204.22870472175404</v>
      </c>
      <c r="BI9" s="62">
        <f ca="1">AVERAGE(OFFSET($BH$3,0,0,'Données projet'!$E$11+1,1))-AVERAGE(OFFSET($H$3,0,0,'Données projet'!$E$11+1,1))</f>
        <v>513.7388209355762</v>
      </c>
      <c r="BJ9" s="62">
        <f t="shared" si="38"/>
        <v>328.24603121433927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51.662640286224232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1.8800000000000001</v>
      </c>
      <c r="BY9" s="13">
        <f>IF('Données projet'!$A$114&gt;35,BY8+BX9-CG8,IF(A9&lt;'Données projet'!$A$114,$BV$205^A9,IF(A9='Données projet'!$A$114,'Données projet'!$B$114,BY8+BX9-CG8)))</f>
        <v>5.8142634950836038</v>
      </c>
      <c r="BZ9" s="14">
        <f>BY9*VLOOKUP('Données projet'!$B$12,Paramètres!$A$1:$I$89,3,0)*VLOOKUP('Données projet'!$B$12,Paramètres!$A$1:$I$89,5,0)</f>
        <v>4.6258280366885156</v>
      </c>
      <c r="CA9" s="14">
        <f t="shared" si="39"/>
        <v>1.7836658316502587</v>
      </c>
      <c r="CB9" s="22">
        <f t="shared" si="10"/>
        <v>11.163201820690032</v>
      </c>
      <c r="CC9" s="62">
        <f t="shared" si="11"/>
        <v>207.92621620351224</v>
      </c>
      <c r="CD9" s="62">
        <f ca="1">AVERAGE(OFFSET($CC$3,0,0,'Données projet'!$E$12+1,1))-AVERAGE(OFFSET($H$3,0,0,'Données projet'!$E$12+1,1))</f>
        <v>447.25854887589878</v>
      </c>
      <c r="CE9" s="62">
        <f t="shared" si="40"/>
        <v>480.13390593590157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51.662640286224232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2.6666666666666665</v>
      </c>
      <c r="CT9" s="13">
        <f>IF('Données projet'!$A$140&gt;35,CT8+CS9-DB8,IF(A9&lt;'Données projet'!$A$140,$CQ$205^A9,IF(A9='Données projet'!$A$140,'Données projet'!$B$140,CT8+CS9-DB8)))</f>
        <v>4.3734482957731098</v>
      </c>
      <c r="CU9" s="18">
        <f>CT9*VLOOKUP('Données projet'!$B$13,Paramètres!$A$1:$I$89,3,0)*VLOOKUP('Données projet'!$B$13,Paramètres!$A$1:$I$89,5,0)</f>
        <v>3.4112896707030256</v>
      </c>
      <c r="CV9" s="14">
        <f t="shared" si="41"/>
        <v>1.3628213830192535</v>
      </c>
      <c r="CW9" s="22">
        <f t="shared" si="13"/>
        <v>8.3149100852329703</v>
      </c>
      <c r="CX9" s="62">
        <f t="shared" si="14"/>
        <v>205.07792446805519</v>
      </c>
      <c r="CY9" s="62">
        <f ca="1">AVERAGE(OFFSET($CX$3,0,0,'Données projet'!$E$13+1,1))-AVERAGE(OFFSET($H$3,0,0,'Données projet'!$E$13+1,1))</f>
        <v>308.52515801950324</v>
      </c>
      <c r="CZ9" s="62">
        <f t="shared" si="42"/>
        <v>299.05420638408953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51.662640286224232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1.8800000000000001</v>
      </c>
      <c r="DO9" s="13">
        <f>IF('Données projet'!$A$166&gt;35,DO8+DN9-DW8,IF(A9&lt;'Données projet'!$A$166,$DL$205^A9,IF(A9='Données projet'!$A$166,'Données projet'!$B$166,DO8+DN9-DW8)))</f>
        <v>5.8142634950836038</v>
      </c>
      <c r="DP9" s="18">
        <f>DO9*VLOOKUP('Données projet'!$B$14,Paramètres!$A$1:$I$89,3,0)*VLOOKUP('Données projet'!$B$14,Paramètres!$A$1:$I$89,5,0)</f>
        <v>4.2630179945952982</v>
      </c>
      <c r="DQ9" s="14">
        <f t="shared" si="43"/>
        <v>1.6594728543414938</v>
      </c>
      <c r="DR9" s="22">
        <f t="shared" si="16"/>
        <v>10.315004895231578</v>
      </c>
      <c r="DS9" s="62">
        <f t="shared" si="17"/>
        <v>207.07801927805377</v>
      </c>
      <c r="DT9" s="62">
        <f ca="1">AVERAGE(OFFSET($DS$3,0,0,'Données projet'!$E$14+1,1))-AVERAGE(OFFSET($H$3,0,0,'Données projet'!$E$14+1,1))</f>
        <v>416.72317068678774</v>
      </c>
      <c r="DU9" s="62">
        <f t="shared" si="44"/>
        <v>447.32457429495537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51.662640286224232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3.9316239316239314</v>
      </c>
      <c r="EJ9" s="13">
        <f>IF('Données projet'!$A$192&gt;35,EJ8+EI9-ER8,IF(A9&lt;'Données projet'!$A$192,$EG$205^A9,IF(A9='Données projet'!$A$192,'Données projet'!$B$192,EJ8+EI9-ER8)))</f>
        <v>5.1081694052604343</v>
      </c>
      <c r="EK9" s="18">
        <f>EJ9*VLOOKUP('Données projet'!$B$15,Paramètres!$A$1:$I$89,3,0)*VLOOKUP('Données projet'!$B$15,Paramètres!$A$1:$I$89,5,0)</f>
        <v>4.860934006045829</v>
      </c>
      <c r="EL9" s="14">
        <f t="shared" si="45"/>
        <v>1.8635352573425634</v>
      </c>
      <c r="EM9" s="22">
        <f t="shared" si="19"/>
        <v>11.711783967068117</v>
      </c>
      <c r="EN9" s="62">
        <f t="shared" si="20"/>
        <v>208.47479834989034</v>
      </c>
      <c r="EO9" s="62">
        <f ca="1">AVERAGE(OFFSET($EN$3,0,0,'Données projet'!$E$15+1,1))-AVERAGE(OFFSET($H$3,0,0,'Données projet'!$E$15+1,1))</f>
        <v>454.78867027701426</v>
      </c>
      <c r="EP9" s="62">
        <f t="shared" si="46"/>
        <v>366.45346303927056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51.662640286224232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3.2692307692307692</v>
      </c>
      <c r="FE9" s="13">
        <f>IF('Données projet'!$A$218&gt;35,FE8+FD9-FM8,IF(A9&lt;'Données projet'!$A$218,$FB$205^A9,IF(A9='Données projet'!$A$218,'Données projet'!$B$218,FE8+FD9-FM8)))</f>
        <v>8.1034012980399712</v>
      </c>
      <c r="FF9" s="18">
        <f>FE9*VLOOKUP('Données projet'!$B$16,Paramètres!$A$1:$I$89,3,0)*VLOOKUP('Données projet'!$B$16,Paramètres!$A$1:$I$89,5,0)</f>
        <v>5.435761590725213</v>
      </c>
      <c r="FG9" s="14">
        <f t="shared" si="47"/>
        <v>2.0569709334145188</v>
      </c>
      <c r="FH9" s="22">
        <f t="shared" si="22"/>
        <v>13.049842479543365</v>
      </c>
      <c r="FI9" s="62">
        <f t="shared" si="23"/>
        <v>209.81285686236558</v>
      </c>
      <c r="FJ9" s="62">
        <f ca="1">AVERAGE(OFFSET($FI$3,0,0,'Données projet'!$E$16+1,1))-AVERAGE(OFFSET($H$3,0,0,'Données projet'!$E$16+1,1))</f>
        <v>390.05579539539576</v>
      </c>
      <c r="FK9" s="62">
        <f t="shared" si="48"/>
        <v>323.72278615226139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projet'!$B$16,Paramètres!$A$1:$I$89,3,0)*0.475*44/12</f>
        <v>0</v>
      </c>
      <c r="FR9" s="23">
        <f>EXP(-LN(2)/25)*FR8+(1-EXP(-LN(2)/25))/(LN(2)/25)*Calculateur!FM9*Calculateur!FO9*VLOOKUP('Données projet'!$B$16,Paramètres!$A$1:$I$89,3,0)*0.475*44/12</f>
        <v>0</v>
      </c>
      <c r="FS9" s="23">
        <f>EXP(-LN(2)/2)*FS8+(1-EXP(-LN(2)/2))/(LN(2)/2)*FM9*FP9*VLOOKUP('Données projet'!$B$16,Paramètres!$A$1:$I$89,3,0)*0.475*44/12</f>
        <v>0</v>
      </c>
      <c r="FT9" s="24">
        <f t="shared" si="24"/>
        <v>0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51.662640286224232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3.65</v>
      </c>
      <c r="FZ9" s="13">
        <f>IF('Données projet'!$A$244&gt;35,FZ8+FY9-GH8,IF(A9&lt;'Données projet'!$A$244,$FW$205^A9,IF(A9='Données projet'!$A$244,'Données projet'!$B$244,FZ8+FY9-GH8)))</f>
        <v>3.6224037772879885</v>
      </c>
      <c r="GA9" s="18">
        <f>FZ9*VLOOKUP('Données projet'!$B$17,Paramètres!$A$1:$I$89,3,0)*VLOOKUP('Données projet'!$B$17,Paramètres!$A$1:$I$89,5,0)</f>
        <v>3.5035889333929422</v>
      </c>
      <c r="GB9" s="14">
        <f t="shared" si="49"/>
        <v>1.3953523257036018</v>
      </c>
      <c r="GC9" s="22">
        <f t="shared" si="25"/>
        <v>8.5323226929264795</v>
      </c>
      <c r="GD9" s="62">
        <f t="shared" si="26"/>
        <v>205.29533707574868</v>
      </c>
      <c r="GE9" s="62">
        <f ca="1">AVERAGE(OFFSET($GD$3,0,0,'Données projet'!$E$17+1,1))-AVERAGE(OFFSET($H$3,0,0,'Données projet'!$E$17+1,1))</f>
        <v>578.44111602076555</v>
      </c>
      <c r="GF9" s="62">
        <f t="shared" si="50"/>
        <v>368.08542661432784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>
        <f>EXP(-LN(2)/35)*GL8+(1-EXP(-LN(2)/35))/(LN(2)/35)*GH9*GI9*VLOOKUP('Données projet'!$B$17,Paramètres!$A$1:$I$89,3,0)*0.475*44/12</f>
        <v>0</v>
      </c>
      <c r="GM9" s="23">
        <f>EXP(-LN(2)/25)*GM8+(1-EXP(-LN(2)/25))/(LN(2)/25)*Calculateur!GH9*Calculateur!GJ9*VLOOKUP('Données projet'!$B$17,Paramètres!$A$1:$I$89,3,0)*0.475*44/12</f>
        <v>0</v>
      </c>
      <c r="GN9" s="23">
        <f>EXP(-LN(2)/2)*GN8+(1-EXP(-LN(2)/2))/(LN(2)/2)*GH9*GK9*VLOOKUP('Données projet'!$B$17,Paramètres!$A$1:$I$89,3,0)*0.475*44/12</f>
        <v>0</v>
      </c>
      <c r="GO9" s="23">
        <f t="shared" si="27"/>
        <v>0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51.662640286224232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4.0735000000000001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14.936166666666667</v>
      </c>
      <c r="H10" s="70">
        <f t="shared" si="1"/>
        <v>196.922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51.980752481063604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3.65</v>
      </c>
      <c r="N10" s="14">
        <f>IF('Données projet'!$A$36&gt;35,N9+M10-V9,IF(A10&lt;'Données projet'!$A$36,$K$205^A10,IF(A10='Données projet'!$A$36,'Données projet'!$B$36,N9+M10-V9)))</f>
        <v>4.4891384635544309</v>
      </c>
      <c r="O10" s="14">
        <f>N10*VLOOKUP('Données projet'!$B$9,Paramètres!$A$1:$I$89,3,0)*VLOOKUP('Données projet'!$B$9,Paramètres!$A$1:$I$89,5,0)</f>
        <v>4.0617724818240486</v>
      </c>
      <c r="P10" s="14">
        <f t="shared" si="33"/>
        <v>1.590058719758437</v>
      </c>
      <c r="Q10" s="22">
        <f t="shared" si="2"/>
        <v>9.8436060094228282</v>
      </c>
      <c r="R10" s="62">
        <f t="shared" si="0"/>
        <v>208.99525399554494</v>
      </c>
      <c r="S10" s="62">
        <f ca="1">AVERAGE(OFFSET($R$3,0,0,'Données projet'!$E$9+1,1))-AVERAGE(OFFSET($H$3,0,0,'Données projet'!$E$9+1,1))</f>
        <v>546.11281471711925</v>
      </c>
      <c r="T10" s="62">
        <f t="shared" si="34"/>
        <v>348.18069831447099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51.980752481063604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2.8</v>
      </c>
      <c r="AI10" s="14">
        <f>IF('Données projet'!$A$62&gt;35,AI9+AH10-AQ9,IF(A10&lt;'Données projet'!$A$62,$AF$205^A10,IF(A10='Données projet'!$A$62,'Données projet'!$B$62,AI9+AH10-AQ9)))</f>
        <v>4.091342237960264</v>
      </c>
      <c r="AJ10" s="14">
        <f>AI10*VLOOKUP('Données projet'!$B$10,Paramètres!$A$1:$I$89,3,0)*VLOOKUP('Données projet'!$B$10,Paramètres!$A$1:$I$89,5,0)</f>
        <v>3.510371640169907</v>
      </c>
      <c r="AK10" s="14">
        <f t="shared" si="35"/>
        <v>1.3977389309136552</v>
      </c>
      <c r="AL10" s="22">
        <f t="shared" si="4"/>
        <v>8.5482925779705372</v>
      </c>
      <c r="AM10" s="62">
        <f t="shared" si="5"/>
        <v>207.69994056409266</v>
      </c>
      <c r="AN10" s="62">
        <f ca="1">AVERAGE(OFFSET($AM$3,0,0,'Données projet'!$E$10+1,1))-AVERAGE(OFFSET($H$3,0,0,'Données projet'!$E$10+1,1))</f>
        <v>693.87994318348024</v>
      </c>
      <c r="AO10" s="62">
        <f t="shared" si="36"/>
        <v>327.71043739333641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51.980752481063604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3.65</v>
      </c>
      <c r="BD10" s="13">
        <f>IF('Données projet'!$A$88&gt;35,BD9+BC10-BL9,IF(A10&lt;'Données projet'!$A$88,$BA$205^A10,IF(A10='Données projet'!$A$88,'Données projet'!$B$88,BD9+BC10-BL9)))</f>
        <v>4.4891384635544309</v>
      </c>
      <c r="BE10" s="14">
        <f>BD10*VLOOKUP('Données projet'!$B$11,Paramètres!$A$1:$I$89,3,0)*VLOOKUP('Données projet'!$B$11,Paramètres!$A$1:$I$89,5,0)</f>
        <v>3.7816502416982529</v>
      </c>
      <c r="BF10" s="14">
        <f t="shared" si="37"/>
        <v>1.492764553183741</v>
      </c>
      <c r="BG10" s="22">
        <f t="shared" si="7"/>
        <v>9.1862724344194735</v>
      </c>
      <c r="BH10" s="62">
        <f t="shared" si="8"/>
        <v>208.33792042054159</v>
      </c>
      <c r="BI10" s="62">
        <f ca="1">AVERAGE(OFFSET($BH$3,0,0,'Données projet'!$E$11+1,1))-AVERAGE(OFFSET($H$3,0,0,'Données projet'!$E$11+1,1))</f>
        <v>513.7388209355762</v>
      </c>
      <c r="BJ10" s="62">
        <f t="shared" si="38"/>
        <v>328.24603121433927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51.980752481063604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1.8800000000000001</v>
      </c>
      <c r="BY10" s="13">
        <f>IF('Données projet'!$A$114&gt;35,BY9+BX10-CG9,IF(A10&lt;'Données projet'!$A$114,$BV$205^A10,IF(A10='Données projet'!$A$114,'Données projet'!$B$114,BY9+BX10-CG9)))</f>
        <v>7.796694087257495</v>
      </c>
      <c r="BZ10" s="14">
        <f>BY10*VLOOKUP('Données projet'!$B$12,Paramètres!$A$1:$I$89,3,0)*VLOOKUP('Données projet'!$B$12,Paramètres!$A$1:$I$89,5,0)</f>
        <v>6.2030498158220633</v>
      </c>
      <c r="CA10" s="14">
        <f t="shared" si="39"/>
        <v>2.3115222623659841</v>
      </c>
      <c r="CB10" s="22">
        <f t="shared" si="10"/>
        <v>14.829546369510851</v>
      </c>
      <c r="CC10" s="62">
        <f t="shared" si="11"/>
        <v>213.98119435563297</v>
      </c>
      <c r="CD10" s="62">
        <f ca="1">AVERAGE(OFFSET($CC$3,0,0,'Données projet'!$E$12+1,1))-AVERAGE(OFFSET($H$3,0,0,'Données projet'!$E$12+1,1))</f>
        <v>447.25854887589878</v>
      </c>
      <c r="CE10" s="62">
        <f t="shared" si="40"/>
        <v>480.13390593590157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51.980752481063604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2.6666666666666665</v>
      </c>
      <c r="CT10" s="13">
        <f>IF('Données projet'!$A$140&gt;35,CT9+CS10-DB9,IF(A10&lt;'Données projet'!$A$140,$CQ$205^A10,IF(A10='Données projet'!$A$140,'Données projet'!$B$140,CT9+CS10-DB9)))</f>
        <v>5.5927833467405659</v>
      </c>
      <c r="CU10" s="18">
        <f>CT10*VLOOKUP('Données projet'!$B$13,Paramètres!$A$1:$I$89,3,0)*VLOOKUP('Données projet'!$B$13,Paramètres!$A$1:$I$89,5,0)</f>
        <v>4.3623710104576414</v>
      </c>
      <c r="CV10" s="14">
        <f t="shared" si="41"/>
        <v>1.6936004212396314</v>
      </c>
      <c r="CW10" s="22">
        <f t="shared" si="13"/>
        <v>10.54748357687275</v>
      </c>
      <c r="CX10" s="62">
        <f t="shared" si="14"/>
        <v>209.69913156299486</v>
      </c>
      <c r="CY10" s="62">
        <f ca="1">AVERAGE(OFFSET($CX$3,0,0,'Données projet'!$E$13+1,1))-AVERAGE(OFFSET($H$3,0,0,'Données projet'!$E$13+1,1))</f>
        <v>308.52515801950324</v>
      </c>
      <c r="CZ10" s="62">
        <f t="shared" si="42"/>
        <v>299.05420638408953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51.980752481063604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1.8800000000000001</v>
      </c>
      <c r="DO10" s="13">
        <f>IF('Données projet'!$A$166&gt;35,DO9+DN10-DW9,IF(A10&lt;'Données projet'!$A$166,$DL$205^A10,IF(A10='Données projet'!$A$166,'Données projet'!$B$166,DO9+DN10-DW9)))</f>
        <v>7.796694087257495</v>
      </c>
      <c r="DP10" s="18">
        <f>DO10*VLOOKUP('Données projet'!$B$14,Paramètres!$A$1:$I$89,3,0)*VLOOKUP('Données projet'!$B$14,Paramètres!$A$1:$I$89,5,0)</f>
        <v>5.7165361047771945</v>
      </c>
      <c r="DQ10" s="14">
        <f t="shared" si="43"/>
        <v>2.150575729229157</v>
      </c>
      <c r="DR10" s="22">
        <f t="shared" si="16"/>
        <v>13.70188644422773</v>
      </c>
      <c r="DS10" s="62">
        <f t="shared" si="17"/>
        <v>212.85353443034987</v>
      </c>
      <c r="DT10" s="62">
        <f ca="1">AVERAGE(OFFSET($DS$3,0,0,'Données projet'!$E$14+1,1))-AVERAGE(OFFSET($H$3,0,0,'Données projet'!$E$14+1,1))</f>
        <v>416.72317068678774</v>
      </c>
      <c r="DU10" s="62">
        <f t="shared" si="44"/>
        <v>447.32457429495537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51.980752481063604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3.9316239316239314</v>
      </c>
      <c r="EJ10" s="13">
        <f>IF('Données projet'!$A$192&gt;35,EJ9+EI10-ER9,IF(A10&lt;'Données projet'!$A$192,$EG$205^A10,IF(A10='Données projet'!$A$192,'Données projet'!$B$192,EJ9+EI10-ER9)))</f>
        <v>6.7036218348157677</v>
      </c>
      <c r="EK10" s="18">
        <f>EJ10*VLOOKUP('Données projet'!$B$15,Paramètres!$A$1:$I$89,3,0)*VLOOKUP('Données projet'!$B$15,Paramètres!$A$1:$I$89,5,0)</f>
        <v>6.3791665380106846</v>
      </c>
      <c r="EL10" s="14">
        <f t="shared" si="45"/>
        <v>2.3694169037841331</v>
      </c>
      <c r="EM10" s="22">
        <f t="shared" si="19"/>
        <v>15.237116161125973</v>
      </c>
      <c r="EN10" s="62">
        <f t="shared" si="20"/>
        <v>214.38876414724811</v>
      </c>
      <c r="EO10" s="62">
        <f ca="1">AVERAGE(OFFSET($EN$3,0,0,'Données projet'!$E$15+1,1))-AVERAGE(OFFSET($H$3,0,0,'Données projet'!$E$15+1,1))</f>
        <v>454.78867027701426</v>
      </c>
      <c r="EP10" s="62">
        <f t="shared" si="46"/>
        <v>366.45346303927056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51.980752481063604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3.2692307692307692</v>
      </c>
      <c r="FE10" s="13">
        <f>IF('Données projet'!$A$218&gt;35,FE9+FD10-FM9,IF(A10&lt;'Données projet'!$A$218,$FB$205^A10,IF(A10='Données projet'!$A$218,'Données projet'!$B$218,FE9+FD10-FM9)))</f>
        <v>11.484495037276947</v>
      </c>
      <c r="FF10" s="18">
        <f>FE10*VLOOKUP('Données projet'!$B$16,Paramètres!$A$1:$I$89,3,0)*VLOOKUP('Données projet'!$B$16,Paramètres!$A$1:$I$89,5,0)</f>
        <v>7.7037992710053755</v>
      </c>
      <c r="FG10" s="14">
        <f t="shared" si="47"/>
        <v>2.7992685579195422</v>
      </c>
      <c r="FH10" s="22">
        <f t="shared" si="22"/>
        <v>18.292843135377566</v>
      </c>
      <c r="FI10" s="62">
        <f t="shared" si="23"/>
        <v>217.44449112149971</v>
      </c>
      <c r="FJ10" s="62">
        <f ca="1">AVERAGE(OFFSET($FI$3,0,0,'Données projet'!$E$16+1,1))-AVERAGE(OFFSET($H$3,0,0,'Données projet'!$E$16+1,1))</f>
        <v>390.05579539539576</v>
      </c>
      <c r="FK10" s="62">
        <f t="shared" si="48"/>
        <v>323.72278615226139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projet'!$B$16,Paramètres!$A$1:$I$89,3,0)*0.475*44/12</f>
        <v>0</v>
      </c>
      <c r="FR10" s="23">
        <f>EXP(-LN(2)/25)*FR9+(1-EXP(-LN(2)/25))/(LN(2)/25)*Calculateur!FM10*Calculateur!FO10*VLOOKUP('Données projet'!$B$16,Paramètres!$A$1:$I$89,3,0)*0.475*44/12</f>
        <v>0</v>
      </c>
      <c r="FS10" s="23">
        <f>EXP(-LN(2)/2)*FS9+(1-EXP(-LN(2)/2))/(LN(2)/2)*FM10*FP10*VLOOKUP('Données projet'!$B$16,Paramètres!$A$1:$I$89,3,0)*0.475*44/12</f>
        <v>0</v>
      </c>
      <c r="FT10" s="24">
        <f t="shared" si="24"/>
        <v>0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51.980752481063604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3.65</v>
      </c>
      <c r="FZ10" s="13">
        <f>IF('Données projet'!$A$244&gt;35,FZ9+FY10-GH9,IF(A10&lt;'Données projet'!$A$244,$FW$205^A10,IF(A10='Données projet'!$A$244,'Données projet'!$B$244,FZ9+FY10-GH9)))</f>
        <v>4.4891384635544309</v>
      </c>
      <c r="GA10" s="18">
        <f>FZ10*VLOOKUP('Données projet'!$B$17,Paramètres!$A$1:$I$89,3,0)*VLOOKUP('Données projet'!$B$17,Paramètres!$A$1:$I$89,5,0)</f>
        <v>4.3418947219498456</v>
      </c>
      <c r="GB10" s="14">
        <f t="shared" si="49"/>
        <v>1.6865743243491664</v>
      </c>
      <c r="GC10" s="22">
        <f t="shared" si="25"/>
        <v>10.499583588970779</v>
      </c>
      <c r="GD10" s="62">
        <f t="shared" si="26"/>
        <v>209.65123157509291</v>
      </c>
      <c r="GE10" s="62">
        <f ca="1">AVERAGE(OFFSET($GD$3,0,0,'Données projet'!$E$17+1,1))-AVERAGE(OFFSET($H$3,0,0,'Données projet'!$E$17+1,1))</f>
        <v>578.44111602076555</v>
      </c>
      <c r="GF10" s="62">
        <f t="shared" si="50"/>
        <v>368.08542661432784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>
        <f>EXP(-LN(2)/35)*GL9+(1-EXP(-LN(2)/35))/(LN(2)/35)*GH10*GI10*VLOOKUP('Données projet'!$B$17,Paramètres!$A$1:$I$89,3,0)*0.475*44/12</f>
        <v>0</v>
      </c>
      <c r="GM10" s="23">
        <f>EXP(-LN(2)/25)*GM9+(1-EXP(-LN(2)/25))/(LN(2)/25)*Calculateur!GH10*Calculateur!GJ10*VLOOKUP('Données projet'!$B$17,Paramètres!$A$1:$I$89,3,0)*0.475*44/12</f>
        <v>0</v>
      </c>
      <c r="GN10" s="23">
        <f>EXP(-LN(2)/2)*GN9+(1-EXP(-LN(2)/2))/(LN(2)/2)*GH10*GK10*VLOOKUP('Données projet'!$B$17,Paramètres!$A$1:$I$89,3,0)*0.475*44/12</f>
        <v>0</v>
      </c>
      <c r="GO10" s="23">
        <f t="shared" si="27"/>
        <v>0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51.980752481063604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4.0735000000000001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14.936166666666667</v>
      </c>
      <c r="H11" s="70">
        <f t="shared" si="1"/>
        <v>196.922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52.293346140514828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3.65</v>
      </c>
      <c r="N11" s="14">
        <f>IF('Données projet'!$A$36&gt;35,N10+M11-V10,IF(A11&lt;'Données projet'!$A$36,$K$205^A11,IF(A11='Données projet'!$A$36,'Données projet'!$B$36,N10+M11-V10)))</f>
        <v>5.563257268920875</v>
      </c>
      <c r="O11" s="14">
        <f>N11*VLOOKUP('Données projet'!$B$9,Paramètres!$A$1:$I$89,3,0)*VLOOKUP('Données projet'!$B$9,Paramètres!$A$1:$I$89,5,0)</f>
        <v>5.0336351769196082</v>
      </c>
      <c r="P11" s="14">
        <f t="shared" si="33"/>
        <v>1.9219176128866391</v>
      </c>
      <c r="Q11" s="22">
        <f t="shared" si="2"/>
        <v>12.11425444224588</v>
      </c>
      <c r="R11" s="62">
        <f t="shared" si="0"/>
        <v>213.63430140191136</v>
      </c>
      <c r="S11" s="62">
        <f ca="1">AVERAGE(OFFSET($R$3,0,0,'Données projet'!$E$9+1,1))-AVERAGE(OFFSET($H$3,0,0,'Données projet'!$E$9+1,1))</f>
        <v>546.11281471711925</v>
      </c>
      <c r="T11" s="62">
        <f t="shared" si="34"/>
        <v>348.18069831447099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52.293346140514828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2.8</v>
      </c>
      <c r="AI11" s="14">
        <f>IF('Données projet'!$A$62&gt;35,AI10+AH11-AQ10,IF(A11&lt;'Données projet'!$A$62,$AF$205^A11,IF(A11='Données projet'!$A$62,'Données projet'!$B$62,AI10+AH11-AQ10)))</f>
        <v>5.0035150542816931</v>
      </c>
      <c r="AJ11" s="14">
        <f>AI11*VLOOKUP('Données projet'!$B$10,Paramètres!$A$1:$I$89,3,0)*VLOOKUP('Données projet'!$B$10,Paramètres!$A$1:$I$89,5,0)</f>
        <v>4.293015916573693</v>
      </c>
      <c r="AK11" s="14">
        <f t="shared" si="35"/>
        <v>1.669786742833518</v>
      </c>
      <c r="AL11" s="22">
        <f t="shared" si="4"/>
        <v>10.385214631800892</v>
      </c>
      <c r="AM11" s="62">
        <f t="shared" si="5"/>
        <v>211.90526159146637</v>
      </c>
      <c r="AN11" s="62">
        <f ca="1">AVERAGE(OFFSET($AM$3,0,0,'Données projet'!$E$10+1,1))-AVERAGE(OFFSET($H$3,0,0,'Données projet'!$E$10+1,1))</f>
        <v>693.87994318348024</v>
      </c>
      <c r="AO11" s="62">
        <f t="shared" si="36"/>
        <v>327.71043739333641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52.293346140514828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3.65</v>
      </c>
      <c r="BD11" s="13">
        <f>IF('Données projet'!$A$88&gt;35,BD10+BC11-BL10,IF(A11&lt;'Données projet'!$A$88,$BA$205^A11,IF(A11='Données projet'!$A$88,'Données projet'!$B$88,BD10+BC11-BL10)))</f>
        <v>5.563257268920875</v>
      </c>
      <c r="BE11" s="14">
        <f>BD11*VLOOKUP('Données projet'!$B$11,Paramètres!$A$1:$I$89,3,0)*VLOOKUP('Données projet'!$B$11,Paramètres!$A$1:$I$89,5,0)</f>
        <v>4.6864879233389463</v>
      </c>
      <c r="BF11" s="14">
        <f t="shared" si="37"/>
        <v>1.8043173192324258</v>
      </c>
      <c r="BG11" s="22">
        <f t="shared" si="7"/>
        <v>11.304819130811806</v>
      </c>
      <c r="BH11" s="62">
        <f t="shared" si="8"/>
        <v>212.82486609047729</v>
      </c>
      <c r="BI11" s="62">
        <f ca="1">AVERAGE(OFFSET($BH$3,0,0,'Données projet'!$E$11+1,1))-AVERAGE(OFFSET($H$3,0,0,'Données projet'!$E$11+1,1))</f>
        <v>513.7388209355762</v>
      </c>
      <c r="BJ11" s="62">
        <f t="shared" si="38"/>
        <v>328.24603121433927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52.293346140514828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1.8800000000000001</v>
      </c>
      <c r="BY11" s="13">
        <f>IF('Données projet'!$A$114&gt;35,BY10+BX11-CG10,IF(A11&lt;'Données projet'!$A$114,$BV$205^A11,IF(A11='Données projet'!$A$114,'Données projet'!$B$114,BY10+BX11-CG10)))</f>
        <v>10.455053979180196</v>
      </c>
      <c r="BZ11" s="14">
        <f>BY11*VLOOKUP('Données projet'!$B$12,Paramètres!$A$1:$I$89,3,0)*VLOOKUP('Données projet'!$B$12,Paramètres!$A$1:$I$89,5,0)</f>
        <v>8.3180409458357651</v>
      </c>
      <c r="CA11" s="14">
        <f t="shared" si="39"/>
        <v>2.9955920411785071</v>
      </c>
      <c r="CB11" s="22">
        <f t="shared" si="10"/>
        <v>19.704577452383194</v>
      </c>
      <c r="CC11" s="62">
        <f t="shared" si="11"/>
        <v>221.22462441204868</v>
      </c>
      <c r="CD11" s="62">
        <f ca="1">AVERAGE(OFFSET($CC$3,0,0,'Données projet'!$E$12+1,1))-AVERAGE(OFFSET($H$3,0,0,'Données projet'!$E$12+1,1))</f>
        <v>447.25854887589878</v>
      </c>
      <c r="CE11" s="62">
        <f t="shared" si="40"/>
        <v>480.13390593590157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52.293346140514828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2.6666666666666665</v>
      </c>
      <c r="CT11" s="13">
        <f>IF('Données projet'!$A$140&gt;35,CT10+CS11-DB10,IF(A11&lt;'Données projet'!$A$140,$CQ$205^A11,IF(A11='Données projet'!$A$140,'Données projet'!$B$140,CT10+CS11-DB10)))</f>
        <v>7.1520739352994367</v>
      </c>
      <c r="CU11" s="18">
        <f>CT11*VLOOKUP('Données projet'!$B$13,Paramètres!$A$1:$I$89,3,0)*VLOOKUP('Données projet'!$B$13,Paramètres!$A$1:$I$89,5,0)</f>
        <v>5.5786176695335605</v>
      </c>
      <c r="CV11" s="14">
        <f t="shared" si="41"/>
        <v>2.1046649418345189</v>
      </c>
      <c r="CW11" s="22">
        <f t="shared" si="13"/>
        <v>13.381717214799407</v>
      </c>
      <c r="CX11" s="62">
        <f t="shared" si="14"/>
        <v>214.90176417446489</v>
      </c>
      <c r="CY11" s="62">
        <f ca="1">AVERAGE(OFFSET($CX$3,0,0,'Données projet'!$E$13+1,1))-AVERAGE(OFFSET($H$3,0,0,'Données projet'!$E$13+1,1))</f>
        <v>308.52515801950324</v>
      </c>
      <c r="CZ11" s="62">
        <f t="shared" si="42"/>
        <v>299.05420638408953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52.293346140514828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1.8800000000000001</v>
      </c>
      <c r="DO11" s="13">
        <f>IF('Données projet'!$A$166&gt;35,DO10+DN11-DW10,IF(A11&lt;'Données projet'!$A$166,$DL$205^A11,IF(A11='Données projet'!$A$166,'Données projet'!$B$166,DO10+DN11-DW10)))</f>
        <v>10.455053979180196</v>
      </c>
      <c r="DP11" s="18">
        <f>DO11*VLOOKUP('Données projet'!$B$14,Paramètres!$A$1:$I$89,3,0)*VLOOKUP('Données projet'!$B$14,Paramètres!$A$1:$I$89,5,0)</f>
        <v>7.665645577534919</v>
      </c>
      <c r="DQ11" s="14">
        <f t="shared" si="43"/>
        <v>2.7870151386024258</v>
      </c>
      <c r="DR11" s="22">
        <f t="shared" si="16"/>
        <v>18.205050747272541</v>
      </c>
      <c r="DS11" s="62">
        <f t="shared" si="17"/>
        <v>219.72509770693802</v>
      </c>
      <c r="DT11" s="62">
        <f ca="1">AVERAGE(OFFSET($DS$3,0,0,'Données projet'!$E$14+1,1))-AVERAGE(OFFSET($H$3,0,0,'Données projet'!$E$14+1,1))</f>
        <v>416.72317068678774</v>
      </c>
      <c r="DU11" s="62">
        <f t="shared" si="44"/>
        <v>447.32457429495537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52.293346140514828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3.9316239316239314</v>
      </c>
      <c r="EJ11" s="13">
        <f>IF('Données projet'!$A$192&gt;35,EJ10+EI11-ER10,IF(A11&lt;'Données projet'!$A$192,$EG$205^A11,IF(A11='Données projet'!$A$192,'Données projet'!$B$192,EJ10+EI11-ER10)))</f>
        <v>8.7973875059704625</v>
      </c>
      <c r="EK11" s="18">
        <f>EJ11*VLOOKUP('Données projet'!$B$15,Paramètres!$A$1:$I$89,3,0)*VLOOKUP('Données projet'!$B$15,Paramètres!$A$1:$I$89,5,0)</f>
        <v>8.3715939506814934</v>
      </c>
      <c r="EL11" s="14">
        <f t="shared" si="45"/>
        <v>3.0126269099645868</v>
      </c>
      <c r="EM11" s="22">
        <f t="shared" si="19"/>
        <v>19.827517998958587</v>
      </c>
      <c r="EN11" s="62">
        <f t="shared" si="20"/>
        <v>221.34756495862408</v>
      </c>
      <c r="EO11" s="62">
        <f ca="1">AVERAGE(OFFSET($EN$3,0,0,'Données projet'!$E$15+1,1))-AVERAGE(OFFSET($H$3,0,0,'Données projet'!$E$15+1,1))</f>
        <v>454.78867027701426</v>
      </c>
      <c r="EP11" s="62">
        <f t="shared" si="46"/>
        <v>366.45346303927056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52.293346140514828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3.2692307692307692</v>
      </c>
      <c r="FE11" s="13">
        <f>IF('Données projet'!$A$218&gt;35,FE10+FD11-FM10,IF(A11&lt;'Données projet'!$A$218,$FB$205^A11,IF(A11='Données projet'!$A$218,'Données projet'!$B$218,FE10+FD11-FM10)))</f>
        <v>16.276329088273204</v>
      </c>
      <c r="FF11" s="18">
        <f>FE11*VLOOKUP('Données projet'!$B$16,Paramètres!$A$1:$I$89,3,0)*VLOOKUP('Données projet'!$B$16,Paramètres!$A$1:$I$89,5,0)</f>
        <v>10.918161552413665</v>
      </c>
      <c r="FG11" s="14">
        <f t="shared" si="47"/>
        <v>3.8094385934513699</v>
      </c>
      <c r="FH11" s="22">
        <f t="shared" si="22"/>
        <v>25.650570254048265</v>
      </c>
      <c r="FI11" s="62">
        <f t="shared" si="23"/>
        <v>227.17061721371374</v>
      </c>
      <c r="FJ11" s="62">
        <f ca="1">AVERAGE(OFFSET($FI$3,0,0,'Données projet'!$E$16+1,1))-AVERAGE(OFFSET($H$3,0,0,'Données projet'!$E$16+1,1))</f>
        <v>390.05579539539576</v>
      </c>
      <c r="FK11" s="62">
        <f t="shared" si="48"/>
        <v>323.72278615226139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projet'!$B$16,Paramètres!$A$1:$I$89,3,0)*0.475*44/12</f>
        <v>0</v>
      </c>
      <c r="FR11" s="23">
        <f>EXP(-LN(2)/25)*FR10+(1-EXP(-LN(2)/25))/(LN(2)/25)*Calculateur!FM11*Calculateur!FO11*VLOOKUP('Données projet'!$B$16,Paramètres!$A$1:$I$89,3,0)*0.475*44/12</f>
        <v>0</v>
      </c>
      <c r="FS11" s="23">
        <f>EXP(-LN(2)/2)*FS10+(1-EXP(-LN(2)/2))/(LN(2)/2)*FM11*FP11*VLOOKUP('Données projet'!$B$16,Paramètres!$A$1:$I$89,3,0)*0.475*44/12</f>
        <v>0</v>
      </c>
      <c r="FT11" s="24">
        <f t="shared" si="24"/>
        <v>0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52.293346140514828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3.65</v>
      </c>
      <c r="FZ11" s="13">
        <f>IF('Données projet'!$A$244&gt;35,FZ10+FY11-GH10,IF(A11&lt;'Données projet'!$A$244,$FW$205^A11,IF(A11='Données projet'!$A$244,'Données projet'!$B$244,FZ10+FY11-GH10)))</f>
        <v>5.563257268920875</v>
      </c>
      <c r="GA11" s="18">
        <f>FZ11*VLOOKUP('Données projet'!$B$17,Paramètres!$A$1:$I$89,3,0)*VLOOKUP('Données projet'!$B$17,Paramètres!$A$1:$I$89,5,0)</f>
        <v>5.3807824305002701</v>
      </c>
      <c r="GB11" s="14">
        <f t="shared" si="49"/>
        <v>2.0385768519929188</v>
      </c>
      <c r="GC11" s="22">
        <f t="shared" si="25"/>
        <v>12.922050750342303</v>
      </c>
      <c r="GD11" s="62">
        <f t="shared" si="26"/>
        <v>214.44209771000777</v>
      </c>
      <c r="GE11" s="62">
        <f ca="1">AVERAGE(OFFSET($GD$3,0,0,'Données projet'!$E$17+1,1))-AVERAGE(OFFSET($H$3,0,0,'Données projet'!$E$17+1,1))</f>
        <v>578.44111602076555</v>
      </c>
      <c r="GF11" s="62">
        <f t="shared" si="50"/>
        <v>368.08542661432784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>
        <f>EXP(-LN(2)/35)*GL10+(1-EXP(-LN(2)/35))/(LN(2)/35)*GH11*GI11*VLOOKUP('Données projet'!$B$17,Paramètres!$A$1:$I$89,3,0)*0.475*44/12</f>
        <v>0</v>
      </c>
      <c r="GM11" s="23">
        <f>EXP(-LN(2)/25)*GM10+(1-EXP(-LN(2)/25))/(LN(2)/25)*Calculateur!GH11*Calculateur!GJ11*VLOOKUP('Données projet'!$B$17,Paramètres!$A$1:$I$89,3,0)*0.475*44/12</f>
        <v>0</v>
      </c>
      <c r="GN11" s="23">
        <f>EXP(-LN(2)/2)*GN10+(1-EXP(-LN(2)/2))/(LN(2)/2)*GH11*GK11*VLOOKUP('Données projet'!$B$17,Paramètres!$A$1:$I$89,3,0)*0.475*44/12</f>
        <v>0</v>
      </c>
      <c r="GO11" s="23">
        <f t="shared" si="27"/>
        <v>0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52.293346140514828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4.0735000000000001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14.936166666666667</v>
      </c>
      <c r="H12" s="70">
        <f t="shared" si="1"/>
        <v>196.922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52.600516998829292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3.65</v>
      </c>
      <c r="N12" s="14">
        <f>IF('Données projet'!$A$36&gt;35,N11+M12-V11,IF(A12&lt;'Données projet'!$A$36,$K$205^A12,IF(A12='Données projet'!$A$36,'Données projet'!$B$36,N11+M12-V11)))</f>
        <v>6.8943811137639424</v>
      </c>
      <c r="O12" s="14">
        <f>N12*VLOOKUP('Données projet'!$B$9,Paramètres!$A$1:$I$89,3,0)*VLOOKUP('Données projet'!$B$9,Paramètres!$A$1:$I$89,5,0)</f>
        <v>6.2380360317336141</v>
      </c>
      <c r="P12" s="14">
        <f t="shared" si="33"/>
        <v>2.3230383034439352</v>
      </c>
      <c r="Q12" s="22">
        <f t="shared" si="2"/>
        <v>14.910537800434229</v>
      </c>
      <c r="R12" s="62">
        <f t="shared" si="0"/>
        <v>218.77910012947498</v>
      </c>
      <c r="S12" s="62">
        <f ca="1">AVERAGE(OFFSET($R$3,0,0,'Données projet'!$E$9+1,1))-AVERAGE(OFFSET($H$3,0,0,'Données projet'!$E$9+1,1))</f>
        <v>546.11281471711925</v>
      </c>
      <c r="T12" s="62">
        <f t="shared" si="34"/>
        <v>348.18069831447099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52.600516998829292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2.8</v>
      </c>
      <c r="AI12" s="14">
        <f>IF('Données projet'!$A$62&gt;35,AI11+AH12-AQ11,IF(A12&lt;'Données projet'!$A$62,$AF$205^A12,IF(A12='Données projet'!$A$62,'Données projet'!$B$62,AI11+AH12-AQ11)))</f>
        <v>6.1190585979687659</v>
      </c>
      <c r="AJ12" s="14">
        <f>AI12*VLOOKUP('Données projet'!$B$10,Paramètres!$A$1:$I$89,3,0)*VLOOKUP('Données projet'!$B$10,Paramètres!$A$1:$I$89,5,0)</f>
        <v>5.250152277057202</v>
      </c>
      <c r="AK12" s="14">
        <f t="shared" si="35"/>
        <v>1.9947843655753528</v>
      </c>
      <c r="AL12" s="22">
        <f t="shared" si="4"/>
        <v>12.618264652585031</v>
      </c>
      <c r="AM12" s="62">
        <f t="shared" si="5"/>
        <v>216.48682698162577</v>
      </c>
      <c r="AN12" s="62">
        <f ca="1">AVERAGE(OFFSET($AM$3,0,0,'Données projet'!$E$10+1,1))-AVERAGE(OFFSET($H$3,0,0,'Données projet'!$E$10+1,1))</f>
        <v>693.87994318348024</v>
      </c>
      <c r="AO12" s="62">
        <f t="shared" si="36"/>
        <v>327.71043739333641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52.600516998829292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3.65</v>
      </c>
      <c r="BD12" s="13">
        <f>IF('Données projet'!$A$88&gt;35,BD11+BC12-BL11,IF(A12&lt;'Données projet'!$A$88,$BA$205^A12,IF(A12='Données projet'!$A$88,'Données projet'!$B$88,BD11+BC12-BL11)))</f>
        <v>6.8943811137639424</v>
      </c>
      <c r="BE12" s="14">
        <f>BD12*VLOOKUP('Données projet'!$B$11,Paramètres!$A$1:$I$89,3,0)*VLOOKUP('Données projet'!$B$11,Paramètres!$A$1:$I$89,5,0)</f>
        <v>5.8078266502347455</v>
      </c>
      <c r="BF12" s="14">
        <f t="shared" si="37"/>
        <v>2.1808938198181922</v>
      </c>
      <c r="BG12" s="22">
        <f t="shared" si="7"/>
        <v>13.913688152008866</v>
      </c>
      <c r="BH12" s="62">
        <f t="shared" si="8"/>
        <v>217.7822504810496</v>
      </c>
      <c r="BI12" s="62">
        <f ca="1">AVERAGE(OFFSET($BH$3,0,0,'Données projet'!$E$11+1,1))-AVERAGE(OFFSET($H$3,0,0,'Données projet'!$E$11+1,1))</f>
        <v>513.7388209355762</v>
      </c>
      <c r="BJ12" s="62">
        <f t="shared" si="38"/>
        <v>328.24603121433927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52.600516998829292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1.8800000000000001</v>
      </c>
      <c r="BY12" s="13">
        <f>IF('Données projet'!$A$114&gt;35,BY11+BX12-CG11,IF(A12&lt;'Données projet'!$A$114,$BV$205^A12,IF(A12='Données projet'!$A$114,'Données projet'!$B$114,BY11+BX12-CG11)))</f>
        <v>14.019807944782537</v>
      </c>
      <c r="BZ12" s="14">
        <f>BY12*VLOOKUP('Données projet'!$B$12,Paramètres!$A$1:$I$89,3,0)*VLOOKUP('Données projet'!$B$12,Paramètres!$A$1:$I$89,5,0)</f>
        <v>11.154159200868987</v>
      </c>
      <c r="CA12" s="14">
        <f t="shared" si="39"/>
        <v>3.8821048030863499</v>
      </c>
      <c r="CB12" s="22">
        <f t="shared" si="10"/>
        <v>26.188159806888876</v>
      </c>
      <c r="CC12" s="62">
        <f t="shared" si="11"/>
        <v>230.05672213592962</v>
      </c>
      <c r="CD12" s="62">
        <f ca="1">AVERAGE(OFFSET($CC$3,0,0,'Données projet'!$E$12+1,1))-AVERAGE(OFFSET($H$3,0,0,'Données projet'!$E$12+1,1))</f>
        <v>447.25854887589878</v>
      </c>
      <c r="CE12" s="62">
        <f t="shared" si="40"/>
        <v>480.13390593590157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52.600516998829292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2.6666666666666665</v>
      </c>
      <c r="CT12" s="13">
        <f>IF('Données projet'!$A$140&gt;35,CT11+CS12-DB11,IF(A12&lt;'Données projet'!$A$140,$CQ$205^A12,IF(A12='Données projet'!$A$140,'Données projet'!$B$140,CT11+CS12-DB11)))</f>
        <v>9.1461010385465205</v>
      </c>
      <c r="CU12" s="18">
        <f>CT12*VLOOKUP('Données projet'!$B$13,Paramètres!$A$1:$I$89,3,0)*VLOOKUP('Données projet'!$B$13,Paramètres!$A$1:$I$89,5,0)</f>
        <v>7.1339588100662858</v>
      </c>
      <c r="CV12" s="14">
        <f t="shared" si="41"/>
        <v>2.6155015444227643</v>
      </c>
      <c r="CW12" s="22">
        <f t="shared" si="13"/>
        <v>16.980310117401761</v>
      </c>
      <c r="CX12" s="62">
        <f t="shared" si="14"/>
        <v>220.8488724464425</v>
      </c>
      <c r="CY12" s="62">
        <f ca="1">AVERAGE(OFFSET($CX$3,0,0,'Données projet'!$E$13+1,1))-AVERAGE(OFFSET($H$3,0,0,'Données projet'!$E$13+1,1))</f>
        <v>308.52515801950324</v>
      </c>
      <c r="CZ12" s="62">
        <f t="shared" si="42"/>
        <v>299.05420638408953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52.600516998829292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1.8800000000000001</v>
      </c>
      <c r="DO12" s="13">
        <f>IF('Données projet'!$A$166&gt;35,DO11+DN12-DW11,IF(A12&lt;'Données projet'!$A$166,$DL$205^A12,IF(A12='Données projet'!$A$166,'Données projet'!$B$166,DO11+DN12-DW11)))</f>
        <v>14.019807944782537</v>
      </c>
      <c r="DP12" s="18">
        <f>DO12*VLOOKUP('Données projet'!$B$14,Paramètres!$A$1:$I$89,3,0)*VLOOKUP('Données projet'!$B$14,Paramètres!$A$1:$I$89,5,0)</f>
        <v>10.279323185114555</v>
      </c>
      <c r="DQ12" s="14">
        <f t="shared" si="43"/>
        <v>3.611801843213041</v>
      </c>
      <c r="DR12" s="22">
        <f t="shared" si="16"/>
        <v>24.193709424337229</v>
      </c>
      <c r="DS12" s="62">
        <f t="shared" si="17"/>
        <v>228.06227175337796</v>
      </c>
      <c r="DT12" s="62">
        <f ca="1">AVERAGE(OFFSET($DS$3,0,0,'Données projet'!$E$14+1,1))-AVERAGE(OFFSET($H$3,0,0,'Données projet'!$E$14+1,1))</f>
        <v>416.72317068678774</v>
      </c>
      <c r="DU12" s="62">
        <f t="shared" si="44"/>
        <v>447.32457429495537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52.600516998829292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3.9316239316239314</v>
      </c>
      <c r="EJ12" s="13">
        <f>IF('Données projet'!$A$192&gt;35,EJ11+EI12-ER11,IF(A12&lt;'Données projet'!$A$192,$EG$205^A12,IF(A12='Données projet'!$A$192,'Données projet'!$B$192,EJ11+EI12-ER11)))</f>
        <v>11.545106337629827</v>
      </c>
      <c r="EK12" s="18">
        <f>EJ12*VLOOKUP('Données projet'!$B$15,Paramètres!$A$1:$I$89,3,0)*VLOOKUP('Données projet'!$B$15,Paramètres!$A$1:$I$89,5,0)</f>
        <v>10.986323190888543</v>
      </c>
      <c r="EL12" s="14">
        <f t="shared" si="45"/>
        <v>3.8304449015063002</v>
      </c>
      <c r="EM12" s="22">
        <f t="shared" si="19"/>
        <v>25.805871094254353</v>
      </c>
      <c r="EN12" s="62">
        <f t="shared" si="20"/>
        <v>229.67443342329508</v>
      </c>
      <c r="EO12" s="62">
        <f ca="1">AVERAGE(OFFSET($EN$3,0,0,'Données projet'!$E$15+1,1))-AVERAGE(OFFSET($H$3,0,0,'Données projet'!$E$15+1,1))</f>
        <v>454.78867027701426</v>
      </c>
      <c r="EP12" s="62">
        <f t="shared" si="46"/>
        <v>366.45346303927056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52.600516998829292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3.2692307692307692</v>
      </c>
      <c r="FE12" s="13">
        <f>IF('Données projet'!$A$218&gt;35,FE11+FD12-FM11,IF(A12&lt;'Données projet'!$A$218,$FB$205^A12,IF(A12='Données projet'!$A$218,'Données projet'!$B$218,FE11+FD12-FM11)))</f>
        <v>23.067526062737759</v>
      </c>
      <c r="FF12" s="18">
        <f>FE12*VLOOKUP('Données projet'!$B$16,Paramètres!$A$1:$I$89,3,0)*VLOOKUP('Données projet'!$B$16,Paramètres!$A$1:$I$89,5,0)</f>
        <v>15.473696482884488</v>
      </c>
      <c r="FG12" s="14">
        <f t="shared" si="47"/>
        <v>5.1841479647319577</v>
      </c>
      <c r="FH12" s="22">
        <f t="shared" si="22"/>
        <v>35.979079079598641</v>
      </c>
      <c r="FI12" s="62">
        <f t="shared" si="23"/>
        <v>239.84764140863939</v>
      </c>
      <c r="FJ12" s="62">
        <f ca="1">AVERAGE(OFFSET($FI$3,0,0,'Données projet'!$E$16+1,1))-AVERAGE(OFFSET($H$3,0,0,'Données projet'!$E$16+1,1))</f>
        <v>390.05579539539576</v>
      </c>
      <c r="FK12" s="62">
        <f t="shared" si="48"/>
        <v>323.72278615226139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projet'!$B$16,Paramètres!$A$1:$I$89,3,0)*0.475*44/12</f>
        <v>0</v>
      </c>
      <c r="FR12" s="23">
        <f>EXP(-LN(2)/25)*FR11+(1-EXP(-LN(2)/25))/(LN(2)/25)*Calculateur!FM12*Calculateur!FO12*VLOOKUP('Données projet'!$B$16,Paramètres!$A$1:$I$89,3,0)*0.475*44/12</f>
        <v>0</v>
      </c>
      <c r="FS12" s="23">
        <f>EXP(-LN(2)/2)*FS11+(1-EXP(-LN(2)/2))/(LN(2)/2)*FM12*FP12*VLOOKUP('Données projet'!$B$16,Paramètres!$A$1:$I$89,3,0)*0.475*44/12</f>
        <v>0</v>
      </c>
      <c r="FT12" s="24">
        <f t="shared" si="24"/>
        <v>0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52.600516998829292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3.65</v>
      </c>
      <c r="FZ12" s="13">
        <f>IF('Données projet'!$A$244&gt;35,FZ11+FY12-GH11,IF(A12&lt;'Données projet'!$A$244,$FW$205^A12,IF(A12='Données projet'!$A$244,'Données projet'!$B$244,FZ11+FY12-GH11)))</f>
        <v>6.8943811137639424</v>
      </c>
      <c r="GA12" s="18">
        <f>FZ12*VLOOKUP('Données projet'!$B$17,Paramètres!$A$1:$I$89,3,0)*VLOOKUP('Données projet'!$B$17,Paramètres!$A$1:$I$89,5,0)</f>
        <v>6.6682454132324853</v>
      </c>
      <c r="GB12" s="14">
        <f t="shared" si="49"/>
        <v>2.4640453263659414</v>
      </c>
      <c r="GC12" s="22">
        <f t="shared" si="25"/>
        <v>15.905406371467258</v>
      </c>
      <c r="GD12" s="62">
        <f t="shared" si="26"/>
        <v>219.77396870050799</v>
      </c>
      <c r="GE12" s="62">
        <f ca="1">AVERAGE(OFFSET($GD$3,0,0,'Données projet'!$E$17+1,1))-AVERAGE(OFFSET($H$3,0,0,'Données projet'!$E$17+1,1))</f>
        <v>578.44111602076555</v>
      </c>
      <c r="GF12" s="62">
        <f t="shared" si="50"/>
        <v>368.08542661432784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>
        <f>EXP(-LN(2)/35)*GL11+(1-EXP(-LN(2)/35))/(LN(2)/35)*GH12*GI12*VLOOKUP('Données projet'!$B$17,Paramètres!$A$1:$I$89,3,0)*0.475*44/12</f>
        <v>0</v>
      </c>
      <c r="GM12" s="23">
        <f>EXP(-LN(2)/25)*GM11+(1-EXP(-LN(2)/25))/(LN(2)/25)*Calculateur!GH12*Calculateur!GJ12*VLOOKUP('Données projet'!$B$17,Paramètres!$A$1:$I$89,3,0)*0.475*44/12</f>
        <v>0</v>
      </c>
      <c r="GN12" s="23">
        <f>EXP(-LN(2)/2)*GN11+(1-EXP(-LN(2)/2))/(LN(2)/2)*GH12*GK12*VLOOKUP('Données projet'!$B$17,Paramètres!$A$1:$I$89,3,0)*0.475*44/12</f>
        <v>0</v>
      </c>
      <c r="GO12" s="23">
        <f t="shared" si="27"/>
        <v>0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52.600516998829292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4.0735000000000001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14.936166666666667</v>
      </c>
      <c r="H13" s="70">
        <f t="shared" si="1"/>
        <v>196.922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52.902359129483173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3.65</v>
      </c>
      <c r="N13" s="14">
        <f>IF('Données projet'!$A$36&gt;35,N12+M13-V12,IF(A13&lt;'Données projet'!$A$36,$K$205^A13,IF(A13='Données projet'!$A$36,'Données projet'!$B$36,N12+M13-V12)))</f>
        <v>8.5440037453175322</v>
      </c>
      <c r="O13" s="14">
        <f>N13*VLOOKUP('Données projet'!$B$9,Paramètres!$A$1:$I$89,3,0)*VLOOKUP('Données projet'!$B$9,Paramètres!$A$1:$I$89,5,0)</f>
        <v>7.7306145887633031</v>
      </c>
      <c r="P13" s="14">
        <f t="shared" si="33"/>
        <v>2.8078763226288115</v>
      </c>
      <c r="Q13" s="22">
        <f t="shared" si="2"/>
        <v>18.354538337341264</v>
      </c>
      <c r="R13" s="62">
        <f t="shared" si="0"/>
        <v>224.55207736766846</v>
      </c>
      <c r="S13" s="62">
        <f ca="1">AVERAGE(OFFSET($R$3,0,0,'Données projet'!$E$9+1,1))-AVERAGE(OFFSET($H$3,0,0,'Données projet'!$E$9+1,1))</f>
        <v>546.11281471711925</v>
      </c>
      <c r="T13" s="62">
        <f t="shared" si="34"/>
        <v>348.18069831447099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52.902359129483173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2.8</v>
      </c>
      <c r="AI13" s="14">
        <f>IF('Données projet'!$A$62&gt;35,AI12+AH13-AQ12,IF(A13&lt;'Données projet'!$A$62,$AF$205^A13,IF(A13='Données projet'!$A$62,'Données projet'!$B$62,AI12+AH13-AQ12)))</f>
        <v>7.4833147735478933</v>
      </c>
      <c r="AJ13" s="14">
        <f>AI13*VLOOKUP('Données projet'!$B$10,Paramètres!$A$1:$I$89,3,0)*VLOOKUP('Données projet'!$B$10,Paramètres!$A$1:$I$89,5,0)</f>
        <v>6.4206840757040933</v>
      </c>
      <c r="AK13" s="14">
        <f t="shared" si="35"/>
        <v>2.3830376437122043</v>
      </c>
      <c r="AL13" s="22">
        <f t="shared" si="4"/>
        <v>15.33314866131672</v>
      </c>
      <c r="AM13" s="62">
        <f t="shared" si="5"/>
        <v>221.53068769164392</v>
      </c>
      <c r="AN13" s="62">
        <f ca="1">AVERAGE(OFFSET($AM$3,0,0,'Données projet'!$E$10+1,1))-AVERAGE(OFFSET($H$3,0,0,'Données projet'!$E$10+1,1))</f>
        <v>693.87994318348024</v>
      </c>
      <c r="AO13" s="62">
        <f t="shared" si="36"/>
        <v>327.71043739333641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52.902359129483173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3.65</v>
      </c>
      <c r="BD13" s="13">
        <f>IF('Données projet'!$A$88&gt;35,BD12+BC13-BL12,IF(A13&lt;'Données projet'!$A$88,$BA$205^A13,IF(A13='Données projet'!$A$88,'Données projet'!$B$88,BD12+BC13-BL12)))</f>
        <v>8.5440037453175322</v>
      </c>
      <c r="BE13" s="14">
        <f>BD13*VLOOKUP('Données projet'!$B$11,Paramètres!$A$1:$I$89,3,0)*VLOOKUP('Données projet'!$B$11,Paramètres!$A$1:$I$89,5,0)</f>
        <v>7.1974687550554899</v>
      </c>
      <c r="BF13" s="14">
        <f t="shared" si="37"/>
        <v>2.6360650660630816</v>
      </c>
      <c r="BG13" s="22">
        <f t="shared" si="7"/>
        <v>17.126738071781514</v>
      </c>
      <c r="BH13" s="62">
        <f t="shared" si="8"/>
        <v>223.32427710210871</v>
      </c>
      <c r="BI13" s="62">
        <f ca="1">AVERAGE(OFFSET($BH$3,0,0,'Données projet'!$E$11+1,1))-AVERAGE(OFFSET($H$3,0,0,'Données projet'!$E$11+1,1))</f>
        <v>513.7388209355762</v>
      </c>
      <c r="BJ13" s="62">
        <f t="shared" si="38"/>
        <v>328.24603121433927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52.902359129483173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>
        <f>VLOOKUP(A13,'Données projet'!$A$113:$I$133,2,0)</f>
        <v>18.8</v>
      </c>
      <c r="BW13" s="13">
        <f>VLOOKUP(A13,'Données projet'!$A$113:$I$133,9,0)</f>
        <v>1.8800000000000001</v>
      </c>
      <c r="BX13" s="13">
        <f t="array" ref="BX13">INDEX(BW:BW,MIN(IF(ISNUMBER(BW13:BW209),ROW(BW13:BW209),"")))</f>
        <v>1.8800000000000001</v>
      </c>
      <c r="BY13" s="13">
        <f>IF('Données projet'!$A$114&gt;35,BY12+BX13-CG12,IF(A13&lt;'Données projet'!$A$114,$BV$205^A13,IF(A13='Données projet'!$A$114,'Données projet'!$B$114,BY12+BX13-CG12)))</f>
        <v>18.8</v>
      </c>
      <c r="BZ13" s="14">
        <f>BY13*VLOOKUP('Données projet'!$B$12,Paramètres!$A$1:$I$89,3,0)*VLOOKUP('Données projet'!$B$12,Paramètres!$A$1:$I$89,5,0)</f>
        <v>14.957280000000003</v>
      </c>
      <c r="CA13" s="14">
        <f t="shared" si="39"/>
        <v>5.0309713388800041</v>
      </c>
      <c r="CB13" s="22">
        <f t="shared" si="10"/>
        <v>34.812871081882669</v>
      </c>
      <c r="CC13" s="62">
        <f t="shared" si="11"/>
        <v>241.01041011220985</v>
      </c>
      <c r="CD13" s="62">
        <f ca="1">AVERAGE(OFFSET($CC$3,0,0,'Données projet'!$E$12+1,1))-AVERAGE(OFFSET($H$3,0,0,'Données projet'!$E$12+1,1))</f>
        <v>447.25854887589878</v>
      </c>
      <c r="CE13" s="62">
        <f t="shared" si="40"/>
        <v>480.13390593590157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52.902359129483173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2.6666666666666665</v>
      </c>
      <c r="CT13" s="13">
        <f>IF('Données projet'!$A$140&gt;35,CT12+CS13-DB12,IF(A13&lt;'Données projet'!$A$140,$CQ$205^A13,IF(A13='Données projet'!$A$140,'Données projet'!$B$140,CT12+CS13-DB12)))</f>
        <v>11.696070952851455</v>
      </c>
      <c r="CU13" s="18">
        <f>CT13*VLOOKUP('Données projet'!$B$13,Paramètres!$A$1:$I$89,3,0)*VLOOKUP('Données projet'!$B$13,Paramètres!$A$1:$I$89,5,0)</f>
        <v>9.1229353432241354</v>
      </c>
      <c r="CV13" s="14">
        <f t="shared" si="41"/>
        <v>3.2503265450485803</v>
      </c>
      <c r="CW13" s="22">
        <f t="shared" si="13"/>
        <v>21.550097788741649</v>
      </c>
      <c r="CX13" s="62">
        <f t="shared" si="14"/>
        <v>227.74763681906884</v>
      </c>
      <c r="CY13" s="62">
        <f ca="1">AVERAGE(OFFSET($CX$3,0,0,'Données projet'!$E$13+1,1))-AVERAGE(OFFSET($H$3,0,0,'Données projet'!$E$13+1,1))</f>
        <v>308.52515801950324</v>
      </c>
      <c r="CZ13" s="62">
        <f t="shared" si="42"/>
        <v>299.05420638408953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52.902359129483173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>
        <f>VLOOKUP(A13,'Données projet'!$A$165:$I$185,2,0)</f>
        <v>18.8</v>
      </c>
      <c r="DM13" s="13">
        <f>VLOOKUP(A13,'Données projet'!$A$165:$I$185,9,0)</f>
        <v>1.8800000000000001</v>
      </c>
      <c r="DN13" s="13">
        <f t="array" ref="DN13">INDEX(DM:DM,MIN(IF(ISNUMBER(DM13:DM209),ROW(DM13:DM209),"")))</f>
        <v>1.8800000000000001</v>
      </c>
      <c r="DO13" s="13">
        <f>IF('Données projet'!$A$166&gt;35,DO12+DN13-DW12,IF(A13&lt;'Données projet'!$A$166,$DL$205^A13,IF(A13='Données projet'!$A$166,'Données projet'!$B$166,DO12+DN13-DW12)))</f>
        <v>18.8</v>
      </c>
      <c r="DP13" s="18">
        <f>DO13*VLOOKUP('Données projet'!$B$14,Paramètres!$A$1:$I$89,3,0)*VLOOKUP('Données projet'!$B$14,Paramètres!$A$1:$I$89,5,0)</f>
        <v>13.784160000000002</v>
      </c>
      <c r="DQ13" s="14">
        <f t="shared" si="43"/>
        <v>4.6806751689116126</v>
      </c>
      <c r="DR13" s="22">
        <f t="shared" si="16"/>
        <v>32.159587919187722</v>
      </c>
      <c r="DS13" s="62">
        <f t="shared" si="17"/>
        <v>238.35712694951491</v>
      </c>
      <c r="DT13" s="62">
        <f ca="1">AVERAGE(OFFSET($DS$3,0,0,'Données projet'!$E$14+1,1))-AVERAGE(OFFSET($H$3,0,0,'Données projet'!$E$14+1,1))</f>
        <v>416.72317068678774</v>
      </c>
      <c r="DU13" s="62">
        <f t="shared" si="44"/>
        <v>447.32457429495537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52.902359129483173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3.9316239316239314</v>
      </c>
      <c r="EJ13" s="13">
        <f>IF('Données projet'!$A$192&gt;35,EJ12+EI13-ER12,IF(A13&lt;'Données projet'!$A$192,$EG$205^A13,IF(A13='Données projet'!$A$192,'Données projet'!$B$192,EJ12+EI13-ER12)))</f>
        <v>15.151029809329387</v>
      </c>
      <c r="EK13" s="18">
        <f>EJ13*VLOOKUP('Données projet'!$B$15,Paramètres!$A$1:$I$89,3,0)*VLOOKUP('Données projet'!$B$15,Paramètres!$A$1:$I$89,5,0)</f>
        <v>14.417719966557845</v>
      </c>
      <c r="EL13" s="14">
        <f t="shared" si="45"/>
        <v>4.8702705585432344</v>
      </c>
      <c r="EM13" s="22">
        <f t="shared" si="19"/>
        <v>33.593250164551044</v>
      </c>
      <c r="EN13" s="62">
        <f t="shared" si="20"/>
        <v>239.79078919487824</v>
      </c>
      <c r="EO13" s="62">
        <f ca="1">AVERAGE(OFFSET($EN$3,0,0,'Données projet'!$E$15+1,1))-AVERAGE(OFFSET($H$3,0,0,'Données projet'!$E$15+1,1))</f>
        <v>454.78867027701426</v>
      </c>
      <c r="EP13" s="62">
        <f t="shared" si="46"/>
        <v>366.45346303927056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52.902359129483173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>
        <f>VLOOKUP(A13,'Données projet'!$A$217:$I$237,2,0)</f>
        <v>32.692307692307693</v>
      </c>
      <c r="FC13" s="13">
        <f>VLOOKUP(A13,'Données projet'!$A$217:$I$237,9,0)</f>
        <v>3.2692307692307692</v>
      </c>
      <c r="FD13" s="13">
        <f t="array" ref="FD13">INDEX(FC:FC,MIN(IF(ISNUMBER(FC13:FC209),ROW(FC13:FC209),"")))</f>
        <v>3.2692307692307692</v>
      </c>
      <c r="FE13" s="13">
        <f>IF('Données projet'!$A$218&gt;35,FE12+FD13-FM12,IF(A13&lt;'Données projet'!$A$218,$FB$205^A13,IF(A13='Données projet'!$A$218,'Données projet'!$B$218,FE12+FD13-FM12)))</f>
        <v>32.692307692307693</v>
      </c>
      <c r="FF13" s="18">
        <f>FE13*VLOOKUP('Données projet'!$B$16,Paramètres!$A$1:$I$89,3,0)*VLOOKUP('Données projet'!$B$16,Paramètres!$A$1:$I$89,5,0)</f>
        <v>21.930000000000003</v>
      </c>
      <c r="FG13" s="14">
        <f t="shared" si="47"/>
        <v>7.0549477202322466</v>
      </c>
      <c r="FH13" s="22">
        <f t="shared" si="22"/>
        <v>50.482117279404498</v>
      </c>
      <c r="FI13" s="62">
        <f t="shared" si="23"/>
        <v>256.67965630973168</v>
      </c>
      <c r="FJ13" s="62">
        <f ca="1">AVERAGE(OFFSET($FI$3,0,0,'Données projet'!$E$16+1,1))-AVERAGE(OFFSET($H$3,0,0,'Données projet'!$E$16+1,1))</f>
        <v>390.05579539539576</v>
      </c>
      <c r="FK13" s="62">
        <f t="shared" si="48"/>
        <v>323.72278615226139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projet'!$B$16,Paramètres!$A$1:$I$89,3,0)*0.475*44/12</f>
        <v>0</v>
      </c>
      <c r="FR13" s="23">
        <f>EXP(-LN(2)/25)*FR12+(1-EXP(-LN(2)/25))/(LN(2)/25)*Calculateur!FM13*Calculateur!FO13*VLOOKUP('Données projet'!$B$16,Paramètres!$A$1:$I$89,3,0)*0.475*44/12</f>
        <v>0</v>
      </c>
      <c r="FS13" s="23">
        <f>EXP(-LN(2)/2)*FS12+(1-EXP(-LN(2)/2))/(LN(2)/2)*FM13*FP13*VLOOKUP('Données projet'!$B$16,Paramètres!$A$1:$I$89,3,0)*0.475*44/12</f>
        <v>0</v>
      </c>
      <c r="FT13" s="24">
        <f t="shared" si="24"/>
        <v>0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52.902359129483173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3.65</v>
      </c>
      <c r="FZ13" s="13">
        <f>IF('Données projet'!$A$244&gt;35,FZ12+FY13-GH12,IF(A13&lt;'Données projet'!$A$244,$FW$205^A13,IF(A13='Données projet'!$A$244,'Données projet'!$B$244,FZ12+FY13-GH12)))</f>
        <v>8.5440037453175322</v>
      </c>
      <c r="GA13" s="18">
        <f>FZ13*VLOOKUP('Données projet'!$B$17,Paramètres!$A$1:$I$89,3,0)*VLOOKUP('Données projet'!$B$17,Paramètres!$A$1:$I$89,5,0)</f>
        <v>8.2637604224711172</v>
      </c>
      <c r="GB13" s="14">
        <f t="shared" si="49"/>
        <v>2.9783127206856603</v>
      </c>
      <c r="GC13" s="22">
        <f t="shared" si="25"/>
        <v>19.579944057664719</v>
      </c>
      <c r="GD13" s="62">
        <f t="shared" si="26"/>
        <v>225.77748308799193</v>
      </c>
      <c r="GE13" s="62">
        <f ca="1">AVERAGE(OFFSET($GD$3,0,0,'Données projet'!$E$17+1,1))-AVERAGE(OFFSET($H$3,0,0,'Données projet'!$E$17+1,1))</f>
        <v>578.44111602076555</v>
      </c>
      <c r="GF13" s="62">
        <f t="shared" si="50"/>
        <v>368.08542661432784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>
        <f>EXP(-LN(2)/35)*GL12+(1-EXP(-LN(2)/35))/(LN(2)/35)*GH13*GI13*VLOOKUP('Données projet'!$B$17,Paramètres!$A$1:$I$89,3,0)*0.475*44/12</f>
        <v>0</v>
      </c>
      <c r="GM13" s="23">
        <f>EXP(-LN(2)/25)*GM12+(1-EXP(-LN(2)/25))/(LN(2)/25)*Calculateur!GH13*Calculateur!GJ13*VLOOKUP('Données projet'!$B$17,Paramètres!$A$1:$I$89,3,0)*0.475*44/12</f>
        <v>0</v>
      </c>
      <c r="GN13" s="23">
        <f>EXP(-LN(2)/2)*GN12+(1-EXP(-LN(2)/2))/(LN(2)/2)*GH13*GK13*VLOOKUP('Données projet'!$B$17,Paramètres!$A$1:$I$89,3,0)*0.475*44/12</f>
        <v>0</v>
      </c>
      <c r="GO13" s="23">
        <f t="shared" si="27"/>
        <v>0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52.902359129483173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4.0735000000000001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14.936166666666667</v>
      </c>
      <c r="H14" s="70">
        <f t="shared" si="1"/>
        <v>196.922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53.198964973988112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3.65</v>
      </c>
      <c r="N14" s="14">
        <f>IF('Données projet'!$A$36&gt;35,N13+M14-V13,IF(A14&lt;'Données projet'!$A$36,$K$205^A14,IF(A14='Données projet'!$A$36,'Données projet'!$B$36,N13+M14-V13)))</f>
        <v>10.588332555950936</v>
      </c>
      <c r="O14" s="14">
        <f>N14*VLOOKUP('Données projet'!$B$9,Paramètres!$A$1:$I$89,3,0)*VLOOKUP('Données projet'!$B$9,Paramètres!$A$1:$I$89,5,0)</f>
        <v>9.5803232966244067</v>
      </c>
      <c r="P14" s="14">
        <f t="shared" si="33"/>
        <v>3.3939041949894282</v>
      </c>
      <c r="Q14" s="22">
        <f t="shared" si="2"/>
        <v>22.596779547894098</v>
      </c>
      <c r="R14" s="62">
        <f t="shared" si="0"/>
        <v>231.10409556362828</v>
      </c>
      <c r="S14" s="62">
        <f ca="1">AVERAGE(OFFSET($R$3,0,0,'Données projet'!$E$9+1,1))-AVERAGE(OFFSET($H$3,0,0,'Données projet'!$E$9+1,1))</f>
        <v>546.11281471711925</v>
      </c>
      <c r="T14" s="62">
        <f t="shared" si="34"/>
        <v>348.18069831447099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53.198964973988112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2.8</v>
      </c>
      <c r="AI14" s="14">
        <f>IF('Données projet'!$A$62&gt;35,AI13+AH14-AQ13,IF(A14&lt;'Données projet'!$A$62,$AF$205^A14,IF(A14='Données projet'!$A$62,'Données projet'!$B$62,AI13+AH14-AQ13)))</f>
        <v>9.1517345525322273</v>
      </c>
      <c r="AJ14" s="14">
        <f>AI14*VLOOKUP('Données projet'!$B$10,Paramètres!$A$1:$I$89,3,0)*VLOOKUP('Données projet'!$B$10,Paramètres!$A$1:$I$89,5,0)</f>
        <v>7.8521882460726511</v>
      </c>
      <c r="AK14" s="14">
        <f t="shared" si="35"/>
        <v>2.8468582917289242</v>
      </c>
      <c r="AL14" s="22">
        <f t="shared" si="4"/>
        <v>18.634172720004408</v>
      </c>
      <c r="AM14" s="62">
        <f t="shared" si="5"/>
        <v>227.14148873573859</v>
      </c>
      <c r="AN14" s="62">
        <f ca="1">AVERAGE(OFFSET($AM$3,0,0,'Données projet'!$E$10+1,1))-AVERAGE(OFFSET($H$3,0,0,'Données projet'!$E$10+1,1))</f>
        <v>693.87994318348024</v>
      </c>
      <c r="AO14" s="62">
        <f t="shared" si="36"/>
        <v>327.71043739333641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53.198964973988112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3.65</v>
      </c>
      <c r="BD14" s="13">
        <f>IF('Données projet'!$A$88&gt;35,BD13+BC14-BL13,IF(A14&lt;'Données projet'!$A$88,$BA$205^A14,IF(A14='Données projet'!$A$88,'Données projet'!$B$88,BD13+BC14-BL13)))</f>
        <v>10.588332555950936</v>
      </c>
      <c r="BE14" s="14">
        <f>BD14*VLOOKUP('Données projet'!$B$11,Paramètres!$A$1:$I$89,3,0)*VLOOKUP('Données projet'!$B$11,Paramètres!$A$1:$I$89,5,0)</f>
        <v>8.9196113451330703</v>
      </c>
      <c r="BF14" s="14">
        <f t="shared" si="37"/>
        <v>3.186234455512118</v>
      </c>
      <c r="BG14" s="22">
        <f t="shared" si="7"/>
        <v>21.084348102790369</v>
      </c>
      <c r="BH14" s="62">
        <f t="shared" si="8"/>
        <v>229.59166411852453</v>
      </c>
      <c r="BI14" s="62">
        <f ca="1">AVERAGE(OFFSET($BH$3,0,0,'Données projet'!$E$11+1,1))-AVERAGE(OFFSET($H$3,0,0,'Données projet'!$E$11+1,1))</f>
        <v>513.7388209355762</v>
      </c>
      <c r="BJ14" s="62">
        <f t="shared" si="38"/>
        <v>328.24603121433927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53.198964973988112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14.5</v>
      </c>
      <c r="BY14" s="13">
        <f>IF('Données projet'!$A$114&gt;35,BY13+BX14-CG13,IF(A14&lt;'Données projet'!$A$114,$BV$205^A14,IF(A14='Données projet'!$A$114,'Données projet'!$B$114,BY13+BX14-CG13)))</f>
        <v>33.299999999999997</v>
      </c>
      <c r="BZ14" s="14">
        <f>BY14*VLOOKUP('Données projet'!$B$12,Paramètres!$A$1:$I$89,3,0)*VLOOKUP('Données projet'!$B$12,Paramètres!$A$1:$I$89,5,0)</f>
        <v>26.493480000000002</v>
      </c>
      <c r="CA14" s="14">
        <f t="shared" si="39"/>
        <v>8.3375354272649211</v>
      </c>
      <c r="CB14" s="22">
        <f t="shared" si="10"/>
        <v>60.664018535819736</v>
      </c>
      <c r="CC14" s="62">
        <f t="shared" si="11"/>
        <v>269.17133455155391</v>
      </c>
      <c r="CD14" s="62">
        <f ca="1">AVERAGE(OFFSET($CC$3,0,0,'Données projet'!$E$12+1,1))-AVERAGE(OFFSET($H$3,0,0,'Données projet'!$E$12+1,1))</f>
        <v>447.25854887589878</v>
      </c>
      <c r="CE14" s="62">
        <f t="shared" si="40"/>
        <v>480.13390593590157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53.198964973988112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2.6666666666666665</v>
      </c>
      <c r="CT14" s="13">
        <f>IF('Données projet'!$A$140&gt;35,CT13+CS14-DB13,IF(A14&lt;'Données projet'!$A$140,$CQ$205^A14,IF(A14='Données projet'!$A$140,'Données projet'!$B$140,CT13+CS14-DB13)))</f>
        <v>14.956982779612416</v>
      </c>
      <c r="CU14" s="18">
        <f>CT14*VLOOKUP('Données projet'!$B$13,Paramètres!$A$1:$I$89,3,0)*VLOOKUP('Données projet'!$B$13,Paramètres!$A$1:$I$89,5,0)</f>
        <v>11.666446568097685</v>
      </c>
      <c r="CV14" s="14">
        <f t="shared" si="41"/>
        <v>4.0392339557111736</v>
      </c>
      <c r="CW14" s="22">
        <f t="shared" si="13"/>
        <v>27.354060245633761</v>
      </c>
      <c r="CX14" s="62">
        <f t="shared" si="14"/>
        <v>235.86137626136792</v>
      </c>
      <c r="CY14" s="62">
        <f ca="1">AVERAGE(OFFSET($CX$3,0,0,'Données projet'!$E$13+1,1))-AVERAGE(OFFSET($H$3,0,0,'Données projet'!$E$13+1,1))</f>
        <v>308.52515801950324</v>
      </c>
      <c r="CZ14" s="62">
        <f t="shared" si="42"/>
        <v>299.05420638408953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53.198964973988112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14.5</v>
      </c>
      <c r="DO14" s="13">
        <f>IF('Données projet'!$A$166&gt;35,DO13+DN14-DW13,IF(A14&lt;'Données projet'!$A$166,$DL$205^A14,IF(A14='Données projet'!$A$166,'Données projet'!$B$166,DO13+DN14-DW13)))</f>
        <v>33.299999999999997</v>
      </c>
      <c r="DP14" s="18">
        <f>DO14*VLOOKUP('Données projet'!$B$14,Paramètres!$A$1:$I$89,3,0)*VLOOKUP('Données projet'!$B$14,Paramètres!$A$1:$I$89,5,0)</f>
        <v>24.415559999999999</v>
      </c>
      <c r="DQ14" s="14">
        <f t="shared" si="43"/>
        <v>7.757010011710304</v>
      </c>
      <c r="DR14" s="22">
        <f t="shared" si="16"/>
        <v>56.033892770395447</v>
      </c>
      <c r="DS14" s="62">
        <f t="shared" si="17"/>
        <v>264.54120878612963</v>
      </c>
      <c r="DT14" s="62">
        <f ca="1">AVERAGE(OFFSET($DS$3,0,0,'Données projet'!$E$14+1,1))-AVERAGE(OFFSET($H$3,0,0,'Données projet'!$E$14+1,1))</f>
        <v>416.72317068678774</v>
      </c>
      <c r="DU14" s="62">
        <f t="shared" si="44"/>
        <v>447.32457429495537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53.198964973988112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3.9316239316239314</v>
      </c>
      <c r="EJ14" s="13">
        <f>IF('Données projet'!$A$192&gt;35,EJ13+EI14-ER13,IF(A14&lt;'Données projet'!$A$192,$EG$205^A14,IF(A14='Données projet'!$A$192,'Données projet'!$B$192,EJ13+EI14-ER13)))</f>
        <v>19.883203980112871</v>
      </c>
      <c r="EK14" s="18">
        <f>EJ14*VLOOKUP('Données projet'!$B$15,Paramètres!$A$1:$I$89,3,0)*VLOOKUP('Données projet'!$B$15,Paramètres!$A$1:$I$89,5,0)</f>
        <v>18.920856907475407</v>
      </c>
      <c r="EL14" s="14">
        <f t="shared" si="45"/>
        <v>6.1923708402868431</v>
      </c>
      <c r="EM14" s="22">
        <f t="shared" si="19"/>
        <v>43.738871660685923</v>
      </c>
      <c r="EN14" s="62">
        <f t="shared" si="20"/>
        <v>252.24618767642011</v>
      </c>
      <c r="EO14" s="62">
        <f ca="1">AVERAGE(OFFSET($EN$3,0,0,'Données projet'!$E$15+1,1))-AVERAGE(OFFSET($H$3,0,0,'Données projet'!$E$15+1,1))</f>
        <v>454.78867027701426</v>
      </c>
      <c r="EP14" s="62">
        <f t="shared" si="46"/>
        <v>366.45346303927056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53.198964973988112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9.1025641025641022</v>
      </c>
      <c r="FE14" s="13">
        <f>IF('Données projet'!$A$218&gt;35,FE13+FD14-FM13,IF(A14&lt;'Données projet'!$A$218,$FB$205^A14,IF(A14='Données projet'!$A$218,'Données projet'!$B$218,FE13+FD14-FM13)))</f>
        <v>41.794871794871796</v>
      </c>
      <c r="FF14" s="18">
        <f>FE14*VLOOKUP('Données projet'!$B$16,Paramètres!$A$1:$I$89,3,0)*VLOOKUP('Données projet'!$B$16,Paramètres!$A$1:$I$89,5,0)</f>
        <v>28.035999999999998</v>
      </c>
      <c r="FG14" s="14">
        <f t="shared" si="47"/>
        <v>8.7650413206161684</v>
      </c>
      <c r="FH14" s="22">
        <f t="shared" si="22"/>
        <v>64.095146966739819</v>
      </c>
      <c r="FI14" s="62">
        <f t="shared" si="23"/>
        <v>272.60246298247398</v>
      </c>
      <c r="FJ14" s="62">
        <f ca="1">AVERAGE(OFFSET($FI$3,0,0,'Données projet'!$E$16+1,1))-AVERAGE(OFFSET($H$3,0,0,'Données projet'!$E$16+1,1))</f>
        <v>390.05579539539576</v>
      </c>
      <c r="FK14" s="62">
        <f t="shared" si="48"/>
        <v>323.72278615226139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projet'!$B$16,Paramètres!$A$1:$I$89,3,0)*0.475*44/12</f>
        <v>0</v>
      </c>
      <c r="FR14" s="23">
        <f>EXP(-LN(2)/25)*FR13+(1-EXP(-LN(2)/25))/(LN(2)/25)*Calculateur!FM14*Calculateur!FO14*VLOOKUP('Données projet'!$B$16,Paramètres!$A$1:$I$89,3,0)*0.475*44/12</f>
        <v>0</v>
      </c>
      <c r="FS14" s="23">
        <f>EXP(-LN(2)/2)*FS13+(1-EXP(-LN(2)/2))/(LN(2)/2)*FM14*FP14*VLOOKUP('Données projet'!$B$16,Paramètres!$A$1:$I$89,3,0)*0.475*44/12</f>
        <v>0</v>
      </c>
      <c r="FT14" s="24">
        <f t="shared" si="24"/>
        <v>0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53.198964973988112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3.65</v>
      </c>
      <c r="FZ14" s="13">
        <f>IF('Données projet'!$A$244&gt;35,FZ13+FY14-GH13,IF(A14&lt;'Données projet'!$A$244,$FW$205^A14,IF(A14='Données projet'!$A$244,'Données projet'!$B$244,FZ13+FY14-GH13)))</f>
        <v>10.588332555950936</v>
      </c>
      <c r="GA14" s="18">
        <f>FZ14*VLOOKUP('Données projet'!$B$17,Paramètres!$A$1:$I$89,3,0)*VLOOKUP('Données projet'!$B$17,Paramètres!$A$1:$I$89,5,0)</f>
        <v>10.241035248115747</v>
      </c>
      <c r="GB14" s="14">
        <f t="shared" si="49"/>
        <v>3.5999121311945652</v>
      </c>
      <c r="GC14" s="22">
        <f t="shared" si="25"/>
        <v>24.106316685632123</v>
      </c>
      <c r="GD14" s="62">
        <f t="shared" si="26"/>
        <v>232.6136327013663</v>
      </c>
      <c r="GE14" s="62">
        <f ca="1">AVERAGE(OFFSET($GD$3,0,0,'Données projet'!$E$17+1,1))-AVERAGE(OFFSET($H$3,0,0,'Données projet'!$E$17+1,1))</f>
        <v>578.44111602076555</v>
      </c>
      <c r="GF14" s="62">
        <f t="shared" si="50"/>
        <v>368.08542661432784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>
        <f>EXP(-LN(2)/35)*GL13+(1-EXP(-LN(2)/35))/(LN(2)/35)*GH14*GI14*VLOOKUP('Données projet'!$B$17,Paramètres!$A$1:$I$89,3,0)*0.475*44/12</f>
        <v>0</v>
      </c>
      <c r="GM14" s="23">
        <f>EXP(-LN(2)/25)*GM13+(1-EXP(-LN(2)/25))/(LN(2)/25)*Calculateur!GH14*Calculateur!GJ14*VLOOKUP('Données projet'!$B$17,Paramètres!$A$1:$I$89,3,0)*0.475*44/12</f>
        <v>0</v>
      </c>
      <c r="GN14" s="23">
        <f>EXP(-LN(2)/2)*GN13+(1-EXP(-LN(2)/2))/(LN(2)/2)*GH14*GK14*VLOOKUP('Données projet'!$B$17,Paramètres!$A$1:$I$89,3,0)*0.475*44/12</f>
        <v>0</v>
      </c>
      <c r="GO14" s="23">
        <f t="shared" si="27"/>
        <v>0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53.198964973988112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4.0735000000000001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14.936166666666667</v>
      </c>
      <c r="H15" s="70">
        <f t="shared" si="1"/>
        <v>196.922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53.490425370202217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3.65</v>
      </c>
      <c r="N15" s="14">
        <f>IF('Données projet'!$A$36&gt;35,N14+M15-V14,IF(A15&lt;'Données projet'!$A$36,$K$205^A15,IF(A15='Données projet'!$A$36,'Données projet'!$B$36,N14+M15-V14)))</f>
        <v>13.121809125710287</v>
      </c>
      <c r="O15" s="14">
        <f>N15*VLOOKUP('Données projet'!$B$9,Paramètres!$A$1:$I$89,3,0)*VLOOKUP('Données projet'!$B$9,Paramètres!$A$1:$I$89,5,0)</f>
        <v>11.872612896942668</v>
      </c>
      <c r="P15" s="14">
        <f t="shared" si="33"/>
        <v>4.1022411108131784</v>
      </c>
      <c r="Q15" s="22">
        <f t="shared" si="2"/>
        <v>27.822870730174767</v>
      </c>
      <c r="R15" s="62">
        <f t="shared" si="0"/>
        <v>238.62109708758288</v>
      </c>
      <c r="S15" s="62">
        <f ca="1">AVERAGE(OFFSET($R$3,0,0,'Données projet'!$E$9+1,1))-AVERAGE(OFFSET($H$3,0,0,'Données projet'!$E$9+1,1))</f>
        <v>546.11281471711925</v>
      </c>
      <c r="T15" s="62">
        <f t="shared" si="34"/>
        <v>348.18069831447099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53.490425370202217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2.8</v>
      </c>
      <c r="AI15" s="14">
        <f>IF('Données projet'!$A$62&gt;35,AI14+AH15-AQ14,IF(A15&lt;'Données projet'!$A$62,$AF$205^A15,IF(A15='Données projet'!$A$62,'Données projet'!$B$62,AI14+AH15-AQ14)))</f>
        <v>11.19213180983215</v>
      </c>
      <c r="AJ15" s="14">
        <f>AI15*VLOOKUP('Données projet'!$B$10,Paramètres!$A$1:$I$89,3,0)*VLOOKUP('Données projet'!$B$10,Paramètres!$A$1:$I$89,5,0)</f>
        <v>9.6028490928359851</v>
      </c>
      <c r="AK15" s="14">
        <f t="shared" si="35"/>
        <v>3.4009543049268385</v>
      </c>
      <c r="AL15" s="22">
        <f t="shared" si="4"/>
        <v>22.64829091777025</v>
      </c>
      <c r="AM15" s="62">
        <f t="shared" si="5"/>
        <v>233.44651727517837</v>
      </c>
      <c r="AN15" s="62">
        <f ca="1">AVERAGE(OFFSET($AM$3,0,0,'Données projet'!$E$10+1,1))-AVERAGE(OFFSET($H$3,0,0,'Données projet'!$E$10+1,1))</f>
        <v>693.87994318348024</v>
      </c>
      <c r="AO15" s="62">
        <f t="shared" si="36"/>
        <v>327.71043739333641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53.490425370202217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3.65</v>
      </c>
      <c r="BD15" s="13">
        <f>IF('Données projet'!$A$88&gt;35,BD14+BC15-BL14,IF(A15&lt;'Données projet'!$A$88,$BA$205^A15,IF(A15='Données projet'!$A$88,'Données projet'!$B$88,BD14+BC15-BL14)))</f>
        <v>13.121809125710287</v>
      </c>
      <c r="BE15" s="14">
        <f>BD15*VLOOKUP('Données projet'!$B$11,Paramètres!$A$1:$I$89,3,0)*VLOOKUP('Données projet'!$B$11,Paramètres!$A$1:$I$89,5,0)</f>
        <v>11.053812007498347</v>
      </c>
      <c r="BF15" s="14">
        <f t="shared" si="37"/>
        <v>3.8512289154738402</v>
      </c>
      <c r="BG15" s="22">
        <f t="shared" si="7"/>
        <v>25.959612940843225</v>
      </c>
      <c r="BH15" s="62">
        <f t="shared" si="8"/>
        <v>236.75783929825133</v>
      </c>
      <c r="BI15" s="62">
        <f ca="1">AVERAGE(OFFSET($BH$3,0,0,'Données projet'!$E$11+1,1))-AVERAGE(OFFSET($H$3,0,0,'Données projet'!$E$11+1,1))</f>
        <v>513.7388209355762</v>
      </c>
      <c r="BJ15" s="62">
        <f t="shared" si="38"/>
        <v>328.24603121433927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53.490425370202217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14.5</v>
      </c>
      <c r="BY15" s="13">
        <f>IF('Données projet'!$A$114&gt;35,BY14+BX15-CG14,IF(A15&lt;'Données projet'!$A$114,$BV$205^A15,IF(A15='Données projet'!$A$114,'Données projet'!$B$114,BY14+BX15-CG14)))</f>
        <v>47.8</v>
      </c>
      <c r="BZ15" s="14">
        <f>BY15*VLOOKUP('Données projet'!$B$12,Paramètres!$A$1:$I$89,3,0)*VLOOKUP('Données projet'!$B$12,Paramètres!$A$1:$I$89,5,0)</f>
        <v>38.029679999999999</v>
      </c>
      <c r="CA15" s="14">
        <f t="shared" si="39"/>
        <v>11.47488804489285</v>
      </c>
      <c r="CB15" s="22">
        <f t="shared" si="10"/>
        <v>86.220456011521705</v>
      </c>
      <c r="CC15" s="62">
        <f t="shared" si="11"/>
        <v>297.01868236892983</v>
      </c>
      <c r="CD15" s="62">
        <f ca="1">AVERAGE(OFFSET($CC$3,0,0,'Données projet'!$E$12+1,1))-AVERAGE(OFFSET($H$3,0,0,'Données projet'!$E$12+1,1))</f>
        <v>447.25854887589878</v>
      </c>
      <c r="CE15" s="62">
        <f t="shared" si="40"/>
        <v>480.13390593590157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53.490425370202217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2.6666666666666665</v>
      </c>
      <c r="CT15" s="13">
        <f>IF('Données projet'!$A$140&gt;35,CT14+CS15-DB14,IF(A15&lt;'Données projet'!$A$140,$CQ$205^A15,IF(A15='Données projet'!$A$140,'Données projet'!$B$140,CT14+CS15-DB14)))</f>
        <v>19.127049995800721</v>
      </c>
      <c r="CU15" s="18">
        <f>CT15*VLOOKUP('Données projet'!$B$13,Paramètres!$A$1:$I$89,3,0)*VLOOKUP('Données projet'!$B$13,Paramètres!$A$1:$I$89,5,0)</f>
        <v>14.919098996724562</v>
      </c>
      <c r="CV15" s="14">
        <f t="shared" si="41"/>
        <v>5.019622097301081</v>
      </c>
      <c r="CW15" s="22">
        <f t="shared" si="13"/>
        <v>34.726605905427995</v>
      </c>
      <c r="CX15" s="62">
        <f t="shared" si="14"/>
        <v>245.5248322628361</v>
      </c>
      <c r="CY15" s="62">
        <f ca="1">AVERAGE(OFFSET($CX$3,0,0,'Données projet'!$E$13+1,1))-AVERAGE(OFFSET($H$3,0,0,'Données projet'!$E$13+1,1))</f>
        <v>308.52515801950324</v>
      </c>
      <c r="CZ15" s="62">
        <f t="shared" si="42"/>
        <v>299.05420638408953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53.490425370202217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14.5</v>
      </c>
      <c r="DO15" s="13">
        <f>IF('Données projet'!$A$166&gt;35,DO14+DN15-DW14,IF(A15&lt;'Données projet'!$A$166,$DL$205^A15,IF(A15='Données projet'!$A$166,'Données projet'!$B$166,DO14+DN15-DW14)))</f>
        <v>47.8</v>
      </c>
      <c r="DP15" s="18">
        <f>DO15*VLOOKUP('Données projet'!$B$14,Paramètres!$A$1:$I$89,3,0)*VLOOKUP('Données projet'!$B$14,Paramètres!$A$1:$I$89,5,0)</f>
        <v>35.046959999999999</v>
      </c>
      <c r="DQ15" s="14">
        <f t="shared" si="43"/>
        <v>10.675915229866463</v>
      </c>
      <c r="DR15" s="22">
        <f t="shared" si="16"/>
        <v>79.634007692017406</v>
      </c>
      <c r="DS15" s="62">
        <f t="shared" si="17"/>
        <v>290.43223404942552</v>
      </c>
      <c r="DT15" s="62">
        <f ca="1">AVERAGE(OFFSET($DS$3,0,0,'Données projet'!$E$14+1,1))-AVERAGE(OFFSET($H$3,0,0,'Données projet'!$E$14+1,1))</f>
        <v>416.72317068678774</v>
      </c>
      <c r="DU15" s="62">
        <f t="shared" si="44"/>
        <v>447.32457429495537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53.490425370202217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3.9316239316239314</v>
      </c>
      <c r="EJ15" s="13">
        <f>IF('Données projet'!$A$192&gt;35,EJ14+EI15-ER14,IF(A15&lt;'Données projet'!$A$192,$EG$205^A15,IF(A15='Données projet'!$A$192,'Données projet'!$B$192,EJ14+EI15-ER14)))</f>
        <v>26.09339467283873</v>
      </c>
      <c r="EK15" s="18">
        <f>EJ15*VLOOKUP('Données projet'!$B$15,Paramètres!$A$1:$I$89,3,0)*VLOOKUP('Données projet'!$B$15,Paramètres!$A$1:$I$89,5,0)</f>
        <v>24.830474370673336</v>
      </c>
      <c r="EL15" s="14">
        <f t="shared" si="45"/>
        <v>7.8733729805566375</v>
      </c>
      <c r="EM15" s="22">
        <f t="shared" si="19"/>
        <v>56.9592008033922</v>
      </c>
      <c r="EN15" s="62">
        <f t="shared" si="20"/>
        <v>267.75742716080032</v>
      </c>
      <c r="EO15" s="62">
        <f ca="1">AVERAGE(OFFSET($EN$3,0,0,'Données projet'!$E$15+1,1))-AVERAGE(OFFSET($H$3,0,0,'Données projet'!$E$15+1,1))</f>
        <v>454.78867027701426</v>
      </c>
      <c r="EP15" s="62">
        <f t="shared" si="46"/>
        <v>366.45346303927056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53.490425370202217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9.1025641025641022</v>
      </c>
      <c r="FE15" s="13">
        <f>IF('Données projet'!$A$218&gt;35,FE14+FD15-FM14,IF(A15&lt;'Données projet'!$A$218,$FB$205^A15,IF(A15='Données projet'!$A$218,'Données projet'!$B$218,FE14+FD15-FM14)))</f>
        <v>50.897435897435898</v>
      </c>
      <c r="FF15" s="18">
        <f>FE15*VLOOKUP('Données projet'!$B$16,Paramètres!$A$1:$I$89,3,0)*VLOOKUP('Données projet'!$B$16,Paramètres!$A$1:$I$89,5,0)</f>
        <v>34.142000000000003</v>
      </c>
      <c r="FG15" s="14">
        <f t="shared" si="47"/>
        <v>10.431966606093619</v>
      </c>
      <c r="FH15" s="22">
        <f t="shared" si="22"/>
        <v>77.632991838946381</v>
      </c>
      <c r="FI15" s="62">
        <f t="shared" si="23"/>
        <v>288.43121819635451</v>
      </c>
      <c r="FJ15" s="62">
        <f ca="1">AVERAGE(OFFSET($FI$3,0,0,'Données projet'!$E$16+1,1))-AVERAGE(OFFSET($H$3,0,0,'Données projet'!$E$16+1,1))</f>
        <v>390.05579539539576</v>
      </c>
      <c r="FK15" s="62">
        <f t="shared" si="48"/>
        <v>323.72278615226139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projet'!$B$16,Paramètres!$A$1:$I$89,3,0)*0.475*44/12</f>
        <v>0</v>
      </c>
      <c r="FR15" s="23">
        <f>EXP(-LN(2)/25)*FR14+(1-EXP(-LN(2)/25))/(LN(2)/25)*Calculateur!FM15*Calculateur!FO15*VLOOKUP('Données projet'!$B$16,Paramètres!$A$1:$I$89,3,0)*0.475*44/12</f>
        <v>0</v>
      </c>
      <c r="FS15" s="23">
        <f>EXP(-LN(2)/2)*FS14+(1-EXP(-LN(2)/2))/(LN(2)/2)*FM15*FP15*VLOOKUP('Données projet'!$B$16,Paramètres!$A$1:$I$89,3,0)*0.475*44/12</f>
        <v>0</v>
      </c>
      <c r="FT15" s="24">
        <f t="shared" si="24"/>
        <v>0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53.490425370202217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3.65</v>
      </c>
      <c r="FZ15" s="13">
        <f>IF('Données projet'!$A$244&gt;35,FZ14+FY15-GH14,IF(A15&lt;'Données projet'!$A$244,$FW$205^A15,IF(A15='Données projet'!$A$244,'Données projet'!$B$244,FZ14+FY15-GH14)))</f>
        <v>13.121809125710287</v>
      </c>
      <c r="GA15" s="18">
        <f>FZ15*VLOOKUP('Données projet'!$B$17,Paramètres!$A$1:$I$89,3,0)*VLOOKUP('Données projet'!$B$17,Paramètres!$A$1:$I$89,5,0)</f>
        <v>12.69141378638699</v>
      </c>
      <c r="GB15" s="14">
        <f t="shared" si="49"/>
        <v>4.3512446702837533</v>
      </c>
      <c r="GC15" s="22">
        <f t="shared" si="25"/>
        <v>29.682630145368211</v>
      </c>
      <c r="GD15" s="62">
        <f t="shared" si="26"/>
        <v>240.48085650277633</v>
      </c>
      <c r="GE15" s="62">
        <f ca="1">AVERAGE(OFFSET($GD$3,0,0,'Données projet'!$E$17+1,1))-AVERAGE(OFFSET($H$3,0,0,'Données projet'!$E$17+1,1))</f>
        <v>578.44111602076555</v>
      </c>
      <c r="GF15" s="62">
        <f t="shared" si="50"/>
        <v>368.08542661432784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>
        <f>EXP(-LN(2)/35)*GL14+(1-EXP(-LN(2)/35))/(LN(2)/35)*GH15*GI15*VLOOKUP('Données projet'!$B$17,Paramètres!$A$1:$I$89,3,0)*0.475*44/12</f>
        <v>0</v>
      </c>
      <c r="GM15" s="23">
        <f>EXP(-LN(2)/25)*GM14+(1-EXP(-LN(2)/25))/(LN(2)/25)*Calculateur!GH15*Calculateur!GJ15*VLOOKUP('Données projet'!$B$17,Paramètres!$A$1:$I$89,3,0)*0.475*44/12</f>
        <v>0</v>
      </c>
      <c r="GN15" s="23">
        <f>EXP(-LN(2)/2)*GN14+(1-EXP(-LN(2)/2))/(LN(2)/2)*GH15*GK15*VLOOKUP('Données projet'!$B$17,Paramètres!$A$1:$I$89,3,0)*0.475*44/12</f>
        <v>0</v>
      </c>
      <c r="GO15" s="23">
        <f t="shared" si="27"/>
        <v>0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53.490425370202217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4.0735000000000001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14.936166666666667</v>
      </c>
      <c r="H16" s="70">
        <f t="shared" si="1"/>
        <v>196.922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53.776829580149837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3.65</v>
      </c>
      <c r="N16" s="14">
        <f>IF('Données projet'!$A$36&gt;35,N15+M16-V15,IF(A16&lt;'Données projet'!$A$36,$K$205^A16,IF(A16='Données projet'!$A$36,'Données projet'!$B$36,N15+M16-V15)))</f>
        <v>16.261472127148366</v>
      </c>
      <c r="O16" s="14">
        <f>N16*VLOOKUP('Données projet'!$B$9,Paramètres!$A$1:$I$89,3,0)*VLOOKUP('Données projet'!$B$9,Paramètres!$A$1:$I$89,5,0)</f>
        <v>14.713379980643843</v>
      </c>
      <c r="P16" s="14">
        <f t="shared" si="33"/>
        <v>4.9584140165447881</v>
      </c>
      <c r="Q16" s="22">
        <f t="shared" si="2"/>
        <v>34.261707878436859</v>
      </c>
      <c r="R16" s="62">
        <f t="shared" si="0"/>
        <v>247.33230522787517</v>
      </c>
      <c r="S16" s="62">
        <f ca="1">AVERAGE(OFFSET($R$3,0,0,'Données projet'!$E$9+1,1))-AVERAGE(OFFSET($H$3,0,0,'Données projet'!$E$9+1,1))</f>
        <v>546.11281471711925</v>
      </c>
      <c r="T16" s="62">
        <f t="shared" si="34"/>
        <v>348.18069831447099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53.776829580149837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2.8</v>
      </c>
      <c r="AI16" s="14">
        <f>IF('Données projet'!$A$62&gt;35,AI15+AH16-AQ15,IF(A16&lt;'Données projet'!$A$62,$AF$205^A16,IF(A16='Données projet'!$A$62,'Données projet'!$B$62,AI15+AH16-AQ15)))</f>
        <v>13.687439657435972</v>
      </c>
      <c r="AJ16" s="14">
        <f>AI16*VLOOKUP('Données projet'!$B$10,Paramètres!$A$1:$I$89,3,0)*VLOOKUP('Données projet'!$B$10,Paramètres!$A$1:$I$89,5,0)</f>
        <v>11.743823226080066</v>
      </c>
      <c r="AK16" s="14">
        <f t="shared" si="35"/>
        <v>4.0628963576462231</v>
      </c>
      <c r="AL16" s="22">
        <f t="shared" si="4"/>
        <v>27.530036608323286</v>
      </c>
      <c r="AM16" s="62">
        <f t="shared" si="5"/>
        <v>240.6006339577616</v>
      </c>
      <c r="AN16" s="62">
        <f ca="1">AVERAGE(OFFSET($AM$3,0,0,'Données projet'!$E$10+1,1))-AVERAGE(OFFSET($H$3,0,0,'Données projet'!$E$10+1,1))</f>
        <v>693.87994318348024</v>
      </c>
      <c r="AO16" s="62">
        <f t="shared" si="36"/>
        <v>327.71043739333641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53.776829580149837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3.65</v>
      </c>
      <c r="BD16" s="13">
        <f>IF('Données projet'!$A$88&gt;35,BD15+BC16-BL15,IF(A16&lt;'Données projet'!$A$88,$BA$205^A16,IF(A16='Données projet'!$A$88,'Données projet'!$B$88,BD15+BC16-BL15)))</f>
        <v>16.261472127148366</v>
      </c>
      <c r="BE16" s="14">
        <f>BD16*VLOOKUP('Données projet'!$B$11,Paramètres!$A$1:$I$89,3,0)*VLOOKUP('Données projet'!$B$11,Paramètres!$A$1:$I$89,5,0)</f>
        <v>13.698664119909786</v>
      </c>
      <c r="BF16" s="14">
        <f t="shared" si="37"/>
        <v>4.6550134230463893</v>
      </c>
      <c r="BG16" s="22">
        <f t="shared" si="7"/>
        <v>31.965988387315338</v>
      </c>
      <c r="BH16" s="62">
        <f t="shared" si="8"/>
        <v>245.03658573675366</v>
      </c>
      <c r="BI16" s="62">
        <f ca="1">AVERAGE(OFFSET($BH$3,0,0,'Données projet'!$E$11+1,1))-AVERAGE(OFFSET($H$3,0,0,'Données projet'!$E$11+1,1))</f>
        <v>513.7388209355762</v>
      </c>
      <c r="BJ16" s="62">
        <f t="shared" si="38"/>
        <v>328.24603121433927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53.776829580149837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14.5</v>
      </c>
      <c r="BY16" s="13">
        <f>IF('Données projet'!$A$114&gt;35,BY15+BX16-CG15,IF(A16&lt;'Données projet'!$A$114,$BV$205^A16,IF(A16='Données projet'!$A$114,'Données projet'!$B$114,BY15+BX16-CG15)))</f>
        <v>62.3</v>
      </c>
      <c r="BZ16" s="14">
        <f>BY16*VLOOKUP('Données projet'!$B$12,Paramètres!$A$1:$I$89,3,0)*VLOOKUP('Données projet'!$B$12,Paramètres!$A$1:$I$89,5,0)</f>
        <v>49.56588</v>
      </c>
      <c r="CA16" s="14">
        <f t="shared" si="39"/>
        <v>14.501589443814026</v>
      </c>
      <c r="CB16" s="22">
        <f t="shared" si="10"/>
        <v>111.58417594797608</v>
      </c>
      <c r="CC16" s="62">
        <f t="shared" si="11"/>
        <v>324.65477329741441</v>
      </c>
      <c r="CD16" s="62">
        <f ca="1">AVERAGE(OFFSET($CC$3,0,0,'Données projet'!$E$12+1,1))-AVERAGE(OFFSET($H$3,0,0,'Données projet'!$E$12+1,1))</f>
        <v>447.25854887589878</v>
      </c>
      <c r="CE16" s="62">
        <f t="shared" si="40"/>
        <v>480.13390593590157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53.776829580149837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2.6666666666666665</v>
      </c>
      <c r="CT16" s="13">
        <f>IF('Données projet'!$A$140&gt;35,CT15+CS16-DB15,IF(A16&lt;'Données projet'!$A$140,$CQ$205^A16,IF(A16='Données projet'!$A$140,'Données projet'!$B$140,CT15+CS16-DB15)))</f>
        <v>24.459748796430759</v>
      </c>
      <c r="CU16" s="18">
        <f>CT16*VLOOKUP('Données projet'!$B$13,Paramètres!$A$1:$I$89,3,0)*VLOOKUP('Données projet'!$B$13,Paramètres!$A$1:$I$89,5,0)</f>
        <v>19.078604061215994</v>
      </c>
      <c r="CV16" s="14">
        <f t="shared" si="41"/>
        <v>6.2379664748280286</v>
      </c>
      <c r="CW16" s="22">
        <f t="shared" si="13"/>
        <v>44.093027016943331</v>
      </c>
      <c r="CX16" s="62">
        <f t="shared" si="14"/>
        <v>257.16362436638167</v>
      </c>
      <c r="CY16" s="62">
        <f ca="1">AVERAGE(OFFSET($CX$3,0,0,'Données projet'!$E$13+1,1))-AVERAGE(OFFSET($H$3,0,0,'Données projet'!$E$13+1,1))</f>
        <v>308.52515801950324</v>
      </c>
      <c r="CZ16" s="62">
        <f t="shared" si="42"/>
        <v>299.05420638408953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53.776829580149837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14.5</v>
      </c>
      <c r="DO16" s="13">
        <f>IF('Données projet'!$A$166&gt;35,DO15+DN16-DW15,IF(A16&lt;'Données projet'!$A$166,$DL$205^A16,IF(A16='Données projet'!$A$166,'Données projet'!$B$166,DO15+DN16-DW15)))</f>
        <v>62.3</v>
      </c>
      <c r="DP16" s="18">
        <f>DO16*VLOOKUP('Données projet'!$B$14,Paramètres!$A$1:$I$89,3,0)*VLOOKUP('Données projet'!$B$14,Paramètres!$A$1:$I$89,5,0)</f>
        <v>45.678359999999991</v>
      </c>
      <c r="DQ16" s="14">
        <f t="shared" si="43"/>
        <v>13.491873645720647</v>
      </c>
      <c r="DR16" s="22">
        <f t="shared" si="16"/>
        <v>103.0548235996301</v>
      </c>
      <c r="DS16" s="62">
        <f t="shared" si="17"/>
        <v>316.12542094906843</v>
      </c>
      <c r="DT16" s="62">
        <f ca="1">AVERAGE(OFFSET($DS$3,0,0,'Données projet'!$E$14+1,1))-AVERAGE(OFFSET($H$3,0,0,'Données projet'!$E$14+1,1))</f>
        <v>416.72317068678774</v>
      </c>
      <c r="DU16" s="62">
        <f t="shared" si="44"/>
        <v>447.32457429495537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53.776829580149837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3.9316239316239314</v>
      </c>
      <c r="EJ16" s="13">
        <f>IF('Données projet'!$A$192&gt;35,EJ15+EI16-ER15,IF(A16&lt;'Données projet'!$A$192,$EG$205^A16,IF(A16='Données projet'!$A$192,'Données projet'!$B$192,EJ15+EI16-ER15)))</f>
        <v>34.243235961041712</v>
      </c>
      <c r="EK16" s="18">
        <f>EJ16*VLOOKUP('Données projet'!$B$15,Paramètres!$A$1:$I$89,3,0)*VLOOKUP('Données projet'!$B$15,Paramètres!$A$1:$I$89,5,0)</f>
        <v>32.58586334052729</v>
      </c>
      <c r="EL16" s="14">
        <f t="shared" si="45"/>
        <v>10.010705703808886</v>
      </c>
      <c r="EM16" s="22">
        <f t="shared" si="19"/>
        <v>74.189024418885495</v>
      </c>
      <c r="EN16" s="62">
        <f t="shared" si="20"/>
        <v>287.25962176832383</v>
      </c>
      <c r="EO16" s="62">
        <f ca="1">AVERAGE(OFFSET($EN$3,0,0,'Données projet'!$E$15+1,1))-AVERAGE(OFFSET($H$3,0,0,'Données projet'!$E$15+1,1))</f>
        <v>454.78867027701426</v>
      </c>
      <c r="EP16" s="62">
        <f t="shared" si="46"/>
        <v>366.45346303927056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53.776829580149837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9.1025641025641022</v>
      </c>
      <c r="FE16" s="13">
        <f>IF('Données projet'!$A$218&gt;35,FE15+FD16-FM15,IF(A16&lt;'Données projet'!$A$218,$FB$205^A16,IF(A16='Données projet'!$A$218,'Données projet'!$B$218,FE15+FD16-FM15)))</f>
        <v>60</v>
      </c>
      <c r="FF16" s="18">
        <f>FE16*VLOOKUP('Données projet'!$B$16,Paramètres!$A$1:$I$89,3,0)*VLOOKUP('Données projet'!$B$16,Paramètres!$A$1:$I$89,5,0)</f>
        <v>40.248000000000005</v>
      </c>
      <c r="FG16" s="14">
        <f t="shared" si="47"/>
        <v>12.064355669675363</v>
      </c>
      <c r="FH16" s="22">
        <f t="shared" si="22"/>
        <v>91.110686124684605</v>
      </c>
      <c r="FI16" s="62">
        <f t="shared" si="23"/>
        <v>304.18128347412289</v>
      </c>
      <c r="FJ16" s="62">
        <f ca="1">AVERAGE(OFFSET($FI$3,0,0,'Données projet'!$E$16+1,1))-AVERAGE(OFFSET($H$3,0,0,'Données projet'!$E$16+1,1))</f>
        <v>390.05579539539576</v>
      </c>
      <c r="FK16" s="62">
        <f t="shared" si="48"/>
        <v>323.72278615226139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projet'!$B$16,Paramètres!$A$1:$I$89,3,0)*0.475*44/12</f>
        <v>0</v>
      </c>
      <c r="FR16" s="23">
        <f>EXP(-LN(2)/25)*FR15+(1-EXP(-LN(2)/25))/(LN(2)/25)*Calculateur!FM16*Calculateur!FO16*VLOOKUP('Données projet'!$B$16,Paramètres!$A$1:$I$89,3,0)*0.475*44/12</f>
        <v>0</v>
      </c>
      <c r="FS16" s="23">
        <f>EXP(-LN(2)/2)*FS15+(1-EXP(-LN(2)/2))/(LN(2)/2)*FM16*FP16*VLOOKUP('Données projet'!$B$16,Paramètres!$A$1:$I$89,3,0)*0.475*44/12</f>
        <v>0</v>
      </c>
      <c r="FT16" s="24">
        <f t="shared" si="24"/>
        <v>0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53.776829580149837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3.65</v>
      </c>
      <c r="FZ16" s="13">
        <f>IF('Données projet'!$A$244&gt;35,FZ15+FY16-GH15,IF(A16&lt;'Données projet'!$A$244,$FW$205^A16,IF(A16='Données projet'!$A$244,'Données projet'!$B$244,FZ15+FY16-GH15)))</f>
        <v>16.261472127148366</v>
      </c>
      <c r="GA16" s="18">
        <f>FZ16*VLOOKUP('Données projet'!$B$17,Paramètres!$A$1:$I$89,3,0)*VLOOKUP('Données projet'!$B$17,Paramètres!$A$1:$I$89,5,0)</f>
        <v>15.728095841377899</v>
      </c>
      <c r="GB16" s="14">
        <f t="shared" si="49"/>
        <v>5.2593867546400634</v>
      </c>
      <c r="GC16" s="22">
        <f t="shared" si="25"/>
        <v>36.553198854731285</v>
      </c>
      <c r="GD16" s="62">
        <f t="shared" si="26"/>
        <v>249.62379620416959</v>
      </c>
      <c r="GE16" s="62">
        <f ca="1">AVERAGE(OFFSET($GD$3,0,0,'Données projet'!$E$17+1,1))-AVERAGE(OFFSET($H$3,0,0,'Données projet'!$E$17+1,1))</f>
        <v>578.44111602076555</v>
      </c>
      <c r="GF16" s="62">
        <f t="shared" si="50"/>
        <v>368.08542661432784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>
        <f>EXP(-LN(2)/35)*GL15+(1-EXP(-LN(2)/35))/(LN(2)/35)*GH16*GI16*VLOOKUP('Données projet'!$B$17,Paramètres!$A$1:$I$89,3,0)*0.475*44/12</f>
        <v>0</v>
      </c>
      <c r="GM16" s="23">
        <f>EXP(-LN(2)/25)*GM15+(1-EXP(-LN(2)/25))/(LN(2)/25)*Calculateur!GH16*Calculateur!GJ16*VLOOKUP('Données projet'!$B$17,Paramètres!$A$1:$I$89,3,0)*0.475*44/12</f>
        <v>0</v>
      </c>
      <c r="GN16" s="23">
        <f>EXP(-LN(2)/2)*GN15+(1-EXP(-LN(2)/2))/(LN(2)/2)*GH16*GK16*VLOOKUP('Données projet'!$B$17,Paramètres!$A$1:$I$89,3,0)*0.475*44/12</f>
        <v>0</v>
      </c>
      <c r="GO16" s="23">
        <f t="shared" si="27"/>
        <v>0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53.776829580149837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4.0735000000000001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14.936166666666667</v>
      </c>
      <c r="H17" s="70">
        <f t="shared" si="1"/>
        <v>196.922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54.058265317358746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3.65</v>
      </c>
      <c r="N17" s="14">
        <f>IF('Données projet'!$A$36&gt;35,N16+M17-V16,IF(A17&lt;'Données projet'!$A$36,$K$205^A17,IF(A17='Données projet'!$A$36,'Données projet'!$B$36,N16+M17-V16)))</f>
        <v>20.152364144963837</v>
      </c>
      <c r="O17" s="14">
        <f>N17*VLOOKUP('Données projet'!$B$9,Paramètres!$A$1:$I$89,3,0)*VLOOKUP('Données projet'!$B$9,Paramètres!$A$1:$I$89,5,0)</f>
        <v>18.233859078363277</v>
      </c>
      <c r="P17" s="14">
        <f t="shared" si="33"/>
        <v>5.9932775513027368</v>
      </c>
      <c r="Q17" s="22">
        <f t="shared" si="2"/>
        <v>42.195596296668306</v>
      </c>
      <c r="R17" s="62">
        <f t="shared" si="0"/>
        <v>257.52034690476148</v>
      </c>
      <c r="S17" s="62">
        <f ca="1">AVERAGE(OFFSET($R$3,0,0,'Données projet'!$E$9+1,1))-AVERAGE(OFFSET($H$3,0,0,'Données projet'!$E$9+1,1))</f>
        <v>546.11281471711925</v>
      </c>
      <c r="T17" s="62">
        <f t="shared" si="34"/>
        <v>348.18069831447099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54.058265317358746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2.8</v>
      </c>
      <c r="AI17" s="14">
        <f>IF('Données projet'!$A$62&gt;35,AI16+AH17-AQ16,IF(A17&lt;'Données projet'!$A$62,$AF$205^A17,IF(A17='Données projet'!$A$62,'Données projet'!$B$62,AI16+AH17-AQ16)))</f>
        <v>16.739081308117708</v>
      </c>
      <c r="AJ17" s="14">
        <f>AI17*VLOOKUP('Données projet'!$B$10,Paramètres!$A$1:$I$89,3,0)*VLOOKUP('Données projet'!$B$10,Paramètres!$A$1:$I$89,5,0)</f>
        <v>14.362131762364994</v>
      </c>
      <c r="AK17" s="14">
        <f t="shared" si="35"/>
        <v>4.8536749785381312</v>
      </c>
      <c r="AL17" s="22">
        <f t="shared" si="4"/>
        <v>33.46753007373961</v>
      </c>
      <c r="AM17" s="62">
        <f t="shared" si="5"/>
        <v>248.79228068183278</v>
      </c>
      <c r="AN17" s="62">
        <f ca="1">AVERAGE(OFFSET($AM$3,0,0,'Données projet'!$E$10+1,1))-AVERAGE(OFFSET($H$3,0,0,'Données projet'!$E$10+1,1))</f>
        <v>693.87994318348024</v>
      </c>
      <c r="AO17" s="62">
        <f t="shared" si="36"/>
        <v>327.71043739333641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54.058265317358746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3.65</v>
      </c>
      <c r="BD17" s="13">
        <f>IF('Données projet'!$A$88&gt;35,BD16+BC17-BL16,IF(A17&lt;'Données projet'!$A$88,$BA$205^A17,IF(A17='Données projet'!$A$88,'Données projet'!$B$88,BD16+BC17-BL16)))</f>
        <v>20.152364144963837</v>
      </c>
      <c r="BE17" s="14">
        <f>BD17*VLOOKUP('Données projet'!$B$11,Paramètres!$A$1:$I$89,3,0)*VLOOKUP('Données projet'!$B$11,Paramètres!$A$1:$I$89,5,0)</f>
        <v>16.976351555717539</v>
      </c>
      <c r="BF17" s="14">
        <f t="shared" si="37"/>
        <v>5.6265546516016363</v>
      </c>
      <c r="BG17" s="22">
        <f t="shared" si="7"/>
        <v>39.366728311080898</v>
      </c>
      <c r="BH17" s="62">
        <f t="shared" si="8"/>
        <v>254.69147891917405</v>
      </c>
      <c r="BI17" s="62">
        <f ca="1">AVERAGE(OFFSET($BH$3,0,0,'Données projet'!$E$11+1,1))-AVERAGE(OFFSET($H$3,0,0,'Données projet'!$E$11+1,1))</f>
        <v>513.7388209355762</v>
      </c>
      <c r="BJ17" s="62">
        <f t="shared" si="38"/>
        <v>328.24603121433927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54.058265317358746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14.5</v>
      </c>
      <c r="BY17" s="13">
        <f>IF('Données projet'!$A$114&gt;35,BY16+BX17-CG16,IF(A17&lt;'Données projet'!$A$114,$BV$205^A17,IF(A17='Données projet'!$A$114,'Données projet'!$B$114,BY16+BX17-CG16)))</f>
        <v>76.8</v>
      </c>
      <c r="BZ17" s="14">
        <f>BY17*VLOOKUP('Données projet'!$B$12,Paramètres!$A$1:$I$89,3,0)*VLOOKUP('Données projet'!$B$12,Paramètres!$A$1:$I$89,5,0)</f>
        <v>61.102080000000001</v>
      </c>
      <c r="CA17" s="14">
        <f t="shared" si="39"/>
        <v>17.446613559244284</v>
      </c>
      <c r="CB17" s="22">
        <f t="shared" si="10"/>
        <v>136.80564128235048</v>
      </c>
      <c r="CC17" s="62">
        <f t="shared" si="11"/>
        <v>352.13039189044366</v>
      </c>
      <c r="CD17" s="62">
        <f ca="1">AVERAGE(OFFSET($CC$3,0,0,'Données projet'!$E$12+1,1))-AVERAGE(OFFSET($H$3,0,0,'Données projet'!$E$12+1,1))</f>
        <v>447.25854887589878</v>
      </c>
      <c r="CE17" s="62">
        <f t="shared" si="40"/>
        <v>480.13390593590157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54.058265317358746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2.6666666666666665</v>
      </c>
      <c r="CT17" s="13">
        <f>IF('Données projet'!$A$140&gt;35,CT16+CS17-DB16,IF(A17&lt;'Données projet'!$A$140,$CQ$205^A17,IF(A17='Données projet'!$A$140,'Données projet'!$B$140,CT16+CS17-DB16)))</f>
        <v>31.279225563578599</v>
      </c>
      <c r="CU17" s="18">
        <f>CT17*VLOOKUP('Données projet'!$B$13,Paramètres!$A$1:$I$89,3,0)*VLOOKUP('Données projet'!$B$13,Paramètres!$A$1:$I$89,5,0)</f>
        <v>24.397795939591308</v>
      </c>
      <c r="CV17" s="14">
        <f t="shared" si="41"/>
        <v>7.75202295846145</v>
      </c>
      <c r="CW17" s="22">
        <f t="shared" si="13"/>
        <v>55.994267914108548</v>
      </c>
      <c r="CX17" s="62">
        <f t="shared" si="14"/>
        <v>271.3190185222017</v>
      </c>
      <c r="CY17" s="62">
        <f ca="1">AVERAGE(OFFSET($CX$3,0,0,'Données projet'!$E$13+1,1))-AVERAGE(OFFSET($H$3,0,0,'Données projet'!$E$13+1,1))</f>
        <v>308.52515801950324</v>
      </c>
      <c r="CZ17" s="62">
        <f t="shared" si="42"/>
        <v>299.05420638408953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54.058265317358746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14.5</v>
      </c>
      <c r="DO17" s="13">
        <f>IF('Données projet'!$A$166&gt;35,DO16+DN17-DW16,IF(A17&lt;'Données projet'!$A$166,$DL$205^A17,IF(A17='Données projet'!$A$166,'Données projet'!$B$166,DO16+DN17-DW16)))</f>
        <v>76.8</v>
      </c>
      <c r="DP17" s="18">
        <f>DO17*VLOOKUP('Données projet'!$B$14,Paramètres!$A$1:$I$89,3,0)*VLOOKUP('Données projet'!$B$14,Paramètres!$A$1:$I$89,5,0)</f>
        <v>56.309759999999997</v>
      </c>
      <c r="DQ17" s="14">
        <f t="shared" si="43"/>
        <v>16.231841799069148</v>
      </c>
      <c r="DR17" s="22">
        <f t="shared" si="16"/>
        <v>126.3432898000454</v>
      </c>
      <c r="DS17" s="62">
        <f t="shared" si="17"/>
        <v>341.66804040813855</v>
      </c>
      <c r="DT17" s="62">
        <f ca="1">AVERAGE(OFFSET($DS$3,0,0,'Données projet'!$E$14+1,1))-AVERAGE(OFFSET($H$3,0,0,'Données projet'!$E$14+1,1))</f>
        <v>416.72317068678774</v>
      </c>
      <c r="DU17" s="62">
        <f t="shared" si="44"/>
        <v>447.32457429495537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54.058265317358746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3.9316239316239314</v>
      </c>
      <c r="EJ17" s="13">
        <f>IF('Données projet'!$A$192&gt;35,EJ16+EI17-ER16,IF(A17&lt;'Données projet'!$A$192,$EG$205^A17,IF(A17='Données projet'!$A$192,'Données projet'!$B$192,EJ16+EI17-ER16)))</f>
        <v>44.938545704218711</v>
      </c>
      <c r="EK17" s="18">
        <f>EJ17*VLOOKUP('Données projet'!$B$15,Paramètres!$A$1:$I$89,3,0)*VLOOKUP('Données projet'!$B$15,Paramètres!$A$1:$I$89,5,0)</f>
        <v>42.763520092134527</v>
      </c>
      <c r="EL17" s="14">
        <f t="shared" si="45"/>
        <v>12.728246068838816</v>
      </c>
      <c r="EM17" s="22">
        <f t="shared" si="19"/>
        <v>96.648159397028564</v>
      </c>
      <c r="EN17" s="62">
        <f t="shared" si="20"/>
        <v>311.97291000512172</v>
      </c>
      <c r="EO17" s="62">
        <f ca="1">AVERAGE(OFFSET($EN$3,0,0,'Données projet'!$E$15+1,1))-AVERAGE(OFFSET($H$3,0,0,'Données projet'!$E$15+1,1))</f>
        <v>454.78867027701426</v>
      </c>
      <c r="EP17" s="62">
        <f t="shared" si="46"/>
        <v>366.45346303927056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54.058265317358746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9.1025641025641022</v>
      </c>
      <c r="FE17" s="13">
        <f>IF('Données projet'!$A$218&gt;35,FE16+FD17-FM16,IF(A17&lt;'Données projet'!$A$218,$FB$205^A17,IF(A17='Données projet'!$A$218,'Données projet'!$B$218,FE16+FD17-FM16)))</f>
        <v>69.102564102564102</v>
      </c>
      <c r="FF17" s="18">
        <f>FE17*VLOOKUP('Données projet'!$B$16,Paramètres!$A$1:$I$89,3,0)*VLOOKUP('Données projet'!$B$16,Paramètres!$A$1:$I$89,5,0)</f>
        <v>46.353999999999999</v>
      </c>
      <c r="FG17" s="14">
        <f t="shared" si="47"/>
        <v>13.668055364575761</v>
      </c>
      <c r="FH17" s="22">
        <f t="shared" si="22"/>
        <v>104.53841309330278</v>
      </c>
      <c r="FI17" s="62">
        <f t="shared" si="23"/>
        <v>319.86316370139593</v>
      </c>
      <c r="FJ17" s="62">
        <f ca="1">AVERAGE(OFFSET($FI$3,0,0,'Données projet'!$E$16+1,1))-AVERAGE(OFFSET($H$3,0,0,'Données projet'!$E$16+1,1))</f>
        <v>390.05579539539576</v>
      </c>
      <c r="FK17" s="62">
        <f t="shared" si="48"/>
        <v>323.72278615226139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projet'!$B$16,Paramètres!$A$1:$I$89,3,0)*0.475*44/12</f>
        <v>0</v>
      </c>
      <c r="FR17" s="23">
        <f>EXP(-LN(2)/25)*FR16+(1-EXP(-LN(2)/25))/(LN(2)/25)*Calculateur!FM17*Calculateur!FO17*VLOOKUP('Données projet'!$B$16,Paramètres!$A$1:$I$89,3,0)*0.475*44/12</f>
        <v>0</v>
      </c>
      <c r="FS17" s="23">
        <f>EXP(-LN(2)/2)*FS16+(1-EXP(-LN(2)/2))/(LN(2)/2)*FM17*FP17*VLOOKUP('Données projet'!$B$16,Paramètres!$A$1:$I$89,3,0)*0.475*44/12</f>
        <v>0</v>
      </c>
      <c r="FT17" s="24">
        <f t="shared" si="24"/>
        <v>0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54.058265317358746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3.65</v>
      </c>
      <c r="FZ17" s="13">
        <f>IF('Données projet'!$A$244&gt;35,FZ16+FY17-GH16,IF(A17&lt;'Données projet'!$A$244,$FW$205^A17,IF(A17='Données projet'!$A$244,'Données projet'!$B$244,FZ16+FY17-GH16)))</f>
        <v>20.152364144963837</v>
      </c>
      <c r="GA17" s="18">
        <f>FZ17*VLOOKUP('Données projet'!$B$17,Paramètres!$A$1:$I$89,3,0)*VLOOKUP('Données projet'!$B$17,Paramètres!$A$1:$I$89,5,0)</f>
        <v>19.491366601009023</v>
      </c>
      <c r="GB17" s="14">
        <f t="shared" si="49"/>
        <v>6.3570658813537859</v>
      </c>
      <c r="GC17" s="22">
        <f t="shared" si="25"/>
        <v>45.01935324011523</v>
      </c>
      <c r="GD17" s="62">
        <f t="shared" si="26"/>
        <v>260.34410384820836</v>
      </c>
      <c r="GE17" s="62">
        <f ca="1">AVERAGE(OFFSET($GD$3,0,0,'Données projet'!$E$17+1,1))-AVERAGE(OFFSET($H$3,0,0,'Données projet'!$E$17+1,1))</f>
        <v>578.44111602076555</v>
      </c>
      <c r="GF17" s="62">
        <f t="shared" si="50"/>
        <v>368.08542661432784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>
        <f>EXP(-LN(2)/35)*GL16+(1-EXP(-LN(2)/35))/(LN(2)/35)*GH17*GI17*VLOOKUP('Données projet'!$B$17,Paramètres!$A$1:$I$89,3,0)*0.475*44/12</f>
        <v>0</v>
      </c>
      <c r="GM17" s="23">
        <f>EXP(-LN(2)/25)*GM16+(1-EXP(-LN(2)/25))/(LN(2)/25)*Calculateur!GH17*Calculateur!GJ17*VLOOKUP('Données projet'!$B$17,Paramètres!$A$1:$I$89,3,0)*0.475*44/12</f>
        <v>0</v>
      </c>
      <c r="GN17" s="23">
        <f>EXP(-LN(2)/2)*GN16+(1-EXP(-LN(2)/2))/(LN(2)/2)*GH17*GK17*VLOOKUP('Données projet'!$B$17,Paramètres!$A$1:$I$89,3,0)*0.475*44/12</f>
        <v>0</v>
      </c>
      <c r="GO17" s="23">
        <f t="shared" si="27"/>
        <v>0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54.058265317358746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4.0735000000000001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14.936166666666667</v>
      </c>
      <c r="H18" s="70">
        <f t="shared" si="1"/>
        <v>196.922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54.334818773723143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3.65</v>
      </c>
      <c r="N18" s="14">
        <f>IF('Données projet'!$A$36&gt;35,N17+M18-V17,IF(A18&lt;'Données projet'!$A$36,$K$205^A18,IF(A18='Données projet'!$A$36,'Données projet'!$B$36,N17+M18-V17)))</f>
        <v>24.974232188561476</v>
      </c>
      <c r="O18" s="14">
        <f>N18*VLOOKUP('Données projet'!$B$9,Paramètres!$A$1:$I$89,3,0)*VLOOKUP('Données projet'!$B$9,Paramètres!$A$1:$I$89,5,0)</f>
        <v>22.596685284210423</v>
      </c>
      <c r="P18" s="14">
        <f t="shared" si="33"/>
        <v>7.2441259820371586</v>
      </c>
      <c r="Q18" s="22">
        <f t="shared" si="2"/>
        <v>51.972746288714539</v>
      </c>
      <c r="R18" s="62">
        <f t="shared" si="0"/>
        <v>269.53374845903272</v>
      </c>
      <c r="S18" s="62">
        <f ca="1">AVERAGE(OFFSET($R$3,0,0,'Données projet'!$E$9+1,1))-AVERAGE(OFFSET($H$3,0,0,'Données projet'!$E$9+1,1))</f>
        <v>546.11281471711925</v>
      </c>
      <c r="T18" s="62">
        <f t="shared" si="34"/>
        <v>348.18069831447099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54.334818773723143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2.8</v>
      </c>
      <c r="AI18" s="14">
        <f>IF('Données projet'!$A$62&gt;35,AI17+AH18-AQ17,IF(A18&lt;'Données projet'!$A$62,$AF$205^A18,IF(A18='Données projet'!$A$62,'Données projet'!$B$62,AI17+AH18-AQ17)))</f>
        <v>20.471092479852732</v>
      </c>
      <c r="AJ18" s="14">
        <f>AI18*VLOOKUP('Données projet'!$B$10,Paramètres!$A$1:$I$89,3,0)*VLOOKUP('Données projet'!$B$10,Paramètres!$A$1:$I$89,5,0)</f>
        <v>17.564197347713648</v>
      </c>
      <c r="AK18" s="14">
        <f t="shared" si="35"/>
        <v>5.7983661712048189</v>
      </c>
      <c r="AL18" s="22">
        <f t="shared" si="4"/>
        <v>40.689798128782996</v>
      </c>
      <c r="AM18" s="62">
        <f t="shared" si="5"/>
        <v>258.25080029910117</v>
      </c>
      <c r="AN18" s="62">
        <f ca="1">AVERAGE(OFFSET($AM$3,0,0,'Données projet'!$E$10+1,1))-AVERAGE(OFFSET($H$3,0,0,'Données projet'!$E$10+1,1))</f>
        <v>693.87994318348024</v>
      </c>
      <c r="AO18" s="62">
        <f t="shared" si="36"/>
        <v>327.71043739333641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54.334818773723143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3.65</v>
      </c>
      <c r="BD18" s="13">
        <f>IF('Données projet'!$A$88&gt;35,BD17+BC18-BL17,IF(A18&lt;'Données projet'!$A$88,$BA$205^A18,IF(A18='Données projet'!$A$88,'Données projet'!$B$88,BD17+BC18-BL17)))</f>
        <v>24.974232188561476</v>
      </c>
      <c r="BE18" s="14">
        <f>BD18*VLOOKUP('Données projet'!$B$11,Paramètres!$A$1:$I$89,3,0)*VLOOKUP('Données projet'!$B$11,Paramètres!$A$1:$I$89,5,0)</f>
        <v>21.03829319564419</v>
      </c>
      <c r="BF18" s="14">
        <f t="shared" si="37"/>
        <v>6.8008648676982615</v>
      </c>
      <c r="BG18" s="22">
        <f t="shared" si="7"/>
        <v>48.486533626988098</v>
      </c>
      <c r="BH18" s="62">
        <f t="shared" si="8"/>
        <v>266.0475357973063</v>
      </c>
      <c r="BI18" s="62">
        <f ca="1">AVERAGE(OFFSET($BH$3,0,0,'Données projet'!$E$11+1,1))-AVERAGE(OFFSET($H$3,0,0,'Données projet'!$E$11+1,1))</f>
        <v>513.7388209355762</v>
      </c>
      <c r="BJ18" s="62">
        <f t="shared" si="38"/>
        <v>328.24603121433927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54.334818773723143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91.3</v>
      </c>
      <c r="BW18" s="13">
        <f>VLOOKUP(A18,'Données projet'!$A$113:$I$133,9,0)</f>
        <v>14.5</v>
      </c>
      <c r="BX18" s="13">
        <f t="array" ref="BX18">INDEX(BW:BW,MIN(IF(ISNUMBER(BW18:BW214),ROW(BW18:BW214),"")))</f>
        <v>14.5</v>
      </c>
      <c r="BY18" s="13">
        <f>IF('Données projet'!$A$114&gt;35,BY17+BX18-CG17,IF(A18&lt;'Données projet'!$A$114,$BV$205^A18,IF(A18='Données projet'!$A$114,'Données projet'!$B$114,BY17+BX18-CG17)))</f>
        <v>91.3</v>
      </c>
      <c r="BZ18" s="14">
        <f>BY18*VLOOKUP('Données projet'!$B$12,Paramètres!$A$1:$I$89,3,0)*VLOOKUP('Données projet'!$B$12,Paramètres!$A$1:$I$89,5,0)</f>
        <v>72.638280000000009</v>
      </c>
      <c r="CA18" s="14">
        <f t="shared" si="39"/>
        <v>20.327218084473181</v>
      </c>
      <c r="CB18" s="22">
        <f t="shared" si="10"/>
        <v>161.91490916379078</v>
      </c>
      <c r="CC18" s="62">
        <f t="shared" si="11"/>
        <v>379.47591133410896</v>
      </c>
      <c r="CD18" s="62">
        <f ca="1">AVERAGE(OFFSET($CC$3,0,0,'Données projet'!$E$12+1,1))-AVERAGE(OFFSET($H$3,0,0,'Données projet'!$E$12+1,1))</f>
        <v>447.25854887589878</v>
      </c>
      <c r="CE18" s="62">
        <f t="shared" si="40"/>
        <v>480.13390593590157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54.334818773723143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40</v>
      </c>
      <c r="CR18" s="13">
        <f>VLOOKUP(A18,'Données projet'!$A$139:$I$159,9,0)</f>
        <v>2.6666666666666665</v>
      </c>
      <c r="CS18" s="13">
        <f t="array" ref="CS18">INDEX(CR:CR,MIN(IF(ISNUMBER(CR18:CR214),ROW(CR18:CR214),"")))</f>
        <v>2.6666666666666665</v>
      </c>
      <c r="CT18" s="13">
        <f>IF('Données projet'!$A$140&gt;35,CT17+CS18-DB17,IF(A18&lt;'Données projet'!$A$140,$CQ$205^A18,IF(A18='Données projet'!$A$140,'Données projet'!$B$140,CT17+CS18-DB17)))</f>
        <v>40</v>
      </c>
      <c r="CU18" s="18">
        <f>CT18*VLOOKUP('Données projet'!$B$13,Paramètres!$A$1:$I$89,3,0)*VLOOKUP('Données projet'!$B$13,Paramètres!$A$1:$I$89,5,0)</f>
        <v>31.200000000000003</v>
      </c>
      <c r="CV18" s="14">
        <f t="shared" si="41"/>
        <v>9.6335657126419925</v>
      </c>
      <c r="CW18" s="22">
        <f t="shared" si="13"/>
        <v>71.118460282851473</v>
      </c>
      <c r="CX18" s="62">
        <f t="shared" si="14"/>
        <v>288.67946245316966</v>
      </c>
      <c r="CY18" s="62">
        <f ca="1">AVERAGE(OFFSET($CX$3,0,0,'Données projet'!$E$13+1,1))-AVERAGE(OFFSET($H$3,0,0,'Données projet'!$E$13+1,1))</f>
        <v>308.52515801950324</v>
      </c>
      <c r="CZ18" s="62">
        <f t="shared" si="42"/>
        <v>299.05420638408953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54.334818773723143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>
        <f>VLOOKUP(A18,'Données projet'!$A$165:$I$185,2,0)</f>
        <v>91.3</v>
      </c>
      <c r="DM18" s="13">
        <f>VLOOKUP(A18,'Données projet'!$A$165:$I$185,9,0)</f>
        <v>14.5</v>
      </c>
      <c r="DN18" s="13">
        <f t="array" ref="DN18">INDEX(DM:DM,MIN(IF(ISNUMBER(DM18:DM214),ROW(DM18:DM214),"")))</f>
        <v>14.5</v>
      </c>
      <c r="DO18" s="13">
        <f>IF('Données projet'!$A$166&gt;35,DO17+DN18-DW17,IF(A18&lt;'Données projet'!$A$166,$DL$205^A18,IF(A18='Données projet'!$A$166,'Données projet'!$B$166,DO17+DN18-DW17)))</f>
        <v>91.3</v>
      </c>
      <c r="DP18" s="18">
        <f>DO18*VLOOKUP('Données projet'!$B$14,Paramètres!$A$1:$I$89,3,0)*VLOOKUP('Données projet'!$B$14,Paramètres!$A$1:$I$89,5,0)</f>
        <v>66.941159999999996</v>
      </c>
      <c r="DQ18" s="14">
        <f t="shared" si="43"/>
        <v>18.911875765570539</v>
      </c>
      <c r="DR18" s="22">
        <f t="shared" si="16"/>
        <v>149.52737062503533</v>
      </c>
      <c r="DS18" s="62">
        <f t="shared" si="17"/>
        <v>367.08837279535351</v>
      </c>
      <c r="DT18" s="62">
        <f ca="1">AVERAGE(OFFSET($DS$3,0,0,'Données projet'!$E$14+1,1))-AVERAGE(OFFSET($H$3,0,0,'Données projet'!$E$14+1,1))</f>
        <v>416.72317068678774</v>
      </c>
      <c r="DU18" s="62">
        <f t="shared" si="44"/>
        <v>447.32457429495537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54.334818773723143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>
        <f>VLOOKUP(A18,'Données projet'!$A$191:$I$211,2,0)</f>
        <v>58.974358974358971</v>
      </c>
      <c r="EH18" s="13">
        <f>VLOOKUP(A18,'Données projet'!$A$191:$I$211,9,0)</f>
        <v>3.9316239316239314</v>
      </c>
      <c r="EI18" s="13">
        <f t="array" ref="EI18">INDEX(EH:EH,MIN(IF(ISNUMBER(EH18:EH214),ROW(EH18:EH214),"")))</f>
        <v>3.9316239316239314</v>
      </c>
      <c r="EJ18" s="13">
        <f>IF('Données projet'!$A$192&gt;35,EJ17+EI18-ER17,IF(A18&lt;'Données projet'!$A$192,$EG$205^A18,IF(A18='Données projet'!$A$192,'Données projet'!$B$192,EJ17+EI18-ER17)))</f>
        <v>58.974358974358971</v>
      </c>
      <c r="EK18" s="18">
        <f>EJ18*VLOOKUP('Données projet'!$B$15,Paramètres!$A$1:$I$89,3,0)*VLOOKUP('Données projet'!$B$15,Paramètres!$A$1:$I$89,5,0)</f>
        <v>56.12</v>
      </c>
      <c r="EL18" s="14">
        <f t="shared" si="45"/>
        <v>16.183499223962752</v>
      </c>
      <c r="EM18" s="22">
        <f t="shared" si="19"/>
        <v>125.92859448173512</v>
      </c>
      <c r="EN18" s="62">
        <f t="shared" si="20"/>
        <v>343.48959665205331</v>
      </c>
      <c r="EO18" s="62">
        <f ca="1">AVERAGE(OFFSET($EN$3,0,0,'Données projet'!$E$15+1,1))-AVERAGE(OFFSET($H$3,0,0,'Données projet'!$E$15+1,1))</f>
        <v>454.78867027701426</v>
      </c>
      <c r="EP18" s="62">
        <f t="shared" si="46"/>
        <v>366.45346303927056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54.334818773723143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>
        <f>VLOOKUP(A18,'Données projet'!$A$217:$I$237,2,0)</f>
        <v>78.205128205128204</v>
      </c>
      <c r="FC18" s="13">
        <f>VLOOKUP(A18,'Données projet'!$A$217:$I$237,9,0)</f>
        <v>9.1025641025641022</v>
      </c>
      <c r="FD18" s="13">
        <f t="array" ref="FD18">INDEX(FC:FC,MIN(IF(ISNUMBER(FC18:FC214),ROW(FC18:FC214),"")))</f>
        <v>9.1025641025641022</v>
      </c>
      <c r="FE18" s="13">
        <f>IF('Données projet'!$A$218&gt;35,FE17+FD18-FM17,IF(A18&lt;'Données projet'!$A$218,$FB$205^A18,IF(A18='Données projet'!$A$218,'Données projet'!$B$218,FE17+FD18-FM17)))</f>
        <v>78.205128205128204</v>
      </c>
      <c r="FF18" s="18">
        <f>FE18*VLOOKUP('Données projet'!$B$16,Paramètres!$A$1:$I$89,3,0)*VLOOKUP('Données projet'!$B$16,Paramètres!$A$1:$I$89,5,0)</f>
        <v>52.459999999999994</v>
      </c>
      <c r="FG18" s="14">
        <f t="shared" si="47"/>
        <v>15.247278696731632</v>
      </c>
      <c r="FH18" s="22">
        <f t="shared" si="22"/>
        <v>117.92351039680756</v>
      </c>
      <c r="FI18" s="62">
        <f t="shared" si="23"/>
        <v>335.48451256712576</v>
      </c>
      <c r="FJ18" s="62">
        <f ca="1">AVERAGE(OFFSET($FI$3,0,0,'Données projet'!$E$16+1,1))-AVERAGE(OFFSET($H$3,0,0,'Données projet'!$E$16+1,1))</f>
        <v>390.05579539539576</v>
      </c>
      <c r="FK18" s="62">
        <f t="shared" si="48"/>
        <v>323.72278615226139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projet'!$B$16,Paramètres!$A$1:$I$89,3,0)*0.475*44/12</f>
        <v>0</v>
      </c>
      <c r="FR18" s="23">
        <f>EXP(-LN(2)/25)*FR17+(1-EXP(-LN(2)/25))/(LN(2)/25)*Calculateur!FM18*Calculateur!FO18*VLOOKUP('Données projet'!$B$16,Paramètres!$A$1:$I$89,3,0)*0.475*44/12</f>
        <v>0</v>
      </c>
      <c r="FS18" s="23">
        <f>EXP(-LN(2)/2)*FS17+(1-EXP(-LN(2)/2))/(LN(2)/2)*FM18*FP18*VLOOKUP('Données projet'!$B$16,Paramètres!$A$1:$I$89,3,0)*0.475*44/12</f>
        <v>0</v>
      </c>
      <c r="FT18" s="24">
        <f t="shared" si="24"/>
        <v>0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54.334818773723143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3.65</v>
      </c>
      <c r="FZ18" s="13">
        <f>IF('Données projet'!$A$244&gt;35,FZ17+FY18-GH17,IF(A18&lt;'Données projet'!$A$244,$FW$205^A18,IF(A18='Données projet'!$A$244,'Données projet'!$B$244,FZ17+FY18-GH17)))</f>
        <v>24.974232188561476</v>
      </c>
      <c r="GA18" s="18">
        <f>FZ18*VLOOKUP('Données projet'!$B$17,Paramètres!$A$1:$I$89,3,0)*VLOOKUP('Données projet'!$B$17,Paramètres!$A$1:$I$89,5,0)</f>
        <v>24.155077372776663</v>
      </c>
      <c r="GB18" s="14">
        <f t="shared" si="49"/>
        <v>7.6838400568695304</v>
      </c>
      <c r="GC18" s="22">
        <f t="shared" si="25"/>
        <v>55.452781189967119</v>
      </c>
      <c r="GD18" s="62">
        <f t="shared" si="26"/>
        <v>273.01378336028529</v>
      </c>
      <c r="GE18" s="62">
        <f ca="1">AVERAGE(OFFSET($GD$3,0,0,'Données projet'!$E$17+1,1))-AVERAGE(OFFSET($H$3,0,0,'Données projet'!$E$17+1,1))</f>
        <v>578.44111602076555</v>
      </c>
      <c r="GF18" s="62">
        <f t="shared" si="50"/>
        <v>368.08542661432784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>
        <f>EXP(-LN(2)/35)*GL17+(1-EXP(-LN(2)/35))/(LN(2)/35)*GH18*GI18*VLOOKUP('Données projet'!$B$17,Paramètres!$A$1:$I$89,3,0)*0.475*44/12</f>
        <v>0</v>
      </c>
      <c r="GM18" s="23">
        <f>EXP(-LN(2)/25)*GM17+(1-EXP(-LN(2)/25))/(LN(2)/25)*Calculateur!GH18*Calculateur!GJ18*VLOOKUP('Données projet'!$B$17,Paramètres!$A$1:$I$89,3,0)*0.475*44/12</f>
        <v>0</v>
      </c>
      <c r="GN18" s="23">
        <f>EXP(-LN(2)/2)*GN17+(1-EXP(-LN(2)/2))/(LN(2)/2)*GH18*GK18*VLOOKUP('Données projet'!$B$17,Paramètres!$A$1:$I$89,3,0)*0.475*44/12</f>
        <v>0</v>
      </c>
      <c r="GO18" s="23">
        <f t="shared" si="27"/>
        <v>0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54.334818773723143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4.0735000000000001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14.936166666666667</v>
      </c>
      <c r="H19" s="70">
        <f t="shared" si="1"/>
        <v>196.922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54.606574645900508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3.65</v>
      </c>
      <c r="N19" s="14">
        <f>IF('Données projet'!$A$36&gt;35,N18+M19-V18,IF(A19&lt;'Données projet'!$A$36,$K$205^A19,IF(A19='Données projet'!$A$36,'Données projet'!$B$36,N18+M19-V18)))</f>
        <v>30.949831440200953</v>
      </c>
      <c r="O19" s="14">
        <f>N19*VLOOKUP('Données projet'!$B$9,Paramètres!$A$1:$I$89,3,0)*VLOOKUP('Données projet'!$B$9,Paramètres!$A$1:$I$89,5,0)</f>
        <v>28.003407487093821</v>
      </c>
      <c r="P19" s="14">
        <f t="shared" si="33"/>
        <v>8.7560372090925433</v>
      </c>
      <c r="Q19" s="22">
        <f t="shared" si="2"/>
        <v>64.022699512524582</v>
      </c>
      <c r="R19" s="62">
        <f t="shared" si="0"/>
        <v>283.80236210304872</v>
      </c>
      <c r="S19" s="62">
        <f ca="1">AVERAGE(OFFSET($R$3,0,0,'Données projet'!$E$9+1,1))-AVERAGE(OFFSET($H$3,0,0,'Données projet'!$E$9+1,1))</f>
        <v>546.11281471711925</v>
      </c>
      <c r="T19" s="62">
        <f t="shared" si="34"/>
        <v>348.18069831447099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54.606574645900508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2.8</v>
      </c>
      <c r="AI19" s="14">
        <f>IF('Données projet'!$A$62&gt;35,AI18+AH19-AQ18,IF(A19&lt;'Données projet'!$A$62,$AF$205^A19,IF(A19='Données projet'!$A$62,'Données projet'!$B$62,AI18+AH19-AQ18)))</f>
        <v>25.035162898423533</v>
      </c>
      <c r="AJ19" s="14">
        <f>AI19*VLOOKUP('Données projet'!$B$10,Paramètres!$A$1:$I$89,3,0)*VLOOKUP('Données projet'!$B$10,Paramètres!$A$1:$I$89,5,0)</f>
        <v>21.480169766847393</v>
      </c>
      <c r="AK19" s="14">
        <f t="shared" si="35"/>
        <v>6.9269265873873334</v>
      </c>
      <c r="AL19" s="22">
        <f t="shared" si="4"/>
        <v>49.475692816958805</v>
      </c>
      <c r="AM19" s="62">
        <f t="shared" si="5"/>
        <v>269.25535540748291</v>
      </c>
      <c r="AN19" s="62">
        <f ca="1">AVERAGE(OFFSET($AM$3,0,0,'Données projet'!$E$10+1,1))-AVERAGE(OFFSET($H$3,0,0,'Données projet'!$E$10+1,1))</f>
        <v>693.87994318348024</v>
      </c>
      <c r="AO19" s="62">
        <f t="shared" si="36"/>
        <v>327.71043739333641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54.606574645900508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3.65</v>
      </c>
      <c r="BD19" s="13">
        <f>IF('Données projet'!$A$88&gt;35,BD18+BC19-BL18,IF(A19&lt;'Données projet'!$A$88,$BA$205^A19,IF(A19='Données projet'!$A$88,'Données projet'!$B$88,BD18+BC19-BL18)))</f>
        <v>30.949831440200953</v>
      </c>
      <c r="BE19" s="14">
        <f>BD19*VLOOKUP('Données projet'!$B$11,Paramètres!$A$1:$I$89,3,0)*VLOOKUP('Données projet'!$B$11,Paramètres!$A$1:$I$89,5,0)</f>
        <v>26.072138005225284</v>
      </c>
      <c r="BF19" s="14">
        <f t="shared" si="37"/>
        <v>8.2202636982343371</v>
      </c>
      <c r="BG19" s="22">
        <f t="shared" si="7"/>
        <v>59.725932966858835</v>
      </c>
      <c r="BH19" s="62">
        <f t="shared" si="8"/>
        <v>279.50559555738295</v>
      </c>
      <c r="BI19" s="62">
        <f ca="1">AVERAGE(OFFSET($BH$3,0,0,'Données projet'!$E$11+1,1))-AVERAGE(OFFSET($H$3,0,0,'Données projet'!$E$11+1,1))</f>
        <v>513.7388209355762</v>
      </c>
      <c r="BJ19" s="62">
        <f t="shared" si="38"/>
        <v>328.24603121433927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54.606574645900508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16.12</v>
      </c>
      <c r="BY19" s="13">
        <f>IF('Données projet'!$A$114&gt;35,BY18+BX19-CG18,IF(A19&lt;'Données projet'!$A$114,$BV$205^A19,IF(A19='Données projet'!$A$114,'Données projet'!$B$114,BY18+BX19-CG18)))</f>
        <v>107.42</v>
      </c>
      <c r="BZ19" s="14">
        <f>BY19*VLOOKUP('Données projet'!$B$12,Paramètres!$A$1:$I$89,3,0)*VLOOKUP('Données projet'!$B$12,Paramètres!$A$1:$I$89,5,0)</f>
        <v>85.463352</v>
      </c>
      <c r="CA19" s="14">
        <f t="shared" si="39"/>
        <v>23.467823020577434</v>
      </c>
      <c r="CB19" s="22">
        <f t="shared" si="10"/>
        <v>189.72179649417237</v>
      </c>
      <c r="CC19" s="62">
        <f t="shared" si="11"/>
        <v>409.50145908469648</v>
      </c>
      <c r="CD19" s="62">
        <f ca="1">AVERAGE(OFFSET($CC$3,0,0,'Données projet'!$E$12+1,1))-AVERAGE(OFFSET($H$3,0,0,'Données projet'!$E$12+1,1))</f>
        <v>447.25854887589878</v>
      </c>
      <c r="CE19" s="62">
        <f t="shared" si="40"/>
        <v>480.13390593590157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54.606574645900508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9.6</v>
      </c>
      <c r="CT19" s="13">
        <f>IF('Données projet'!$A$140&gt;35,CT18+CS19-DB18,IF(A19&lt;'Données projet'!$A$140,$CQ$205^A19,IF(A19='Données projet'!$A$140,'Données projet'!$B$140,CT18+CS19-DB18)))</f>
        <v>49.6</v>
      </c>
      <c r="CU19" s="18">
        <f>CT19*VLOOKUP('Données projet'!$B$13,Paramètres!$A$1:$I$89,3,0)*VLOOKUP('Données projet'!$B$13,Paramètres!$A$1:$I$89,5,0)</f>
        <v>38.688000000000002</v>
      </c>
      <c r="CV19" s="14">
        <f t="shared" si="41"/>
        <v>11.650229083154354</v>
      </c>
      <c r="CW19" s="22">
        <f t="shared" si="13"/>
        <v>87.672415653160499</v>
      </c>
      <c r="CX19" s="62">
        <f t="shared" si="14"/>
        <v>307.45207824368458</v>
      </c>
      <c r="CY19" s="62">
        <f ca="1">AVERAGE(OFFSET($CX$3,0,0,'Données projet'!$E$13+1,1))-AVERAGE(OFFSET($H$3,0,0,'Données projet'!$E$13+1,1))</f>
        <v>308.52515801950324</v>
      </c>
      <c r="CZ19" s="62">
        <f t="shared" si="42"/>
        <v>299.05420638408953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54.606574645900508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16.12</v>
      </c>
      <c r="DO19" s="13">
        <f>IF('Données projet'!$A$166&gt;35,DO18+DN19-DW18,IF(A19&lt;'Données projet'!$A$166,$DL$205^A19,IF(A19='Données projet'!$A$166,'Données projet'!$B$166,DO18+DN19-DW18)))</f>
        <v>107.42</v>
      </c>
      <c r="DP19" s="18">
        <f>DO19*VLOOKUP('Données projet'!$B$14,Paramètres!$A$1:$I$89,3,0)*VLOOKUP('Données projet'!$B$14,Paramètres!$A$1:$I$89,5,0)</f>
        <v>78.760344000000003</v>
      </c>
      <c r="DQ19" s="14">
        <f t="shared" si="43"/>
        <v>21.833806849967647</v>
      </c>
      <c r="DR19" s="22">
        <f t="shared" si="16"/>
        <v>175.20147939702699</v>
      </c>
      <c r="DS19" s="62">
        <f t="shared" si="17"/>
        <v>394.9811419875511</v>
      </c>
      <c r="DT19" s="62">
        <f ca="1">AVERAGE(OFFSET($DS$3,0,0,'Données projet'!$E$14+1,1))-AVERAGE(OFFSET($H$3,0,0,'Données projet'!$E$14+1,1))</f>
        <v>416.72317068678774</v>
      </c>
      <c r="DU19" s="62">
        <f t="shared" si="44"/>
        <v>447.32457429495537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54.606574645900508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8.0769230769230766</v>
      </c>
      <c r="EJ19" s="13">
        <f>IF('Données projet'!$A$192&gt;35,EJ18+EI19-ER18,IF(A19&lt;'Données projet'!$A$192,$EG$205^A19,IF(A19='Données projet'!$A$192,'Données projet'!$B$192,EJ18+EI19-ER18)))</f>
        <v>67.051282051282044</v>
      </c>
      <c r="EK19" s="18">
        <f>EJ19*VLOOKUP('Données projet'!$B$15,Paramètres!$A$1:$I$89,3,0)*VLOOKUP('Données projet'!$B$15,Paramètres!$A$1:$I$89,5,0)</f>
        <v>63.80599999999999</v>
      </c>
      <c r="EL19" s="14">
        <f t="shared" si="45"/>
        <v>18.127073827518107</v>
      </c>
      <c r="EM19" s="22">
        <f t="shared" si="19"/>
        <v>142.70010358292737</v>
      </c>
      <c r="EN19" s="62">
        <f t="shared" si="20"/>
        <v>362.47976617345148</v>
      </c>
      <c r="EO19" s="62">
        <f ca="1">AVERAGE(OFFSET($EN$3,0,0,'Données projet'!$E$15+1,1))-AVERAGE(OFFSET($H$3,0,0,'Données projet'!$E$15+1,1))</f>
        <v>454.78867027701426</v>
      </c>
      <c r="EP19" s="62">
        <f t="shared" si="46"/>
        <v>366.45346303927056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54.606574645900508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10</v>
      </c>
      <c r="FE19" s="13">
        <f>IF('Données projet'!$A$218&gt;35,FE18+FD19-FM18,IF(A19&lt;'Données projet'!$A$218,$FB$205^A19,IF(A19='Données projet'!$A$218,'Données projet'!$B$218,FE18+FD19-FM18)))</f>
        <v>88.205128205128204</v>
      </c>
      <c r="FF19" s="18">
        <f>FE19*VLOOKUP('Données projet'!$B$16,Paramètres!$A$1:$I$89,3,0)*VLOOKUP('Données projet'!$B$16,Paramètres!$A$1:$I$89,5,0)</f>
        <v>59.167999999999999</v>
      </c>
      <c r="FG19" s="14">
        <f t="shared" si="47"/>
        <v>16.957742660522214</v>
      </c>
      <c r="FH19" s="22">
        <f t="shared" si="22"/>
        <v>132.58566846707615</v>
      </c>
      <c r="FI19" s="62">
        <f t="shared" si="23"/>
        <v>352.36533105760026</v>
      </c>
      <c r="FJ19" s="62">
        <f ca="1">AVERAGE(OFFSET($FI$3,0,0,'Données projet'!$E$16+1,1))-AVERAGE(OFFSET($H$3,0,0,'Données projet'!$E$16+1,1))</f>
        <v>390.05579539539576</v>
      </c>
      <c r="FK19" s="62">
        <f t="shared" si="48"/>
        <v>323.72278615226139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projet'!$B$16,Paramètres!$A$1:$I$89,3,0)*0.475*44/12</f>
        <v>0</v>
      </c>
      <c r="FR19" s="23">
        <f>EXP(-LN(2)/25)*FR18+(1-EXP(-LN(2)/25))/(LN(2)/25)*Calculateur!FM19*Calculateur!FO19*VLOOKUP('Données projet'!$B$16,Paramètres!$A$1:$I$89,3,0)*0.475*44/12</f>
        <v>0</v>
      </c>
      <c r="FS19" s="23">
        <f>EXP(-LN(2)/2)*FS18+(1-EXP(-LN(2)/2))/(LN(2)/2)*FM19*FP19*VLOOKUP('Données projet'!$B$16,Paramètres!$A$1:$I$89,3,0)*0.475*44/12</f>
        <v>0</v>
      </c>
      <c r="FT19" s="24">
        <f t="shared" si="24"/>
        <v>0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54.606574645900508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3.65</v>
      </c>
      <c r="FZ19" s="13">
        <f>IF('Données projet'!$A$244&gt;35,FZ18+FY19-GH18,IF(A19&lt;'Données projet'!$A$244,$FW$205^A19,IF(A19='Données projet'!$A$244,'Données projet'!$B$244,FZ18+FY19-GH18)))</f>
        <v>30.949831440200953</v>
      </c>
      <c r="GA19" s="18">
        <f>FZ19*VLOOKUP('Données projet'!$B$17,Paramètres!$A$1:$I$89,3,0)*VLOOKUP('Données projet'!$B$17,Paramètres!$A$1:$I$89,5,0)</f>
        <v>29.934676968962361</v>
      </c>
      <c r="GB19" s="14">
        <f t="shared" si="49"/>
        <v>9.2875233828754098</v>
      </c>
      <c r="GC19" s="22">
        <f t="shared" si="25"/>
        <v>68.311998946117441</v>
      </c>
      <c r="GD19" s="62">
        <f t="shared" si="26"/>
        <v>288.09166153664154</v>
      </c>
      <c r="GE19" s="62">
        <f ca="1">AVERAGE(OFFSET($GD$3,0,0,'Données projet'!$E$17+1,1))-AVERAGE(OFFSET($H$3,0,0,'Données projet'!$E$17+1,1))</f>
        <v>578.44111602076555</v>
      </c>
      <c r="GF19" s="62">
        <f t="shared" si="50"/>
        <v>368.08542661432784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>
        <f>EXP(-LN(2)/35)*GL18+(1-EXP(-LN(2)/35))/(LN(2)/35)*GH19*GI19*VLOOKUP('Données projet'!$B$17,Paramètres!$A$1:$I$89,3,0)*0.475*44/12</f>
        <v>0</v>
      </c>
      <c r="GM19" s="23">
        <f>EXP(-LN(2)/25)*GM18+(1-EXP(-LN(2)/25))/(LN(2)/25)*Calculateur!GH19*Calculateur!GJ19*VLOOKUP('Données projet'!$B$17,Paramètres!$A$1:$I$89,3,0)*0.475*44/12</f>
        <v>0</v>
      </c>
      <c r="GN19" s="23">
        <f>EXP(-LN(2)/2)*GN18+(1-EXP(-LN(2)/2))/(LN(2)/2)*GH19*GK19*VLOOKUP('Données projet'!$B$17,Paramètres!$A$1:$I$89,3,0)*0.475*44/12</f>
        <v>0</v>
      </c>
      <c r="GO19" s="23">
        <f t="shared" si="27"/>
        <v>0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54.606574645900508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4.0735000000000001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14.936166666666667</v>
      </c>
      <c r="H20" s="70">
        <f t="shared" si="1"/>
        <v>196.922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54.873616161250723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3.65</v>
      </c>
      <c r="N20" s="14">
        <f>IF('Données projet'!$A$36&gt;35,N19+M20-V19,IF(A20&lt;'Données projet'!$A$36,$K$205^A20,IF(A20='Données projet'!$A$36,'Données projet'!$B$36,N19+M20-V19)))</f>
        <v>38.355215845858055</v>
      </c>
      <c r="O20" s="14">
        <f>N20*VLOOKUP('Données projet'!$B$9,Paramètres!$A$1:$I$89,3,0)*VLOOKUP('Données projet'!$B$9,Paramètres!$A$1:$I$89,5,0)</f>
        <v>34.703799297332367</v>
      </c>
      <c r="P20" s="14">
        <f t="shared" si="33"/>
        <v>10.583497277259243</v>
      </c>
      <c r="Q20" s="22">
        <f t="shared" si="2"/>
        <v>78.875374867413711</v>
      </c>
      <c r="R20" s="62">
        <f t="shared" si="0"/>
        <v>300.85641190311082</v>
      </c>
      <c r="S20" s="62">
        <f ca="1">AVERAGE(OFFSET($R$3,0,0,'Données projet'!$E$9+1,1))-AVERAGE(OFFSET($H$3,0,0,'Données projet'!$E$9+1,1))</f>
        <v>546.11281471711925</v>
      </c>
      <c r="T20" s="62">
        <f t="shared" si="34"/>
        <v>348.18069831447099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54.873616161250723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2.8</v>
      </c>
      <c r="AI20" s="14">
        <f>IF('Données projet'!$A$62&gt;35,AI19+AH20-AQ19,IF(A20&lt;'Données projet'!$A$62,$AF$205^A20,IF(A20='Données projet'!$A$62,'Données projet'!$B$62,AI19+AH20-AQ19)))</f>
        <v>30.61680181296855</v>
      </c>
      <c r="AJ20" s="14">
        <f>AI20*VLOOKUP('Données projet'!$B$10,Paramètres!$A$1:$I$89,3,0)*VLOOKUP('Données projet'!$B$10,Paramètres!$A$1:$I$89,5,0)</f>
        <v>26.26921595552702</v>
      </c>
      <c r="AK20" s="14">
        <f t="shared" si="35"/>
        <v>8.2751434680579159</v>
      </c>
      <c r="AL20" s="22">
        <f t="shared" si="4"/>
        <v>60.164759329410423</v>
      </c>
      <c r="AM20" s="62">
        <f t="shared" si="5"/>
        <v>282.14579636510751</v>
      </c>
      <c r="AN20" s="62">
        <f ca="1">AVERAGE(OFFSET($AM$3,0,0,'Données projet'!$E$10+1,1))-AVERAGE(OFFSET($H$3,0,0,'Données projet'!$E$10+1,1))</f>
        <v>693.87994318348024</v>
      </c>
      <c r="AO20" s="62">
        <f t="shared" si="36"/>
        <v>327.71043739333641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54.873616161250723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3.65</v>
      </c>
      <c r="BD20" s="13">
        <f>IF('Données projet'!$A$88&gt;35,BD19+BC20-BL19,IF(A20&lt;'Données projet'!$A$88,$BA$205^A20,IF(A20='Données projet'!$A$88,'Données projet'!$B$88,BD19+BC20-BL19)))</f>
        <v>38.355215845858055</v>
      </c>
      <c r="BE20" s="14">
        <f>BD20*VLOOKUP('Données projet'!$B$11,Paramètres!$A$1:$I$89,3,0)*VLOOKUP('Données projet'!$B$11,Paramètres!$A$1:$I$89,5,0)</f>
        <v>32.310433828550828</v>
      </c>
      <c r="BF20" s="14">
        <f t="shared" si="37"/>
        <v>9.9359032392271498</v>
      </c>
      <c r="BG20" s="22">
        <f t="shared" si="7"/>
        <v>73.579037059713301</v>
      </c>
      <c r="BH20" s="62">
        <f t="shared" si="8"/>
        <v>295.56007409541041</v>
      </c>
      <c r="BI20" s="62">
        <f ca="1">AVERAGE(OFFSET($BH$3,0,0,'Données projet'!$E$11+1,1))-AVERAGE(OFFSET($H$3,0,0,'Données projet'!$E$11+1,1))</f>
        <v>513.7388209355762</v>
      </c>
      <c r="BJ20" s="62">
        <f t="shared" si="38"/>
        <v>328.24603121433927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54.873616161250723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16.12</v>
      </c>
      <c r="BY20" s="13">
        <f>IF('Données projet'!$A$114&gt;35,BY19+BX20-CG19,IF(A20&lt;'Données projet'!$A$114,$BV$205^A20,IF(A20='Données projet'!$A$114,'Données projet'!$B$114,BY19+BX20-CG19)))</f>
        <v>123.54</v>
      </c>
      <c r="BZ20" s="14">
        <f>BY20*VLOOKUP('Données projet'!$B$12,Paramètres!$A$1:$I$89,3,0)*VLOOKUP('Données projet'!$B$12,Paramètres!$A$1:$I$89,5,0)</f>
        <v>98.288424000000006</v>
      </c>
      <c r="CA20" s="14">
        <f t="shared" si="39"/>
        <v>26.553829373297113</v>
      </c>
      <c r="CB20" s="22">
        <f t="shared" si="10"/>
        <v>217.43359129182582</v>
      </c>
      <c r="CC20" s="62">
        <f t="shared" si="11"/>
        <v>439.41462832752291</v>
      </c>
      <c r="CD20" s="62">
        <f ca="1">AVERAGE(OFFSET($CC$3,0,0,'Données projet'!$E$12+1,1))-AVERAGE(OFFSET($H$3,0,0,'Données projet'!$E$12+1,1))</f>
        <v>447.25854887589878</v>
      </c>
      <c r="CE20" s="62">
        <f t="shared" si="40"/>
        <v>480.13390593590157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54.873616161250723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9.6</v>
      </c>
      <c r="CT20" s="13">
        <f>IF('Données projet'!$A$140&gt;35,CT19+CS20-DB19,IF(A20&lt;'Données projet'!$A$140,$CQ$205^A20,IF(A20='Données projet'!$A$140,'Données projet'!$B$140,CT19+CS20-DB19)))</f>
        <v>59.2</v>
      </c>
      <c r="CU20" s="18">
        <f>CT20*VLOOKUP('Données projet'!$B$13,Paramètres!$A$1:$I$89,3,0)*VLOOKUP('Données projet'!$B$13,Paramètres!$A$1:$I$89,5,0)</f>
        <v>46.176000000000002</v>
      </c>
      <c r="CV20" s="14">
        <f t="shared" si="41"/>
        <v>13.621668778540489</v>
      </c>
      <c r="CW20" s="22">
        <f t="shared" si="13"/>
        <v>104.14760645595801</v>
      </c>
      <c r="CX20" s="62">
        <f t="shared" si="14"/>
        <v>326.12864349165511</v>
      </c>
      <c r="CY20" s="62">
        <f ca="1">AVERAGE(OFFSET($CX$3,0,0,'Données projet'!$E$13+1,1))-AVERAGE(OFFSET($H$3,0,0,'Données projet'!$E$13+1,1))</f>
        <v>308.52515801950324</v>
      </c>
      <c r="CZ20" s="62">
        <f t="shared" si="42"/>
        <v>299.05420638408953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54.873616161250723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16.12</v>
      </c>
      <c r="DO20" s="13">
        <f>IF('Données projet'!$A$166&gt;35,DO19+DN20-DW19,IF(A20&lt;'Données projet'!$A$166,$DL$205^A20,IF(A20='Données projet'!$A$166,'Données projet'!$B$166,DO19+DN20-DW19)))</f>
        <v>123.54</v>
      </c>
      <c r="DP20" s="18">
        <f>DO20*VLOOKUP('Données projet'!$B$14,Paramètres!$A$1:$I$89,3,0)*VLOOKUP('Données projet'!$B$14,Paramètres!$A$1:$I$89,5,0)</f>
        <v>90.57952800000001</v>
      </c>
      <c r="DQ20" s="14">
        <f t="shared" si="43"/>
        <v>24.704940937862116</v>
      </c>
      <c r="DR20" s="22">
        <f t="shared" si="16"/>
        <v>200.78711673344321</v>
      </c>
      <c r="DS20" s="62">
        <f t="shared" si="17"/>
        <v>422.76815376914033</v>
      </c>
      <c r="DT20" s="62">
        <f ca="1">AVERAGE(OFFSET($DS$3,0,0,'Données projet'!$E$14+1,1))-AVERAGE(OFFSET($H$3,0,0,'Données projet'!$E$14+1,1))</f>
        <v>416.72317068678774</v>
      </c>
      <c r="DU20" s="62">
        <f t="shared" si="44"/>
        <v>447.32457429495537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54.873616161250723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8.0769230769230766</v>
      </c>
      <c r="EJ20" s="13">
        <f>IF('Données projet'!$A$192&gt;35,EJ19+EI20-ER19,IF(A20&lt;'Données projet'!$A$192,$EG$205^A20,IF(A20='Données projet'!$A$192,'Données projet'!$B$192,EJ19+EI20-ER19)))</f>
        <v>75.128205128205124</v>
      </c>
      <c r="EK20" s="18">
        <f>EJ20*VLOOKUP('Données projet'!$B$15,Paramètres!$A$1:$I$89,3,0)*VLOOKUP('Données projet'!$B$15,Paramètres!$A$1:$I$89,5,0)</f>
        <v>71.492000000000004</v>
      </c>
      <c r="EL20" s="14">
        <f t="shared" si="45"/>
        <v>20.043517738952893</v>
      </c>
      <c r="EM20" s="22">
        <f t="shared" si="19"/>
        <v>159.42436006200964</v>
      </c>
      <c r="EN20" s="62">
        <f t="shared" si="20"/>
        <v>381.40539709770673</v>
      </c>
      <c r="EO20" s="62">
        <f ca="1">AVERAGE(OFFSET($EN$3,0,0,'Données projet'!$E$15+1,1))-AVERAGE(OFFSET($H$3,0,0,'Données projet'!$E$15+1,1))</f>
        <v>454.78867027701426</v>
      </c>
      <c r="EP20" s="62">
        <f t="shared" si="46"/>
        <v>366.45346303927056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54.873616161250723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10</v>
      </c>
      <c r="FE20" s="13">
        <f>IF('Données projet'!$A$218&gt;35,FE19+FD20-FM19,IF(A20&lt;'Données projet'!$A$218,$FB$205^A20,IF(A20='Données projet'!$A$218,'Données projet'!$B$218,FE19+FD20-FM19)))</f>
        <v>98.205128205128204</v>
      </c>
      <c r="FF20" s="18">
        <f>FE20*VLOOKUP('Données projet'!$B$16,Paramètres!$A$1:$I$89,3,0)*VLOOKUP('Données projet'!$B$16,Paramètres!$A$1:$I$89,5,0)</f>
        <v>65.876000000000005</v>
      </c>
      <c r="FG20" s="14">
        <f t="shared" si="47"/>
        <v>18.64573198002007</v>
      </c>
      <c r="FH20" s="22">
        <f t="shared" si="22"/>
        <v>147.20868319853497</v>
      </c>
      <c r="FI20" s="62">
        <f t="shared" si="23"/>
        <v>369.18972023423203</v>
      </c>
      <c r="FJ20" s="62">
        <f ca="1">AVERAGE(OFFSET($FI$3,0,0,'Données projet'!$E$16+1,1))-AVERAGE(OFFSET($H$3,0,0,'Données projet'!$E$16+1,1))</f>
        <v>390.05579539539576</v>
      </c>
      <c r="FK20" s="62">
        <f t="shared" si="48"/>
        <v>323.72278615226139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projet'!$B$16,Paramètres!$A$1:$I$89,3,0)*0.475*44/12</f>
        <v>0</v>
      </c>
      <c r="FR20" s="23">
        <f>EXP(-LN(2)/25)*FR19+(1-EXP(-LN(2)/25))/(LN(2)/25)*Calculateur!FM20*Calculateur!FO20*VLOOKUP('Données projet'!$B$16,Paramètres!$A$1:$I$89,3,0)*0.475*44/12</f>
        <v>0</v>
      </c>
      <c r="FS20" s="23">
        <f>EXP(-LN(2)/2)*FS19+(1-EXP(-LN(2)/2))/(LN(2)/2)*FM20*FP20*VLOOKUP('Données projet'!$B$16,Paramètres!$A$1:$I$89,3,0)*0.475*44/12</f>
        <v>0</v>
      </c>
      <c r="FT20" s="24">
        <f t="shared" si="24"/>
        <v>0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54.873616161250723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3.65</v>
      </c>
      <c r="FZ20" s="13">
        <f>IF('Données projet'!$A$244&gt;35,FZ19+FY20-GH19,IF(A20&lt;'Données projet'!$A$244,$FW$205^A20,IF(A20='Données projet'!$A$244,'Données projet'!$B$244,FZ19+FY20-GH19)))</f>
        <v>38.355215845858055</v>
      </c>
      <c r="GA20" s="18">
        <f>FZ20*VLOOKUP('Données projet'!$B$17,Paramètres!$A$1:$I$89,3,0)*VLOOKUP('Données projet'!$B$17,Paramètres!$A$1:$I$89,5,0)</f>
        <v>37.097164766113913</v>
      </c>
      <c r="GB20" s="14">
        <f t="shared" si="49"/>
        <v>11.225909174194843</v>
      </c>
      <c r="GC20" s="22">
        <f t="shared" si="25"/>
        <v>84.162687112704418</v>
      </c>
      <c r="GD20" s="62">
        <f t="shared" si="26"/>
        <v>306.14372414840147</v>
      </c>
      <c r="GE20" s="62">
        <f ca="1">AVERAGE(OFFSET($GD$3,0,0,'Données projet'!$E$17+1,1))-AVERAGE(OFFSET($H$3,0,0,'Données projet'!$E$17+1,1))</f>
        <v>578.44111602076555</v>
      </c>
      <c r="GF20" s="62">
        <f t="shared" si="50"/>
        <v>368.08542661432784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>
        <f>EXP(-LN(2)/35)*GL19+(1-EXP(-LN(2)/35))/(LN(2)/35)*GH20*GI20*VLOOKUP('Données projet'!$B$17,Paramètres!$A$1:$I$89,3,0)*0.475*44/12</f>
        <v>0</v>
      </c>
      <c r="GM20" s="23">
        <f>EXP(-LN(2)/25)*GM19+(1-EXP(-LN(2)/25))/(LN(2)/25)*Calculateur!GH20*Calculateur!GJ20*VLOOKUP('Données projet'!$B$17,Paramètres!$A$1:$I$89,3,0)*0.475*44/12</f>
        <v>0</v>
      </c>
      <c r="GN20" s="23">
        <f>EXP(-LN(2)/2)*GN19+(1-EXP(-LN(2)/2))/(LN(2)/2)*GH20*GK20*VLOOKUP('Données projet'!$B$17,Paramètres!$A$1:$I$89,3,0)*0.475*44/12</f>
        <v>0</v>
      </c>
      <c r="GO20" s="23">
        <f t="shared" si="27"/>
        <v>0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54.873616161250723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4.0735000000000001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14.936166666666667</v>
      </c>
      <c r="H21" s="70">
        <f t="shared" si="1"/>
        <v>196.922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55.136025103324982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3.65</v>
      </c>
      <c r="N21" s="14">
        <f>IF('Données projet'!$A$36&gt;35,N20+M21-V20,IF(A21&lt;'Données projet'!$A$36,$K$205^A21,IF(A21='Données projet'!$A$36,'Données projet'!$B$36,N20+M21-V20)))</f>
        <v>47.532490941824946</v>
      </c>
      <c r="O21" s="14">
        <f>N21*VLOOKUP('Données projet'!$B$9,Paramètres!$A$1:$I$89,3,0)*VLOOKUP('Données projet'!$B$9,Paramètres!$A$1:$I$89,5,0)</f>
        <v>43.007397804163212</v>
      </c>
      <c r="P21" s="14">
        <f t="shared" si="33"/>
        <v>12.792363936215189</v>
      </c>
      <c r="Q21" s="22">
        <f t="shared" si="2"/>
        <v>97.184585031159045</v>
      </c>
      <c r="R21" s="62">
        <f t="shared" si="0"/>
        <v>321.35001041001732</v>
      </c>
      <c r="S21" s="62">
        <f ca="1">AVERAGE(OFFSET($R$3,0,0,'Données projet'!$E$9+1,1))-AVERAGE(OFFSET($H$3,0,0,'Données projet'!$E$9+1,1))</f>
        <v>546.11281471711925</v>
      </c>
      <c r="T21" s="62">
        <f t="shared" si="34"/>
        <v>348.18069831447099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55.136025103324982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2.8</v>
      </c>
      <c r="AI21" s="14">
        <f>IF('Données projet'!$A$62&gt;35,AI20+AH21-AQ20,IF(A21&lt;'Données projet'!$A$62,$AF$205^A21,IF(A21='Données projet'!$A$62,'Données projet'!$B$62,AI20+AH21-AQ20)))</f>
        <v>37.442878125375486</v>
      </c>
      <c r="AJ21" s="14">
        <f>AI21*VLOOKUP('Données projet'!$B$10,Paramètres!$A$1:$I$89,3,0)*VLOOKUP('Données projet'!$B$10,Paramètres!$A$1:$I$89,5,0)</f>
        <v>32.125989431572172</v>
      </c>
      <c r="AK21" s="14">
        <f t="shared" si="35"/>
        <v>9.8857694755459775</v>
      </c>
      <c r="AL21" s="22">
        <f t="shared" si="4"/>
        <v>73.170480096564106</v>
      </c>
      <c r="AM21" s="62">
        <f t="shared" si="5"/>
        <v>297.33590547542235</v>
      </c>
      <c r="AN21" s="62">
        <f ca="1">AVERAGE(OFFSET($AM$3,0,0,'Données projet'!$E$10+1,1))-AVERAGE(OFFSET($H$3,0,0,'Données projet'!$E$10+1,1))</f>
        <v>693.87994318348024</v>
      </c>
      <c r="AO21" s="62">
        <f t="shared" si="36"/>
        <v>327.71043739333641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55.136025103324982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3.65</v>
      </c>
      <c r="BD21" s="13">
        <f>IF('Données projet'!$A$88&gt;35,BD20+BC21-BL20,IF(A21&lt;'Données projet'!$A$88,$BA$205^A21,IF(A21='Données projet'!$A$88,'Données projet'!$B$88,BD20+BC21-BL20)))</f>
        <v>47.532490941824946</v>
      </c>
      <c r="BE21" s="14">
        <f>BD21*VLOOKUP('Données projet'!$B$11,Paramètres!$A$1:$I$89,3,0)*VLOOKUP('Données projet'!$B$11,Paramètres!$A$1:$I$89,5,0)</f>
        <v>40.041370369393334</v>
      </c>
      <c r="BF21" s="14">
        <f t="shared" si="37"/>
        <v>12.009611467876571</v>
      </c>
      <c r="BG21" s="22">
        <f t="shared" si="7"/>
        <v>90.655460033245092</v>
      </c>
      <c r="BH21" s="62">
        <f t="shared" si="8"/>
        <v>314.82088541210334</v>
      </c>
      <c r="BI21" s="62">
        <f ca="1">AVERAGE(OFFSET($BH$3,0,0,'Données projet'!$E$11+1,1))-AVERAGE(OFFSET($H$3,0,0,'Données projet'!$E$11+1,1))</f>
        <v>513.7388209355762</v>
      </c>
      <c r="BJ21" s="62">
        <f t="shared" si="38"/>
        <v>328.24603121433927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55.136025103324982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16.12</v>
      </c>
      <c r="BY21" s="13">
        <f>IF('Données projet'!$A$114&gt;35,BY20+BX21-CG20,IF(A21&lt;'Données projet'!$A$114,$BV$205^A21,IF(A21='Données projet'!$A$114,'Données projet'!$B$114,BY20+BX21-CG20)))</f>
        <v>139.66</v>
      </c>
      <c r="BZ21" s="14">
        <f>BY21*VLOOKUP('Données projet'!$B$12,Paramètres!$A$1:$I$89,3,0)*VLOOKUP('Données projet'!$B$12,Paramètres!$A$1:$I$89,5,0)</f>
        <v>111.11349600000001</v>
      </c>
      <c r="CA21" s="14">
        <f t="shared" si="39"/>
        <v>29.593178934171767</v>
      </c>
      <c r="CB21" s="22">
        <f t="shared" si="10"/>
        <v>245.06412551034919</v>
      </c>
      <c r="CC21" s="62">
        <f t="shared" si="11"/>
        <v>469.22955088920742</v>
      </c>
      <c r="CD21" s="62">
        <f ca="1">AVERAGE(OFFSET($CC$3,0,0,'Données projet'!$E$12+1,1))-AVERAGE(OFFSET($H$3,0,0,'Données projet'!$E$12+1,1))</f>
        <v>447.25854887589878</v>
      </c>
      <c r="CE21" s="62">
        <f t="shared" si="40"/>
        <v>480.13390593590157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55.136025103324982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9.6</v>
      </c>
      <c r="CT21" s="13">
        <f>IF('Données projet'!$A$140&gt;35,CT20+CS21-DB20,IF(A21&lt;'Données projet'!$A$140,$CQ$205^A21,IF(A21='Données projet'!$A$140,'Données projet'!$B$140,CT20+CS21-DB20)))</f>
        <v>68.8</v>
      </c>
      <c r="CU21" s="18">
        <f>CT21*VLOOKUP('Données projet'!$B$13,Paramètres!$A$1:$I$89,3,0)*VLOOKUP('Données projet'!$B$13,Paramètres!$A$1:$I$89,5,0)</f>
        <v>53.664000000000001</v>
      </c>
      <c r="CV21" s="14">
        <f t="shared" si="41"/>
        <v>15.556073979202782</v>
      </c>
      <c r="CW21" s="22">
        <f t="shared" si="13"/>
        <v>120.55829551377816</v>
      </c>
      <c r="CX21" s="62">
        <f t="shared" si="14"/>
        <v>344.72372089263644</v>
      </c>
      <c r="CY21" s="62">
        <f ca="1">AVERAGE(OFFSET($CX$3,0,0,'Données projet'!$E$13+1,1))-AVERAGE(OFFSET($H$3,0,0,'Données projet'!$E$13+1,1))</f>
        <v>308.52515801950324</v>
      </c>
      <c r="CZ21" s="62">
        <f t="shared" si="42"/>
        <v>299.05420638408953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55.136025103324982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16.12</v>
      </c>
      <c r="DO21" s="13">
        <f>IF('Données projet'!$A$166&gt;35,DO20+DN21-DW20,IF(A21&lt;'Données projet'!$A$166,$DL$205^A21,IF(A21='Données projet'!$A$166,'Données projet'!$B$166,DO20+DN21-DW20)))</f>
        <v>139.66</v>
      </c>
      <c r="DP21" s="18">
        <f>DO21*VLOOKUP('Données projet'!$B$14,Paramètres!$A$1:$I$89,3,0)*VLOOKUP('Données projet'!$B$14,Paramètres!$A$1:$I$89,5,0)</f>
        <v>102.39871199999999</v>
      </c>
      <c r="DQ21" s="14">
        <f t="shared" si="43"/>
        <v>27.532666850209594</v>
      </c>
      <c r="DR21" s="22">
        <f t="shared" si="16"/>
        <v>226.29715149744834</v>
      </c>
      <c r="DS21" s="62">
        <f t="shared" si="17"/>
        <v>450.46257687630657</v>
      </c>
      <c r="DT21" s="62">
        <f ca="1">AVERAGE(OFFSET($DS$3,0,0,'Données projet'!$E$14+1,1))-AVERAGE(OFFSET($H$3,0,0,'Données projet'!$E$14+1,1))</f>
        <v>416.72317068678774</v>
      </c>
      <c r="DU21" s="62">
        <f t="shared" si="44"/>
        <v>447.32457429495537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55.136025103324982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8.0769230769230766</v>
      </c>
      <c r="EJ21" s="13">
        <f>IF('Données projet'!$A$192&gt;35,EJ20+EI21-ER20,IF(A21&lt;'Données projet'!$A$192,$EG$205^A21,IF(A21='Données projet'!$A$192,'Données projet'!$B$192,EJ20+EI21-ER20)))</f>
        <v>83.205128205128204</v>
      </c>
      <c r="EK21" s="18">
        <f>EJ21*VLOOKUP('Données projet'!$B$15,Paramètres!$A$1:$I$89,3,0)*VLOOKUP('Données projet'!$B$15,Paramètres!$A$1:$I$89,5,0)</f>
        <v>79.177999999999997</v>
      </c>
      <c r="EL21" s="14">
        <f t="shared" si="45"/>
        <v>21.93608020424908</v>
      </c>
      <c r="EM21" s="22">
        <f t="shared" si="19"/>
        <v>176.10702302240045</v>
      </c>
      <c r="EN21" s="62">
        <f t="shared" si="20"/>
        <v>400.27244840125871</v>
      </c>
      <c r="EO21" s="62">
        <f ca="1">AVERAGE(OFFSET($EN$3,0,0,'Données projet'!$E$15+1,1))-AVERAGE(OFFSET($H$3,0,0,'Données projet'!$E$15+1,1))</f>
        <v>454.78867027701426</v>
      </c>
      <c r="EP21" s="62">
        <f t="shared" si="46"/>
        <v>366.45346303927056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55.136025103324982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10</v>
      </c>
      <c r="FE21" s="13">
        <f>IF('Données projet'!$A$218&gt;35,FE20+FD21-FM20,IF(A21&lt;'Données projet'!$A$218,$FB$205^A21,IF(A21='Données projet'!$A$218,'Données projet'!$B$218,FE20+FD21-FM20)))</f>
        <v>108.2051282051282</v>
      </c>
      <c r="FF21" s="18">
        <f>FE21*VLOOKUP('Données projet'!$B$16,Paramètres!$A$1:$I$89,3,0)*VLOOKUP('Données projet'!$B$16,Paramètres!$A$1:$I$89,5,0)</f>
        <v>72.584000000000003</v>
      </c>
      <c r="FG21" s="14">
        <f t="shared" si="47"/>
        <v>20.313795787810648</v>
      </c>
      <c r="FH21" s="22">
        <f t="shared" si="22"/>
        <v>161.79699433043689</v>
      </c>
      <c r="FI21" s="62">
        <f t="shared" si="23"/>
        <v>385.96241970929515</v>
      </c>
      <c r="FJ21" s="62">
        <f ca="1">AVERAGE(OFFSET($FI$3,0,0,'Données projet'!$E$16+1,1))-AVERAGE(OFFSET($H$3,0,0,'Données projet'!$E$16+1,1))</f>
        <v>390.05579539539576</v>
      </c>
      <c r="FK21" s="62">
        <f t="shared" si="48"/>
        <v>323.72278615226139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projet'!$B$16,Paramètres!$A$1:$I$89,3,0)*0.475*44/12</f>
        <v>0</v>
      </c>
      <c r="FR21" s="23">
        <f>EXP(-LN(2)/25)*FR20+(1-EXP(-LN(2)/25))/(LN(2)/25)*Calculateur!FM21*Calculateur!FO21*VLOOKUP('Données projet'!$B$16,Paramètres!$A$1:$I$89,3,0)*0.475*44/12</f>
        <v>0</v>
      </c>
      <c r="FS21" s="23">
        <f>EXP(-LN(2)/2)*FS20+(1-EXP(-LN(2)/2))/(LN(2)/2)*FM21*FP21*VLOOKUP('Données projet'!$B$16,Paramètres!$A$1:$I$89,3,0)*0.475*44/12</f>
        <v>0</v>
      </c>
      <c r="FT21" s="24">
        <f t="shared" si="24"/>
        <v>0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55.136025103324982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3.65</v>
      </c>
      <c r="FZ21" s="13">
        <f>IF('Données projet'!$A$244&gt;35,FZ20+FY21-GH20,IF(A21&lt;'Données projet'!$A$244,$FW$205^A21,IF(A21='Données projet'!$A$244,'Données projet'!$B$244,FZ20+FY21-GH20)))</f>
        <v>47.532490941824946</v>
      </c>
      <c r="GA21" s="18">
        <f>FZ21*VLOOKUP('Données projet'!$B$17,Paramètres!$A$1:$I$89,3,0)*VLOOKUP('Données projet'!$B$17,Paramètres!$A$1:$I$89,5,0)</f>
        <v>45.973425238933089</v>
      </c>
      <c r="GB21" s="14">
        <f t="shared" si="49"/>
        <v>13.56885270616201</v>
      </c>
      <c r="GC21" s="22">
        <f t="shared" si="25"/>
        <v>103.70280075437397</v>
      </c>
      <c r="GD21" s="62">
        <f t="shared" si="26"/>
        <v>327.86822613323221</v>
      </c>
      <c r="GE21" s="62">
        <f ca="1">AVERAGE(OFFSET($GD$3,0,0,'Données projet'!$E$17+1,1))-AVERAGE(OFFSET($H$3,0,0,'Données projet'!$E$17+1,1))</f>
        <v>578.44111602076555</v>
      </c>
      <c r="GF21" s="62">
        <f t="shared" si="50"/>
        <v>368.08542661432784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>
        <f>EXP(-LN(2)/35)*GL20+(1-EXP(-LN(2)/35))/(LN(2)/35)*GH21*GI21*VLOOKUP('Données projet'!$B$17,Paramètres!$A$1:$I$89,3,0)*0.475*44/12</f>
        <v>0</v>
      </c>
      <c r="GM21" s="23">
        <f>EXP(-LN(2)/25)*GM20+(1-EXP(-LN(2)/25))/(LN(2)/25)*Calculateur!GH21*Calculateur!GJ21*VLOOKUP('Données projet'!$B$17,Paramètres!$A$1:$I$89,3,0)*0.475*44/12</f>
        <v>0</v>
      </c>
      <c r="GN21" s="23">
        <f>EXP(-LN(2)/2)*GN20+(1-EXP(-LN(2)/2))/(LN(2)/2)*GH21*GK21*VLOOKUP('Données projet'!$B$17,Paramètres!$A$1:$I$89,3,0)*0.475*44/12</f>
        <v>0</v>
      </c>
      <c r="GO21" s="23">
        <f t="shared" si="27"/>
        <v>0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55.136025103324982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4.0735000000000001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14.936166666666667</v>
      </c>
      <c r="H22" s="70">
        <f t="shared" si="1"/>
        <v>196.922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55.393881836912769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3.65</v>
      </c>
      <c r="N22" s="14">
        <f>IF('Données projet'!$A$36&gt;35,N21+M22-V21,IF(A22&lt;'Données projet'!$A$36,$K$205^A22,IF(A22='Données projet'!$A$36,'Données projet'!$B$36,N21+M22-V21)))</f>
        <v>58.90561805764559</v>
      </c>
      <c r="O22" s="14">
        <f>N22*VLOOKUP('Données projet'!$B$9,Paramètres!$A$1:$I$89,3,0)*VLOOKUP('Données projet'!$B$9,Paramètres!$A$1:$I$89,5,0)</f>
        <v>53.297803218557732</v>
      </c>
      <c r="P22" s="14">
        <f t="shared" si="33"/>
        <v>15.462240012873817</v>
      </c>
      <c r="Q22" s="22">
        <f t="shared" si="2"/>
        <v>119.75707529474329</v>
      </c>
      <c r="R22" s="62">
        <f t="shared" si="0"/>
        <v>346.09019758564568</v>
      </c>
      <c r="S22" s="62">
        <f ca="1">AVERAGE(OFFSET($R$3,0,0,'Données projet'!$E$9+1,1))-AVERAGE(OFFSET($H$3,0,0,'Données projet'!$E$9+1,1))</f>
        <v>546.11281471711925</v>
      </c>
      <c r="T22" s="62">
        <f t="shared" si="34"/>
        <v>348.18069831447099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55.393881836912769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2.8</v>
      </c>
      <c r="AI22" s="14">
        <f>IF('Données projet'!$A$62&gt;35,AI21+AH22-AQ21,IF(A22&lt;'Données projet'!$A$62,$AF$205^A22,IF(A22='Données projet'!$A$62,'Données projet'!$B$62,AI21+AH22-AQ21)))</f>
        <v>45.79084160638493</v>
      </c>
      <c r="AJ22" s="14">
        <f>AI22*VLOOKUP('Données projet'!$B$10,Paramètres!$A$1:$I$89,3,0)*VLOOKUP('Données projet'!$B$10,Paramètres!$A$1:$I$89,5,0)</f>
        <v>39.28854209827827</v>
      </c>
      <c r="AK22" s="14">
        <f t="shared" si="35"/>
        <v>11.809878402817876</v>
      </c>
      <c r="AL22" s="22">
        <f t="shared" si="4"/>
        <v>88.99641570607578</v>
      </c>
      <c r="AM22" s="62">
        <f t="shared" si="5"/>
        <v>315.32953799697816</v>
      </c>
      <c r="AN22" s="62">
        <f ca="1">AVERAGE(OFFSET($AM$3,0,0,'Données projet'!$E$10+1,1))-AVERAGE(OFFSET($H$3,0,0,'Données projet'!$E$10+1,1))</f>
        <v>693.87994318348024</v>
      </c>
      <c r="AO22" s="62">
        <f t="shared" si="36"/>
        <v>327.71043739333641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55.393881836912769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3.65</v>
      </c>
      <c r="BD22" s="13">
        <f>IF('Données projet'!$A$88&gt;35,BD21+BC22-BL21,IF(A22&lt;'Données projet'!$A$88,$BA$205^A22,IF(A22='Données projet'!$A$88,'Données projet'!$B$88,BD21+BC22-BL21)))</f>
        <v>58.90561805764559</v>
      </c>
      <c r="BE22" s="14">
        <f>BD22*VLOOKUP('Données projet'!$B$11,Paramètres!$A$1:$I$89,3,0)*VLOOKUP('Données projet'!$B$11,Paramètres!$A$1:$I$89,5,0)</f>
        <v>49.622092651760646</v>
      </c>
      <c r="BF22" s="14">
        <f t="shared" si="37"/>
        <v>14.516120390537463</v>
      </c>
      <c r="BG22" s="22">
        <f t="shared" si="7"/>
        <v>111.70738771533587</v>
      </c>
      <c r="BH22" s="62">
        <f t="shared" si="8"/>
        <v>338.04051000623826</v>
      </c>
      <c r="BI22" s="62">
        <f ca="1">AVERAGE(OFFSET($BH$3,0,0,'Données projet'!$E$11+1,1))-AVERAGE(OFFSET($H$3,0,0,'Données projet'!$E$11+1,1))</f>
        <v>513.7388209355762</v>
      </c>
      <c r="BJ22" s="62">
        <f t="shared" si="38"/>
        <v>328.24603121433927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55.393881836912769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16.12</v>
      </c>
      <c r="BY22" s="13">
        <f>IF('Données projet'!$A$114&gt;35,BY21+BX22-CG21,IF(A22&lt;'Données projet'!$A$114,$BV$205^A22,IF(A22='Données projet'!$A$114,'Données projet'!$B$114,BY21+BX22-CG21)))</f>
        <v>155.78</v>
      </c>
      <c r="BZ22" s="14">
        <f>BY22*VLOOKUP('Données projet'!$B$12,Paramètres!$A$1:$I$89,3,0)*VLOOKUP('Données projet'!$B$12,Paramètres!$A$1:$I$89,5,0)</f>
        <v>123.938568</v>
      </c>
      <c r="CA22" s="14">
        <f t="shared" si="39"/>
        <v>32.591871942074555</v>
      </c>
      <c r="CB22" s="22">
        <f t="shared" si="10"/>
        <v>272.62384956577989</v>
      </c>
      <c r="CC22" s="62">
        <f t="shared" si="11"/>
        <v>498.95697185668223</v>
      </c>
      <c r="CD22" s="62">
        <f ca="1">AVERAGE(OFFSET($CC$3,0,0,'Données projet'!$E$12+1,1))-AVERAGE(OFFSET($H$3,0,0,'Données projet'!$E$12+1,1))</f>
        <v>447.25854887589878</v>
      </c>
      <c r="CE22" s="62">
        <f t="shared" si="40"/>
        <v>480.13390593590157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55.393881836912769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9.6</v>
      </c>
      <c r="CT22" s="13">
        <f>IF('Données projet'!$A$140&gt;35,CT21+CS22-DB21,IF(A22&lt;'Données projet'!$A$140,$CQ$205^A22,IF(A22='Données projet'!$A$140,'Données projet'!$B$140,CT21+CS22-DB21)))</f>
        <v>78.399999999999991</v>
      </c>
      <c r="CU22" s="18">
        <f>CT22*VLOOKUP('Données projet'!$B$13,Paramètres!$A$1:$I$89,3,0)*VLOOKUP('Données projet'!$B$13,Paramètres!$A$1:$I$89,5,0)</f>
        <v>61.151999999999994</v>
      </c>
      <c r="CV22" s="14">
        <f t="shared" si="41"/>
        <v>17.459207591071255</v>
      </c>
      <c r="CW22" s="22">
        <f t="shared" si="13"/>
        <v>136.9145198877824</v>
      </c>
      <c r="CX22" s="62">
        <f t="shared" si="14"/>
        <v>363.24764217868477</v>
      </c>
      <c r="CY22" s="62">
        <f ca="1">AVERAGE(OFFSET($CX$3,0,0,'Données projet'!$E$13+1,1))-AVERAGE(OFFSET($H$3,0,0,'Données projet'!$E$13+1,1))</f>
        <v>308.52515801950324</v>
      </c>
      <c r="CZ22" s="62">
        <f t="shared" si="42"/>
        <v>299.05420638408953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55.393881836912769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16.12</v>
      </c>
      <c r="DO22" s="13">
        <f>IF('Données projet'!$A$166&gt;35,DO21+DN22-DW21,IF(A22&lt;'Données projet'!$A$166,$DL$205^A22,IF(A22='Données projet'!$A$166,'Données projet'!$B$166,DO21+DN22-DW21)))</f>
        <v>155.78</v>
      </c>
      <c r="DP22" s="18">
        <f>DO22*VLOOKUP('Données projet'!$B$14,Paramètres!$A$1:$I$89,3,0)*VLOOKUP('Données projet'!$B$14,Paramètres!$A$1:$I$89,5,0)</f>
        <v>114.21789600000001</v>
      </c>
      <c r="DQ22" s="14">
        <f t="shared" si="43"/>
        <v>30.322567041611599</v>
      </c>
      <c r="DR22" s="22">
        <f t="shared" si="16"/>
        <v>251.74130646414019</v>
      </c>
      <c r="DS22" s="62">
        <f t="shared" si="17"/>
        <v>478.07442875504256</v>
      </c>
      <c r="DT22" s="62">
        <f ca="1">AVERAGE(OFFSET($DS$3,0,0,'Données projet'!$E$14+1,1))-AVERAGE(OFFSET($H$3,0,0,'Données projet'!$E$14+1,1))</f>
        <v>416.72317068678774</v>
      </c>
      <c r="DU22" s="62">
        <f t="shared" si="44"/>
        <v>447.32457429495537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55.393881836912769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8.0769230769230766</v>
      </c>
      <c r="EJ22" s="13">
        <f>IF('Données projet'!$A$192&gt;35,EJ21+EI22-ER21,IF(A22&lt;'Données projet'!$A$192,$EG$205^A22,IF(A22='Données projet'!$A$192,'Données projet'!$B$192,EJ21+EI22-ER21)))</f>
        <v>91.282051282051285</v>
      </c>
      <c r="EK22" s="18">
        <f>EJ22*VLOOKUP('Données projet'!$B$15,Paramètres!$A$1:$I$89,3,0)*VLOOKUP('Données projet'!$B$15,Paramètres!$A$1:$I$89,5,0)</f>
        <v>86.864000000000004</v>
      </c>
      <c r="EL22" s="14">
        <f t="shared" si="45"/>
        <v>23.807343253251293</v>
      </c>
      <c r="EM22" s="22">
        <f t="shared" si="19"/>
        <v>192.75258949941266</v>
      </c>
      <c r="EN22" s="62">
        <f t="shared" si="20"/>
        <v>419.08571179031503</v>
      </c>
      <c r="EO22" s="62">
        <f ca="1">AVERAGE(OFFSET($EN$3,0,0,'Données projet'!$E$15+1,1))-AVERAGE(OFFSET($H$3,0,0,'Données projet'!$E$15+1,1))</f>
        <v>454.78867027701426</v>
      </c>
      <c r="EP22" s="62">
        <f t="shared" si="46"/>
        <v>366.45346303927056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55.393881836912769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10</v>
      </c>
      <c r="FE22" s="13">
        <f>IF('Données projet'!$A$218&gt;35,FE21+FD22-FM21,IF(A22&lt;'Données projet'!$A$218,$FB$205^A22,IF(A22='Données projet'!$A$218,'Données projet'!$B$218,FE21+FD22-FM21)))</f>
        <v>118.2051282051282</v>
      </c>
      <c r="FF22" s="18">
        <f>FE22*VLOOKUP('Données projet'!$B$16,Paramètres!$A$1:$I$89,3,0)*VLOOKUP('Données projet'!$B$16,Paramètres!$A$1:$I$89,5,0)</f>
        <v>79.292000000000002</v>
      </c>
      <c r="FG22" s="14">
        <f t="shared" si="47"/>
        <v>21.96398498934548</v>
      </c>
      <c r="FH22" s="22">
        <f t="shared" si="22"/>
        <v>176.35417385644337</v>
      </c>
      <c r="FI22" s="62">
        <f t="shared" si="23"/>
        <v>402.68729614734571</v>
      </c>
      <c r="FJ22" s="62">
        <f ca="1">AVERAGE(OFFSET($FI$3,0,0,'Données projet'!$E$16+1,1))-AVERAGE(OFFSET($H$3,0,0,'Données projet'!$E$16+1,1))</f>
        <v>390.05579539539576</v>
      </c>
      <c r="FK22" s="62">
        <f t="shared" si="48"/>
        <v>323.72278615226139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projet'!$B$16,Paramètres!$A$1:$I$89,3,0)*0.475*44/12</f>
        <v>0</v>
      </c>
      <c r="FR22" s="23">
        <f>EXP(-LN(2)/25)*FR21+(1-EXP(-LN(2)/25))/(LN(2)/25)*Calculateur!FM22*Calculateur!FO22*VLOOKUP('Données projet'!$B$16,Paramètres!$A$1:$I$89,3,0)*0.475*44/12</f>
        <v>0</v>
      </c>
      <c r="FS22" s="23">
        <f>EXP(-LN(2)/2)*FS21+(1-EXP(-LN(2)/2))/(LN(2)/2)*FM22*FP22*VLOOKUP('Données projet'!$B$16,Paramètres!$A$1:$I$89,3,0)*0.475*44/12</f>
        <v>0</v>
      </c>
      <c r="FT22" s="24">
        <f t="shared" si="24"/>
        <v>0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55.393881836912769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3.65</v>
      </c>
      <c r="FZ22" s="13">
        <f>IF('Données projet'!$A$244&gt;35,FZ21+FY22-GH21,IF(A22&lt;'Données projet'!$A$244,$FW$205^A22,IF(A22='Données projet'!$A$244,'Données projet'!$B$244,FZ21+FY22-GH21)))</f>
        <v>58.90561805764559</v>
      </c>
      <c r="GA22" s="18">
        <f>FZ22*VLOOKUP('Données projet'!$B$17,Paramètres!$A$1:$I$89,3,0)*VLOOKUP('Données projet'!$B$17,Paramètres!$A$1:$I$89,5,0)</f>
        <v>56.973513785354818</v>
      </c>
      <c r="GB22" s="14">
        <f t="shared" si="49"/>
        <v>16.400788649238766</v>
      </c>
      <c r="GC22" s="22">
        <f t="shared" si="25"/>
        <v>127.7935767402505</v>
      </c>
      <c r="GD22" s="62">
        <f t="shared" si="26"/>
        <v>354.12669903115284</v>
      </c>
      <c r="GE22" s="62">
        <f ca="1">AVERAGE(OFFSET($GD$3,0,0,'Données projet'!$E$17+1,1))-AVERAGE(OFFSET($H$3,0,0,'Données projet'!$E$17+1,1))</f>
        <v>578.44111602076555</v>
      </c>
      <c r="GF22" s="62">
        <f t="shared" si="50"/>
        <v>368.08542661432784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>
        <f>EXP(-LN(2)/35)*GL21+(1-EXP(-LN(2)/35))/(LN(2)/35)*GH22*GI22*VLOOKUP('Données projet'!$B$17,Paramètres!$A$1:$I$89,3,0)*0.475*44/12</f>
        <v>0</v>
      </c>
      <c r="GM22" s="23">
        <f>EXP(-LN(2)/25)*GM21+(1-EXP(-LN(2)/25))/(LN(2)/25)*Calculateur!GH22*Calculateur!GJ22*VLOOKUP('Données projet'!$B$17,Paramètres!$A$1:$I$89,3,0)*0.475*44/12</f>
        <v>0</v>
      </c>
      <c r="GN22" s="23">
        <f>EXP(-LN(2)/2)*GN21+(1-EXP(-LN(2)/2))/(LN(2)/2)*GH22*GK22*VLOOKUP('Données projet'!$B$17,Paramètres!$A$1:$I$89,3,0)*0.475*44/12</f>
        <v>0</v>
      </c>
      <c r="GO22" s="23">
        <f t="shared" si="27"/>
        <v>0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55.393881836912769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4.0735000000000001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14.936166666666667</v>
      </c>
      <c r="H23" s="70">
        <f t="shared" si="1"/>
        <v>196.922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55.647265332654101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73</v>
      </c>
      <c r="L23" s="13">
        <f>VLOOKUP(A23,'Données projet'!$A$35:$I$55,9,0)</f>
        <v>3.65</v>
      </c>
      <c r="M23" s="13">
        <f t="array" ref="M23">INDEX(L:L,MIN(IF(ISNUMBER(L23:L219),ROW(L23:L219),"")))</f>
        <v>3.65</v>
      </c>
      <c r="N23" s="14">
        <f>IF('Données projet'!$A$36&gt;35,N22+M23-V22,IF(A23&lt;'Données projet'!$A$36,$K$205^A23,IF(A23='Données projet'!$A$36,'Données projet'!$B$36,N22+M23-V22)))</f>
        <v>73</v>
      </c>
      <c r="O23" s="14">
        <f>N23*VLOOKUP('Données projet'!$B$9,Paramètres!$A$1:$I$89,3,0)*VLOOKUP('Données projet'!$B$9,Paramètres!$A$1:$I$89,5,0)</f>
        <v>66.050399999999996</v>
      </c>
      <c r="P23" s="14">
        <f t="shared" si="33"/>
        <v>18.689342126897891</v>
      </c>
      <c r="Q23" s="22">
        <f t="shared" si="2"/>
        <v>147.58838420434714</v>
      </c>
      <c r="R23" s="62">
        <f t="shared" si="0"/>
        <v>376.07280153518991</v>
      </c>
      <c r="S23" s="62">
        <f ca="1">AVERAGE(OFFSET($R$3,0,0,'Données projet'!$E$9+1,1))-AVERAGE(OFFSET($H$3,0,0,'Données projet'!$E$9+1,1))</f>
        <v>546.11281471711925</v>
      </c>
      <c r="T23" s="62">
        <f t="shared" si="34"/>
        <v>348.18069831447099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6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55.647265332654101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56</v>
      </c>
      <c r="AG23" s="13">
        <f>VLOOKUP(A23,'Données projet'!$A$61:$I$81,9,0)</f>
        <v>2.8</v>
      </c>
      <c r="AH23" s="13">
        <f t="array" ref="AH23">INDEX(AG:AG,MIN(IF(ISNUMBER(AG23:AG219),ROW(AG23:AG219),"")))</f>
        <v>2.8</v>
      </c>
      <c r="AI23" s="14">
        <f>IF('Données projet'!$A$62&gt;35,AI22+AH23-AQ22,IF(A23&lt;'Données projet'!$A$62,$AF$205^A23,IF(A23='Données projet'!$A$62,'Données projet'!$B$62,AI22+AH23-AQ22)))</f>
        <v>56</v>
      </c>
      <c r="AJ23" s="14">
        <f>AI23*VLOOKUP('Données projet'!$B$10,Paramètres!$A$1:$I$89,3,0)*VLOOKUP('Données projet'!$B$10,Paramètres!$A$1:$I$89,5,0)</f>
        <v>48.048000000000009</v>
      </c>
      <c r="AK23" s="14">
        <f t="shared" si="35"/>
        <v>14.108484750160622</v>
      </c>
      <c r="AL23" s="22">
        <f t="shared" si="4"/>
        <v>108.25587760652975</v>
      </c>
      <c r="AM23" s="62">
        <f t="shared" si="5"/>
        <v>336.74029493737254</v>
      </c>
      <c r="AN23" s="62">
        <f ca="1">AVERAGE(OFFSET($AM$3,0,0,'Données projet'!$E$10+1,1))-AVERAGE(OFFSET($H$3,0,0,'Données projet'!$E$10+1,1))</f>
        <v>693.87994318348024</v>
      </c>
      <c r="AO23" s="62">
        <f t="shared" si="36"/>
        <v>327.71043739333641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55.647265332654101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73</v>
      </c>
      <c r="BB23" s="13">
        <f>VLOOKUP(A23,'Données projet'!$A$87:$I$107,9,0)</f>
        <v>3.65</v>
      </c>
      <c r="BC23" s="13">
        <f t="array" ref="BC23">INDEX(BB:BB,MIN(IF(ISNUMBER(BB23:BB219),ROW(BB23:BB219),"")))</f>
        <v>3.65</v>
      </c>
      <c r="BD23" s="13">
        <f>IF('Données projet'!$A$88&gt;35,BD22+BC23-BL22,IF(A23&lt;'Données projet'!$A$88,$BA$205^A23,IF(A23='Données projet'!$A$88,'Données projet'!$B$88,BD22+BC23-BL22)))</f>
        <v>73</v>
      </c>
      <c r="BE23" s="14">
        <f>BD23*VLOOKUP('Données projet'!$B$11,Paramètres!$A$1:$I$89,3,0)*VLOOKUP('Données projet'!$B$11,Paramètres!$A$1:$I$89,5,0)</f>
        <v>61.495200000000004</v>
      </c>
      <c r="BF23" s="14">
        <f t="shared" si="37"/>
        <v>17.545759224285259</v>
      </c>
      <c r="BG23" s="22">
        <f t="shared" si="7"/>
        <v>137.66300398229683</v>
      </c>
      <c r="BH23" s="62">
        <f t="shared" si="8"/>
        <v>366.1474213131396</v>
      </c>
      <c r="BI23" s="62">
        <f ca="1">AVERAGE(OFFSET($BH$3,0,0,'Données projet'!$E$11+1,1))-AVERAGE(OFFSET($H$3,0,0,'Données projet'!$E$11+1,1))</f>
        <v>513.7388209355762</v>
      </c>
      <c r="BJ23" s="62">
        <f t="shared" si="38"/>
        <v>328.24603121433927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6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55.647265332654101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171.9</v>
      </c>
      <c r="BW23" s="13">
        <f>VLOOKUP(A23,'Données projet'!$A$113:$I$133,9,0)</f>
        <v>16.12</v>
      </c>
      <c r="BX23" s="13">
        <f t="array" ref="BX23">INDEX(BW:BW,MIN(IF(ISNUMBER(BW23:BW219),ROW(BW23:BW219),"")))</f>
        <v>16.12</v>
      </c>
      <c r="BY23" s="13">
        <f>IF('Données projet'!$A$114&gt;35,BY22+BX23-CG22,IF(A23&lt;'Données projet'!$A$114,$BV$205^A23,IF(A23='Données projet'!$A$114,'Données projet'!$B$114,BY22+BX23-CG22)))</f>
        <v>171.9</v>
      </c>
      <c r="BZ23" s="14">
        <f>BY23*VLOOKUP('Données projet'!$B$12,Paramètres!$A$1:$I$89,3,0)*VLOOKUP('Données projet'!$B$12,Paramètres!$A$1:$I$89,5,0)</f>
        <v>136.76364000000001</v>
      </c>
      <c r="CA23" s="14">
        <f t="shared" si="39"/>
        <v>35.554594691452685</v>
      </c>
      <c r="CB23" s="22">
        <f t="shared" si="10"/>
        <v>300.12092542094678</v>
      </c>
      <c r="CC23" s="62">
        <f t="shared" si="11"/>
        <v>528.60534275178952</v>
      </c>
      <c r="CD23" s="62">
        <f ca="1">AVERAGE(OFFSET($CC$3,0,0,'Données projet'!$E$12+1,1))-AVERAGE(OFFSET($H$3,0,0,'Données projet'!$E$12+1,1))</f>
        <v>447.25854887589878</v>
      </c>
      <c r="CE23" s="62">
        <f t="shared" si="40"/>
        <v>480.13390593590157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90.7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55.647265332654101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88</v>
      </c>
      <c r="CR23" s="13">
        <f>VLOOKUP(A23,'Données projet'!$A$139:$I$159,9,0)</f>
        <v>9.6</v>
      </c>
      <c r="CS23" s="13">
        <f t="array" ref="CS23">INDEX(CR:CR,MIN(IF(ISNUMBER(CR23:CR219),ROW(CR23:CR219),"")))</f>
        <v>9.6</v>
      </c>
      <c r="CT23" s="13">
        <f>IF('Données projet'!$A$140&gt;35,CT22+CS23-DB22,IF(A23&lt;'Données projet'!$A$140,$CQ$205^A23,IF(A23='Données projet'!$A$140,'Données projet'!$B$140,CT22+CS23-DB22)))</f>
        <v>87.999999999999986</v>
      </c>
      <c r="CU23" s="18">
        <f>CT23*VLOOKUP('Données projet'!$B$13,Paramètres!$A$1:$I$89,3,0)*VLOOKUP('Données projet'!$B$13,Paramètres!$A$1:$I$89,5,0)</f>
        <v>68.639999999999986</v>
      </c>
      <c r="CV23" s="14">
        <f t="shared" si="41"/>
        <v>19.335336956640202</v>
      </c>
      <c r="CW23" s="22">
        <f t="shared" si="13"/>
        <v>153.22371186614834</v>
      </c>
      <c r="CX23" s="62">
        <f t="shared" si="14"/>
        <v>381.70812919699114</v>
      </c>
      <c r="CY23" s="62">
        <f ca="1">AVERAGE(OFFSET($CX$3,0,0,'Données projet'!$E$13+1,1))-AVERAGE(OFFSET($H$3,0,0,'Données projet'!$E$13+1,1))</f>
        <v>308.52515801950324</v>
      </c>
      <c r="CZ23" s="62">
        <f t="shared" si="42"/>
        <v>299.05420638408953</v>
      </c>
      <c r="DA23" s="16">
        <f>IF(ISNA(VLOOKUP(A23,'Données projet'!$A$139:$I$159,3,0)),0,VLOOKUP(A23,'Données projet'!$A$139:$I$159,3,0))</f>
        <v>1</v>
      </c>
      <c r="DB23" s="16">
        <f>IF(ISNA(VLOOKUP(A23,'Données projet'!$A$139:$I$159,4,0)),0,VLOOKUP(A23,'Données projet'!$A$139:$I$159,4,0))</f>
        <v>3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55.647265332654101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171.9</v>
      </c>
      <c r="DM23" s="13">
        <f>VLOOKUP(A23,'Données projet'!$A$165:$I$185,9,0)</f>
        <v>16.12</v>
      </c>
      <c r="DN23" s="13">
        <f t="array" ref="DN23">INDEX(DM:DM,MIN(IF(ISNUMBER(DM23:DM219),ROW(DM23:DM219),"")))</f>
        <v>16.12</v>
      </c>
      <c r="DO23" s="13">
        <f>IF('Données projet'!$A$166&gt;35,DO22+DN23-DW22,IF(A23&lt;'Données projet'!$A$166,$DL$205^A23,IF(A23='Données projet'!$A$166,'Données projet'!$B$166,DO22+DN23-DW22)))</f>
        <v>171.9</v>
      </c>
      <c r="DP23" s="18">
        <f>DO23*VLOOKUP('Données projet'!$B$14,Paramètres!$A$1:$I$89,3,0)*VLOOKUP('Données projet'!$B$14,Paramètres!$A$1:$I$89,5,0)</f>
        <v>126.03707999999999</v>
      </c>
      <c r="DQ23" s="14">
        <f t="shared" si="43"/>
        <v>33.079001509487384</v>
      </c>
      <c r="DR23" s="22">
        <f t="shared" si="16"/>
        <v>277.12717529569051</v>
      </c>
      <c r="DS23" s="62">
        <f t="shared" si="17"/>
        <v>505.61159262653331</v>
      </c>
      <c r="DT23" s="62">
        <f ca="1">AVERAGE(OFFSET($DS$3,0,0,'Données projet'!$E$14+1,1))-AVERAGE(OFFSET($H$3,0,0,'Données projet'!$E$14+1,1))</f>
        <v>416.72317068678774</v>
      </c>
      <c r="DU23" s="62">
        <f t="shared" si="44"/>
        <v>447.32457429495537</v>
      </c>
      <c r="DV23" s="16">
        <f>IF(ISNA(VLOOKUP(A23,'Données projet'!$A$165:$I$185,3,0)),0,VLOOKUP(A23,'Données projet'!$A$165:$I$185,3,0))</f>
        <v>1</v>
      </c>
      <c r="DW23" s="16">
        <f>IF(ISNA(VLOOKUP(A23,'Données projet'!$A$165:$I$185,4,0)),0,VLOOKUP(A23,'Données projet'!$A$165:$I$185,4,0))</f>
        <v>90.7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55.647265332654101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>
        <f>VLOOKUP(A23,'Données projet'!$A$191:$I$211,2,0)</f>
        <v>99.358974358974351</v>
      </c>
      <c r="EH23" s="13">
        <f>VLOOKUP(A23,'Données projet'!$A$191:$I$211,9,0)</f>
        <v>8.0769230769230766</v>
      </c>
      <c r="EI23" s="13">
        <f t="array" ref="EI23">INDEX(EH:EH,MIN(IF(ISNUMBER(EH23:EH219),ROW(EH23:EH219),"")))</f>
        <v>8.0769230769230766</v>
      </c>
      <c r="EJ23" s="13">
        <f>IF('Données projet'!$A$192&gt;35,EJ22+EI23-ER22,IF(A23&lt;'Données projet'!$A$192,$EG$205^A23,IF(A23='Données projet'!$A$192,'Données projet'!$B$192,EJ22+EI23-ER22)))</f>
        <v>99.358974358974365</v>
      </c>
      <c r="EK23" s="18">
        <f>EJ23*VLOOKUP('Données projet'!$B$15,Paramètres!$A$1:$I$89,3,0)*VLOOKUP('Données projet'!$B$15,Paramètres!$A$1:$I$89,5,0)</f>
        <v>94.55</v>
      </c>
      <c r="EL23" s="14">
        <f t="shared" si="45"/>
        <v>25.659405828199805</v>
      </c>
      <c r="EM23" s="22">
        <f t="shared" si="19"/>
        <v>209.36471515078131</v>
      </c>
      <c r="EN23" s="62">
        <f t="shared" si="20"/>
        <v>437.84913248162411</v>
      </c>
      <c r="EO23" s="62">
        <f ca="1">AVERAGE(OFFSET($EN$3,0,0,'Données projet'!$E$15+1,1))-AVERAGE(OFFSET($H$3,0,0,'Données projet'!$E$15+1,1))</f>
        <v>454.78867027701426</v>
      </c>
      <c r="EP23" s="62">
        <f t="shared" si="46"/>
        <v>366.45346303927056</v>
      </c>
      <c r="EQ23" s="16">
        <f>IF(ISNA(VLOOKUP(A23,'Données projet'!$A$191:$I$211,3,0)),0,VLOOKUP(A23,'Données projet'!$A$191:$I$211,3,0))</f>
        <v>1</v>
      </c>
      <c r="ER23" s="16">
        <f>IF(ISNA(VLOOKUP(A23,'Données projet'!$A$191:$I$211,4,0)),0,VLOOKUP(A23,'Données projet'!$A$191:$I$211,4,0))</f>
        <v>28.846153846153847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55.647265332654101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>
        <f>VLOOKUP(A23,'Données projet'!$A$217:$I$237,2,0)</f>
        <v>128.2051282051282</v>
      </c>
      <c r="FC23" s="13">
        <f>VLOOKUP(A23,'Données projet'!$A$217:$I$237,9,0)</f>
        <v>10</v>
      </c>
      <c r="FD23" s="13">
        <f t="array" ref="FD23">INDEX(FC:FC,MIN(IF(ISNUMBER(FC23:FC219),ROW(FC23:FC219),"")))</f>
        <v>10</v>
      </c>
      <c r="FE23" s="13">
        <f>IF('Données projet'!$A$218&gt;35,FE22+FD23-FM22,IF(A23&lt;'Données projet'!$A$218,$FB$205^A23,IF(A23='Données projet'!$A$218,'Données projet'!$B$218,FE22+FD23-FM22)))</f>
        <v>128.2051282051282</v>
      </c>
      <c r="FF23" s="18">
        <f>FE23*VLOOKUP('Données projet'!$B$16,Paramètres!$A$1:$I$89,3,0)*VLOOKUP('Données projet'!$B$16,Paramètres!$A$1:$I$89,5,0)</f>
        <v>86</v>
      </c>
      <c r="FG23" s="14">
        <f t="shared" si="47"/>
        <v>23.597983677077231</v>
      </c>
      <c r="FH23" s="22">
        <f t="shared" si="22"/>
        <v>190.88315490424284</v>
      </c>
      <c r="FI23" s="62">
        <f t="shared" si="23"/>
        <v>419.36757223508562</v>
      </c>
      <c r="FJ23" s="62">
        <f ca="1">AVERAGE(OFFSET($FI$3,0,0,'Données projet'!$E$16+1,1))-AVERAGE(OFFSET($H$3,0,0,'Données projet'!$E$16+1,1))</f>
        <v>390.05579539539576</v>
      </c>
      <c r="FK23" s="62">
        <f t="shared" si="48"/>
        <v>323.72278615226139</v>
      </c>
      <c r="FL23" s="16">
        <f>IF(ISNA(VLOOKUP(A23,'Données projet'!$A$217:$I$237,3,0)),0,VLOOKUP(A23,'Données projet'!$A$217:$I$237,3,0))</f>
        <v>1</v>
      </c>
      <c r="FM23" s="16">
        <f>IF(ISNA(VLOOKUP(A23,'Données projet'!$A$217:$I$237,4,0)),0,VLOOKUP(A23,'Données projet'!$A$217:$I$237,4,0))</f>
        <v>39.102564102564102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projet'!$B$16,Paramètres!$A$1:$I$89,3,0)*0.475*44/12</f>
        <v>0</v>
      </c>
      <c r="FR23" s="23">
        <f>EXP(-LN(2)/25)*FR22+(1-EXP(-LN(2)/25))/(LN(2)/25)*Calculateur!FM23*Calculateur!FO23*VLOOKUP('Données projet'!$B$16,Paramètres!$A$1:$I$89,3,0)*0.475*44/12</f>
        <v>0</v>
      </c>
      <c r="FS23" s="23">
        <f>EXP(-LN(2)/2)*FS22+(1-EXP(-LN(2)/2))/(LN(2)/2)*FM23*FP23*VLOOKUP('Données projet'!$B$16,Paramètres!$A$1:$I$89,3,0)*0.475*44/12</f>
        <v>0</v>
      </c>
      <c r="FT23" s="24">
        <f t="shared" si="24"/>
        <v>0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55.647265332654101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>
        <f>VLOOKUP(A23,'Données projet'!$A$243:$I$263,2,0)</f>
        <v>73</v>
      </c>
      <c r="FX23" s="13">
        <f>VLOOKUP(A23,'Données projet'!$A$243:$I$263,9,0)</f>
        <v>3.65</v>
      </c>
      <c r="FY23" s="13">
        <f t="array" ref="FY23">INDEX(FX:FX,MIN(IF(ISNUMBER(FX23:FX219),ROW(FX23:FX219),"")))</f>
        <v>3.65</v>
      </c>
      <c r="FZ23" s="13">
        <f>IF('Données projet'!$A$244&gt;35,FZ22+FY23-GH22,IF(A23&lt;'Données projet'!$A$244,$FW$205^A23,IF(A23='Données projet'!$A$244,'Données projet'!$B$244,FZ22+FY23-GH22)))</f>
        <v>73</v>
      </c>
      <c r="GA23" s="18">
        <f>FZ23*VLOOKUP('Données projet'!$B$17,Paramètres!$A$1:$I$89,3,0)*VLOOKUP('Données projet'!$B$17,Paramètres!$A$1:$I$89,5,0)</f>
        <v>70.605599999999995</v>
      </c>
      <c r="GB23" s="14">
        <f t="shared" si="49"/>
        <v>19.823773913828742</v>
      </c>
      <c r="GC23" s="22">
        <f t="shared" si="25"/>
        <v>157.49782623325171</v>
      </c>
      <c r="GD23" s="62">
        <f t="shared" si="26"/>
        <v>385.98224356409452</v>
      </c>
      <c r="GE23" s="62">
        <f ca="1">AVERAGE(OFFSET($GD$3,0,0,'Données projet'!$E$17+1,1))-AVERAGE(OFFSET($H$3,0,0,'Données projet'!$E$17+1,1))</f>
        <v>578.44111602076555</v>
      </c>
      <c r="GF23" s="62">
        <f t="shared" si="50"/>
        <v>368.08542661432784</v>
      </c>
      <c r="GG23" s="16">
        <f>IF(ISNA(VLOOKUP(A23,'Données projet'!$A$243:$I$263,3,0)),0,VLOOKUP(A23,'Données projet'!$A$243:$I$263,3,0))</f>
        <v>1</v>
      </c>
      <c r="GH23" s="16">
        <f>IF(ISNA(VLOOKUP(A23,'Données projet'!$A$243:$I$263,4,0)),0,VLOOKUP(A23,'Données projet'!$A$243:$I$263,4,0))</f>
        <v>6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>
        <f>EXP(-LN(2)/35)*GL22+(1-EXP(-LN(2)/35))/(LN(2)/35)*GH23*GI23*VLOOKUP('Données projet'!$B$17,Paramètres!$A$1:$I$89,3,0)*0.475*44/12</f>
        <v>0</v>
      </c>
      <c r="GM23" s="23">
        <f>EXP(-LN(2)/25)*GM22+(1-EXP(-LN(2)/25))/(LN(2)/25)*Calculateur!GH23*Calculateur!GJ23*VLOOKUP('Données projet'!$B$17,Paramètres!$A$1:$I$89,3,0)*0.475*44/12</f>
        <v>0</v>
      </c>
      <c r="GN23" s="23">
        <f>EXP(-LN(2)/2)*GN22+(1-EXP(-LN(2)/2))/(LN(2)/2)*GH23*GK23*VLOOKUP('Données projet'!$B$17,Paramètres!$A$1:$I$89,3,0)*0.475*44/12</f>
        <v>0</v>
      </c>
      <c r="GO23" s="23">
        <f t="shared" si="27"/>
        <v>0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55.647265332654101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4.0735000000000001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14.936166666666667</v>
      </c>
      <c r="H24" s="70">
        <f t="shared" si="1"/>
        <v>196.922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55.896253191224957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7.2</v>
      </c>
      <c r="N24" s="14">
        <f>IF('Données projet'!$A$36&gt;35,N23+M24-V23,IF(A24&lt;'Données projet'!$A$36,$K$205^A24,IF(A24='Données projet'!$A$36,'Données projet'!$B$36,N23+M24-V23)))</f>
        <v>74.2</v>
      </c>
      <c r="O24" s="14">
        <f>N24*VLOOKUP('Données projet'!$B$9,Paramètres!$A$1:$I$89,3,0)*VLOOKUP('Données projet'!$B$9,Paramètres!$A$1:$I$89,5,0)</f>
        <v>67.136160000000004</v>
      </c>
      <c r="P24" s="14">
        <f t="shared" si="33"/>
        <v>18.960545405756019</v>
      </c>
      <c r="Q24" s="22">
        <f t="shared" si="2"/>
        <v>149.95176191502506</v>
      </c>
      <c r="R24" s="62">
        <f t="shared" si="0"/>
        <v>380.57135694951654</v>
      </c>
      <c r="S24" s="62">
        <f ca="1">AVERAGE(OFFSET($R$3,0,0,'Données projet'!$E$9+1,1))-AVERAGE(OFFSET($H$3,0,0,'Données projet'!$E$9+1,1))</f>
        <v>546.11281471711925</v>
      </c>
      <c r="T24" s="62">
        <f t="shared" si="34"/>
        <v>348.18069831447099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55.896253191224957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11</v>
      </c>
      <c r="AI24" s="14">
        <f>IF('Données projet'!$A$62&gt;35,AI23+AH24-AQ23,IF(A24&lt;'Données projet'!$A$62,$AF$205^A24,IF(A24='Données projet'!$A$62,'Données projet'!$B$62,AI23+AH24-AQ23)))</f>
        <v>67</v>
      </c>
      <c r="AJ24" s="14">
        <f>AI24*VLOOKUP('Données projet'!$B$10,Paramètres!$A$1:$I$89,3,0)*VLOOKUP('Données projet'!$B$10,Paramètres!$A$1:$I$89,5,0)</f>
        <v>57.486000000000004</v>
      </c>
      <c r="AK24" s="14">
        <f t="shared" si="35"/>
        <v>16.531076211754396</v>
      </c>
      <c r="AL24" s="22">
        <f t="shared" si="4"/>
        <v>128.9130744021389</v>
      </c>
      <c r="AM24" s="62">
        <f t="shared" si="5"/>
        <v>359.53266943663039</v>
      </c>
      <c r="AN24" s="62">
        <f ca="1">AVERAGE(OFFSET($AM$3,0,0,'Données projet'!$E$10+1,1))-AVERAGE(OFFSET($H$3,0,0,'Données projet'!$E$10+1,1))</f>
        <v>693.87994318348024</v>
      </c>
      <c r="AO24" s="62">
        <f t="shared" si="36"/>
        <v>327.71043739333641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55.896253191224957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7.2</v>
      </c>
      <c r="BD24" s="13">
        <f>IF('Données projet'!$A$88&gt;35,BD23+BC24-BL23,IF(A24&lt;'Données projet'!$A$88,$BA$205^A24,IF(A24='Données projet'!$A$88,'Données projet'!$B$88,BD23+BC24-BL23)))</f>
        <v>74.2</v>
      </c>
      <c r="BE24" s="14">
        <f>BD24*VLOOKUP('Données projet'!$B$11,Paramètres!$A$1:$I$89,3,0)*VLOOKUP('Données projet'!$B$11,Paramètres!$A$1:$I$89,5,0)</f>
        <v>62.506080000000011</v>
      </c>
      <c r="BF24" s="14">
        <f t="shared" si="37"/>
        <v>17.800367834870475</v>
      </c>
      <c r="BG24" s="22">
        <f t="shared" si="7"/>
        <v>139.86706331239944</v>
      </c>
      <c r="BH24" s="62">
        <f t="shared" si="8"/>
        <v>370.48665834689092</v>
      </c>
      <c r="BI24" s="62">
        <f ca="1">AVERAGE(OFFSET($BH$3,0,0,'Données projet'!$E$11+1,1))-AVERAGE(OFFSET($H$3,0,0,'Données projet'!$E$11+1,1))</f>
        <v>513.7388209355762</v>
      </c>
      <c r="BJ24" s="62">
        <f t="shared" si="38"/>
        <v>328.24603121433927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55.896253191224957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16.759999999999998</v>
      </c>
      <c r="BY24" s="13">
        <f>IF('Données projet'!$A$114&gt;35,BY23+BX24-CG23,IF(A24&lt;'Données projet'!$A$114,$BV$205^A24,IF(A24='Données projet'!$A$114,'Données projet'!$B$114,BY23+BX24-CG23)))</f>
        <v>97.96</v>
      </c>
      <c r="BZ24" s="14">
        <f>BY24*VLOOKUP('Données projet'!$B$12,Paramètres!$A$1:$I$89,3,0)*VLOOKUP('Données projet'!$B$12,Paramètres!$A$1:$I$89,5,0)</f>
        <v>77.936976000000001</v>
      </c>
      <c r="CA24" s="14">
        <f t="shared" si="39"/>
        <v>21.631999610874722</v>
      </c>
      <c r="CB24" s="22">
        <f t="shared" si="10"/>
        <v>173.41596585560683</v>
      </c>
      <c r="CC24" s="62">
        <f t="shared" si="11"/>
        <v>404.03556089009828</v>
      </c>
      <c r="CD24" s="62">
        <f ca="1">AVERAGE(OFFSET($CC$3,0,0,'Données projet'!$E$12+1,1))-AVERAGE(OFFSET($H$3,0,0,'Données projet'!$E$12+1,1))</f>
        <v>447.25854887589878</v>
      </c>
      <c r="CE24" s="62">
        <f t="shared" si="40"/>
        <v>480.13390593590157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55.896253191224957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10.6</v>
      </c>
      <c r="CT24" s="13">
        <f>IF('Données projet'!$A$140&gt;35,CT23+CS24-DB23,IF(A24&lt;'Données projet'!$A$140,$CQ$205^A24,IF(A24='Données projet'!$A$140,'Données projet'!$B$140,CT23+CS24-DB23)))</f>
        <v>95.59999999999998</v>
      </c>
      <c r="CU24" s="18">
        <f>CT24*VLOOKUP('Données projet'!$B$13,Paramètres!$A$1:$I$89,3,0)*VLOOKUP('Données projet'!$B$13,Paramètres!$A$1:$I$89,5,0)</f>
        <v>74.567999999999984</v>
      </c>
      <c r="CV24" s="14">
        <f t="shared" si="41"/>
        <v>20.803645727866297</v>
      </c>
      <c r="CW24" s="22">
        <f t="shared" si="13"/>
        <v>166.10561630936709</v>
      </c>
      <c r="CX24" s="62">
        <f t="shared" si="14"/>
        <v>396.72521134385858</v>
      </c>
      <c r="CY24" s="62">
        <f ca="1">AVERAGE(OFFSET($CX$3,0,0,'Données projet'!$E$13+1,1))-AVERAGE(OFFSET($H$3,0,0,'Données projet'!$E$13+1,1))</f>
        <v>308.52515801950324</v>
      </c>
      <c r="CZ24" s="62">
        <f t="shared" si="42"/>
        <v>299.05420638408953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55.896253191224957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16.759999999999998</v>
      </c>
      <c r="DO24" s="13">
        <f>IF('Données projet'!$A$166&gt;35,DO23+DN24-DW23,IF(A24&lt;'Données projet'!$A$166,$DL$205^A24,IF(A24='Données projet'!$A$166,'Données projet'!$B$166,DO23+DN24-DW23)))</f>
        <v>97.96</v>
      </c>
      <c r="DP24" s="18">
        <f>DO24*VLOOKUP('Données projet'!$B$14,Paramètres!$A$1:$I$89,3,0)*VLOOKUP('Données projet'!$B$14,Paramètres!$A$1:$I$89,5,0)</f>
        <v>71.824271999999993</v>
      </c>
      <c r="DQ24" s="14">
        <f t="shared" si="43"/>
        <v>20.12580804228309</v>
      </c>
      <c r="DR24" s="22">
        <f t="shared" si="16"/>
        <v>160.14638940697634</v>
      </c>
      <c r="DS24" s="62">
        <f t="shared" si="17"/>
        <v>390.76598444146782</v>
      </c>
      <c r="DT24" s="62">
        <f ca="1">AVERAGE(OFFSET($DS$3,0,0,'Données projet'!$E$14+1,1))-AVERAGE(OFFSET($H$3,0,0,'Données projet'!$E$14+1,1))</f>
        <v>416.72317068678774</v>
      </c>
      <c r="DU24" s="62">
        <f t="shared" si="44"/>
        <v>447.32457429495537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55.896253191224957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8.0769230769230802</v>
      </c>
      <c r="EJ24" s="13">
        <f>IF('Données projet'!$A$192&gt;35,EJ23+EI24-ER23,IF(A24&lt;'Données projet'!$A$192,$EG$205^A24,IF(A24='Données projet'!$A$192,'Données projet'!$B$192,EJ23+EI24-ER23)))</f>
        <v>78.589743589743591</v>
      </c>
      <c r="EK24" s="18">
        <f>EJ24*VLOOKUP('Données projet'!$B$15,Paramètres!$A$1:$I$89,3,0)*VLOOKUP('Données projet'!$B$15,Paramètres!$A$1:$I$89,5,0)</f>
        <v>74.786000000000001</v>
      </c>
      <c r="EL24" s="14">
        <f t="shared" si="45"/>
        <v>20.857376778776572</v>
      </c>
      <c r="EM24" s="22">
        <f t="shared" si="19"/>
        <v>166.57888122303586</v>
      </c>
      <c r="EN24" s="62">
        <f t="shared" si="20"/>
        <v>397.19847625752732</v>
      </c>
      <c r="EO24" s="62">
        <f ca="1">AVERAGE(OFFSET($EN$3,0,0,'Données projet'!$E$15+1,1))-AVERAGE(OFFSET($H$3,0,0,'Données projet'!$E$15+1,1))</f>
        <v>454.78867027701426</v>
      </c>
      <c r="EP24" s="62">
        <f t="shared" si="46"/>
        <v>366.45346303927056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55.896253191224957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9.7435897435897427</v>
      </c>
      <c r="FE24" s="13">
        <f>IF('Données projet'!$A$218&gt;35,FE23+FD24-FM23,IF(A24&lt;'Données projet'!$A$218,$FB$205^A24,IF(A24='Données projet'!$A$218,'Données projet'!$B$218,FE23+FD24-FM23)))</f>
        <v>98.846153846153854</v>
      </c>
      <c r="FF24" s="18">
        <f>FE24*VLOOKUP('Données projet'!$B$16,Paramètres!$A$1:$I$89,3,0)*VLOOKUP('Données projet'!$B$16,Paramètres!$A$1:$I$89,5,0)</f>
        <v>66.305999999999997</v>
      </c>
      <c r="FG24" s="14">
        <f t="shared" si="47"/>
        <v>18.753232796006525</v>
      </c>
      <c r="FH24" s="22">
        <f t="shared" si="22"/>
        <v>148.1448304530447</v>
      </c>
      <c r="FI24" s="62">
        <f t="shared" si="23"/>
        <v>378.76442548753619</v>
      </c>
      <c r="FJ24" s="62">
        <f ca="1">AVERAGE(OFFSET($FI$3,0,0,'Données projet'!$E$16+1,1))-AVERAGE(OFFSET($H$3,0,0,'Données projet'!$E$16+1,1))</f>
        <v>390.05579539539576</v>
      </c>
      <c r="FK24" s="62">
        <f t="shared" si="48"/>
        <v>323.72278615226139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projet'!$B$16,Paramètres!$A$1:$I$89,3,0)*0.475*44/12</f>
        <v>0</v>
      </c>
      <c r="FR24" s="23">
        <f>EXP(-LN(2)/25)*FR23+(1-EXP(-LN(2)/25))/(LN(2)/25)*Calculateur!FM24*Calculateur!FO24*VLOOKUP('Données projet'!$B$16,Paramètres!$A$1:$I$89,3,0)*0.475*44/12</f>
        <v>0</v>
      </c>
      <c r="FS24" s="23">
        <f>EXP(-LN(2)/2)*FS23+(1-EXP(-LN(2)/2))/(LN(2)/2)*FM24*FP24*VLOOKUP('Données projet'!$B$16,Paramètres!$A$1:$I$89,3,0)*0.475*44/12</f>
        <v>0</v>
      </c>
      <c r="FT24" s="24">
        <f t="shared" si="24"/>
        <v>0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55.896253191224957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7.2</v>
      </c>
      <c r="FZ24" s="13">
        <f>IF('Données projet'!$A$244&gt;35,FZ23+FY24-GH23,IF(A24&lt;'Données projet'!$A$244,$FW$205^A24,IF(A24='Données projet'!$A$244,'Données projet'!$B$244,FZ23+FY24-GH23)))</f>
        <v>74.2</v>
      </c>
      <c r="GA24" s="18">
        <f>FZ24*VLOOKUP('Données projet'!$B$17,Paramètres!$A$1:$I$89,3,0)*VLOOKUP('Données projet'!$B$17,Paramètres!$A$1:$I$89,5,0)</f>
        <v>71.76624000000001</v>
      </c>
      <c r="GB24" s="14">
        <f t="shared" si="49"/>
        <v>20.111439068025625</v>
      </c>
      <c r="GC24" s="22">
        <f t="shared" si="25"/>
        <v>160.02029104347795</v>
      </c>
      <c r="GD24" s="62">
        <f t="shared" si="26"/>
        <v>390.63988607796944</v>
      </c>
      <c r="GE24" s="62">
        <f ca="1">AVERAGE(OFFSET($GD$3,0,0,'Données projet'!$E$17+1,1))-AVERAGE(OFFSET($H$3,0,0,'Données projet'!$E$17+1,1))</f>
        <v>578.44111602076555</v>
      </c>
      <c r="GF24" s="62">
        <f t="shared" si="50"/>
        <v>368.08542661432784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>
        <f>EXP(-LN(2)/35)*GL23+(1-EXP(-LN(2)/35))/(LN(2)/35)*GH24*GI24*VLOOKUP('Données projet'!$B$17,Paramètres!$A$1:$I$89,3,0)*0.475*44/12</f>
        <v>0</v>
      </c>
      <c r="GM24" s="23">
        <f>EXP(-LN(2)/25)*GM23+(1-EXP(-LN(2)/25))/(LN(2)/25)*Calculateur!GH24*Calculateur!GJ24*VLOOKUP('Données projet'!$B$17,Paramètres!$A$1:$I$89,3,0)*0.475*44/12</f>
        <v>0</v>
      </c>
      <c r="GN24" s="23">
        <f>EXP(-LN(2)/2)*GN23+(1-EXP(-LN(2)/2))/(LN(2)/2)*GH24*GK24*VLOOKUP('Données projet'!$B$17,Paramètres!$A$1:$I$89,3,0)*0.475*44/12</f>
        <v>0</v>
      </c>
      <c r="GO24" s="23">
        <f t="shared" si="27"/>
        <v>0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55.896253191224957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4.0735000000000001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14.936166666666667</v>
      </c>
      <c r="H25" s="70">
        <f t="shared" si="1"/>
        <v>196.922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56.140921667103058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7.2</v>
      </c>
      <c r="N25" s="14">
        <f>IF('Données projet'!$A$36&gt;35,N24+M25-V24,IF(A25&lt;'Données projet'!$A$36,$K$205^A25,IF(A25='Données projet'!$A$36,'Données projet'!$B$36,N24+M25-V24)))</f>
        <v>81.400000000000006</v>
      </c>
      <c r="O25" s="14">
        <f>N25*VLOOKUP('Données projet'!$B$9,Paramètres!$A$1:$I$89,3,0)*VLOOKUP('Données projet'!$B$9,Paramètres!$A$1:$I$89,5,0)</f>
        <v>73.650720000000007</v>
      </c>
      <c r="P25" s="14">
        <f t="shared" si="33"/>
        <v>20.577360172493922</v>
      </c>
      <c r="Q25" s="22">
        <f t="shared" si="2"/>
        <v>164.11390630042692</v>
      </c>
      <c r="R25" s="62">
        <f t="shared" si="0"/>
        <v>396.85284130202706</v>
      </c>
      <c r="S25" s="62">
        <f ca="1">AVERAGE(OFFSET($R$3,0,0,'Données projet'!$E$9+1,1))-AVERAGE(OFFSET($H$3,0,0,'Données projet'!$E$9+1,1))</f>
        <v>546.11281471711925</v>
      </c>
      <c r="T25" s="62">
        <f t="shared" si="34"/>
        <v>348.18069831447099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56.140921667103058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11</v>
      </c>
      <c r="AI25" s="14">
        <f>IF('Données projet'!$A$62&gt;35,AI24+AH25-AQ24,IF(A25&lt;'Données projet'!$A$62,$AF$205^A25,IF(A25='Données projet'!$A$62,'Données projet'!$B$62,AI24+AH25-AQ24)))</f>
        <v>78</v>
      </c>
      <c r="AJ25" s="14">
        <f>AI25*VLOOKUP('Données projet'!$B$10,Paramètres!$A$1:$I$89,3,0)*VLOOKUP('Données projet'!$B$10,Paramètres!$A$1:$I$89,5,0)</f>
        <v>66.924000000000007</v>
      </c>
      <c r="AK25" s="14">
        <f t="shared" si="35"/>
        <v>18.90759204786767</v>
      </c>
      <c r="AL25" s="22">
        <f t="shared" si="4"/>
        <v>149.49002281670286</v>
      </c>
      <c r="AM25" s="62">
        <f t="shared" si="5"/>
        <v>382.228957818303</v>
      </c>
      <c r="AN25" s="62">
        <f ca="1">AVERAGE(OFFSET($AM$3,0,0,'Données projet'!$E$10+1,1))-AVERAGE(OFFSET($H$3,0,0,'Données projet'!$E$10+1,1))</f>
        <v>693.87994318348024</v>
      </c>
      <c r="AO25" s="62">
        <f t="shared" si="36"/>
        <v>327.71043739333641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56.140921667103058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7.2</v>
      </c>
      <c r="BD25" s="13">
        <f>IF('Données projet'!$A$88&gt;35,BD24+BC25-BL24,IF(A25&lt;'Données projet'!$A$88,$BA$205^A25,IF(A25='Données projet'!$A$88,'Données projet'!$B$88,BD24+BC25-BL24)))</f>
        <v>81.400000000000006</v>
      </c>
      <c r="BE25" s="14">
        <f>BD25*VLOOKUP('Données projet'!$B$11,Paramètres!$A$1:$I$89,3,0)*VLOOKUP('Données projet'!$B$11,Paramètres!$A$1:$I$89,5,0)</f>
        <v>68.571360000000013</v>
      </c>
      <c r="BF25" s="14">
        <f t="shared" si="37"/>
        <v>19.318251258205343</v>
      </c>
      <c r="BG25" s="22">
        <f t="shared" si="7"/>
        <v>153.07440627470763</v>
      </c>
      <c r="BH25" s="62">
        <f t="shared" si="8"/>
        <v>385.81334127630771</v>
      </c>
      <c r="BI25" s="62">
        <f ca="1">AVERAGE(OFFSET($BH$3,0,0,'Données projet'!$E$11+1,1))-AVERAGE(OFFSET($H$3,0,0,'Données projet'!$E$11+1,1))</f>
        <v>513.7388209355762</v>
      </c>
      <c r="BJ25" s="62">
        <f t="shared" si="38"/>
        <v>328.24603121433927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56.140921667103058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16.759999999999998</v>
      </c>
      <c r="BY25" s="13">
        <f>IF('Données projet'!$A$114&gt;35,BY24+BX25-CG24,IF(A25&lt;'Données projet'!$A$114,$BV$205^A25,IF(A25='Données projet'!$A$114,'Données projet'!$B$114,BY24+BX25-CG24)))</f>
        <v>114.72</v>
      </c>
      <c r="BZ25" s="14">
        <f>BY25*VLOOKUP('Données projet'!$B$12,Paramètres!$A$1:$I$89,3,0)*VLOOKUP('Données projet'!$B$12,Paramètres!$A$1:$I$89,5,0)</f>
        <v>91.271231999999998</v>
      </c>
      <c r="CA25" s="14">
        <f t="shared" si="39"/>
        <v>24.871564819221952</v>
      </c>
      <c r="CB25" s="22">
        <f t="shared" si="10"/>
        <v>202.28203779347825</v>
      </c>
      <c r="CC25" s="62">
        <f t="shared" si="11"/>
        <v>435.02097279507836</v>
      </c>
      <c r="CD25" s="62">
        <f ca="1">AVERAGE(OFFSET($CC$3,0,0,'Données projet'!$E$12+1,1))-AVERAGE(OFFSET($H$3,0,0,'Données projet'!$E$12+1,1))</f>
        <v>447.25854887589878</v>
      </c>
      <c r="CE25" s="62">
        <f t="shared" si="40"/>
        <v>480.13390593590157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56.140921667103058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10.6</v>
      </c>
      <c r="CT25" s="13">
        <f>IF('Données projet'!$A$140&gt;35,CT24+CS25-DB24,IF(A25&lt;'Données projet'!$A$140,$CQ$205^A25,IF(A25='Données projet'!$A$140,'Données projet'!$B$140,CT24+CS25-DB24)))</f>
        <v>106.19999999999997</v>
      </c>
      <c r="CU25" s="18">
        <f>CT25*VLOOKUP('Données projet'!$B$13,Paramètres!$A$1:$I$89,3,0)*VLOOKUP('Données projet'!$B$13,Paramètres!$A$1:$I$89,5,0)</f>
        <v>82.835999999999984</v>
      </c>
      <c r="CV25" s="14">
        <f t="shared" si="41"/>
        <v>22.829188748646001</v>
      </c>
      <c r="CW25" s="22">
        <f t="shared" si="13"/>
        <v>184.03353707055842</v>
      </c>
      <c r="CX25" s="62">
        <f t="shared" si="14"/>
        <v>416.77247207215851</v>
      </c>
      <c r="CY25" s="62">
        <f ca="1">AVERAGE(OFFSET($CX$3,0,0,'Données projet'!$E$13+1,1))-AVERAGE(OFFSET($H$3,0,0,'Données projet'!$E$13+1,1))</f>
        <v>308.52515801950324</v>
      </c>
      <c r="CZ25" s="62">
        <f t="shared" si="42"/>
        <v>299.05420638408953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56.140921667103058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16.759999999999998</v>
      </c>
      <c r="DO25" s="13">
        <f>IF('Données projet'!$A$166&gt;35,DO24+DN25-DW24,IF(A25&lt;'Données projet'!$A$166,$DL$205^A25,IF(A25='Données projet'!$A$166,'Données projet'!$B$166,DO24+DN25-DW24)))</f>
        <v>114.72</v>
      </c>
      <c r="DP25" s="18">
        <f>DO25*VLOOKUP('Données projet'!$B$14,Paramètres!$A$1:$I$89,3,0)*VLOOKUP('Données projet'!$B$14,Paramètres!$A$1:$I$89,5,0)</f>
        <v>84.112703999999994</v>
      </c>
      <c r="DQ25" s="14">
        <f t="shared" si="43"/>
        <v>23.139808999036021</v>
      </c>
      <c r="DR25" s="22">
        <f t="shared" si="16"/>
        <v>186.79812680665438</v>
      </c>
      <c r="DS25" s="62">
        <f t="shared" si="17"/>
        <v>419.53706180825452</v>
      </c>
      <c r="DT25" s="62">
        <f ca="1">AVERAGE(OFFSET($DS$3,0,0,'Données projet'!$E$14+1,1))-AVERAGE(OFFSET($H$3,0,0,'Données projet'!$E$14+1,1))</f>
        <v>416.72317068678774</v>
      </c>
      <c r="DU25" s="62">
        <f t="shared" si="44"/>
        <v>447.32457429495537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56.140921667103058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8.0769230769230802</v>
      </c>
      <c r="EJ25" s="13">
        <f>IF('Données projet'!$A$192&gt;35,EJ24+EI25-ER24,IF(A25&lt;'Données projet'!$A$192,$EG$205^A25,IF(A25='Données projet'!$A$192,'Données projet'!$B$192,EJ24+EI25-ER24)))</f>
        <v>86.666666666666671</v>
      </c>
      <c r="EK25" s="18">
        <f>EJ25*VLOOKUP('Données projet'!$B$15,Paramètres!$A$1:$I$89,3,0)*VLOOKUP('Données projet'!$B$15,Paramètres!$A$1:$I$89,5,0)</f>
        <v>82.472000000000008</v>
      </c>
      <c r="EL25" s="14">
        <f t="shared" si="45"/>
        <v>22.74052630717372</v>
      </c>
      <c r="EM25" s="22">
        <f t="shared" si="19"/>
        <v>183.24514998499424</v>
      </c>
      <c r="EN25" s="62">
        <f t="shared" si="20"/>
        <v>415.98408498659433</v>
      </c>
      <c r="EO25" s="62">
        <f ca="1">AVERAGE(OFFSET($EN$3,0,0,'Données projet'!$E$15+1,1))-AVERAGE(OFFSET($H$3,0,0,'Données projet'!$E$15+1,1))</f>
        <v>454.78867027701426</v>
      </c>
      <c r="EP25" s="62">
        <f t="shared" si="46"/>
        <v>366.45346303927056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56.140921667103058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9.7435897435897427</v>
      </c>
      <c r="FE25" s="13">
        <f>IF('Données projet'!$A$218&gt;35,FE24+FD25-FM24,IF(A25&lt;'Données projet'!$A$218,$FB$205^A25,IF(A25='Données projet'!$A$218,'Données projet'!$B$218,FE24+FD25-FM24)))</f>
        <v>108.58974358974359</v>
      </c>
      <c r="FF25" s="18">
        <f>FE25*VLOOKUP('Données projet'!$B$16,Paramètres!$A$1:$I$89,3,0)*VLOOKUP('Données projet'!$B$16,Paramètres!$A$1:$I$89,5,0)</f>
        <v>72.841999999999999</v>
      </c>
      <c r="FG25" s="14">
        <f t="shared" si="47"/>
        <v>20.377583329250708</v>
      </c>
      <c r="FH25" s="22">
        <f t="shared" si="22"/>
        <v>162.35744096511164</v>
      </c>
      <c r="FI25" s="62">
        <f t="shared" si="23"/>
        <v>395.09637596671178</v>
      </c>
      <c r="FJ25" s="62">
        <f ca="1">AVERAGE(OFFSET($FI$3,0,0,'Données projet'!$E$16+1,1))-AVERAGE(OFFSET($H$3,0,0,'Données projet'!$E$16+1,1))</f>
        <v>390.05579539539576</v>
      </c>
      <c r="FK25" s="62">
        <f t="shared" si="48"/>
        <v>323.72278615226139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projet'!$B$16,Paramètres!$A$1:$I$89,3,0)*0.475*44/12</f>
        <v>0</v>
      </c>
      <c r="FR25" s="23">
        <f>EXP(-LN(2)/25)*FR24+(1-EXP(-LN(2)/25))/(LN(2)/25)*Calculateur!FM25*Calculateur!FO25*VLOOKUP('Données projet'!$B$16,Paramètres!$A$1:$I$89,3,0)*0.475*44/12</f>
        <v>0</v>
      </c>
      <c r="FS25" s="23">
        <f>EXP(-LN(2)/2)*FS24+(1-EXP(-LN(2)/2))/(LN(2)/2)*FM25*FP25*VLOOKUP('Données projet'!$B$16,Paramètres!$A$1:$I$89,3,0)*0.475*44/12</f>
        <v>0</v>
      </c>
      <c r="FT25" s="24">
        <f t="shared" si="24"/>
        <v>0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56.140921667103058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7.2</v>
      </c>
      <c r="FZ25" s="13">
        <f>IF('Données projet'!$A$244&gt;35,FZ24+FY25-GH24,IF(A25&lt;'Données projet'!$A$244,$FW$205^A25,IF(A25='Données projet'!$A$244,'Données projet'!$B$244,FZ24+FY25-GH24)))</f>
        <v>81.400000000000006</v>
      </c>
      <c r="GA25" s="18">
        <f>FZ25*VLOOKUP('Données projet'!$B$17,Paramètres!$A$1:$I$89,3,0)*VLOOKUP('Données projet'!$B$17,Paramètres!$A$1:$I$89,5,0)</f>
        <v>78.730080000000015</v>
      </c>
      <c r="GB25" s="14">
        <f t="shared" si="49"/>
        <v>21.826393515256996</v>
      </c>
      <c r="GC25" s="22">
        <f t="shared" si="25"/>
        <v>175.13585803907259</v>
      </c>
      <c r="GD25" s="62">
        <f t="shared" si="26"/>
        <v>407.87479304067267</v>
      </c>
      <c r="GE25" s="62">
        <f ca="1">AVERAGE(OFFSET($GD$3,0,0,'Données projet'!$E$17+1,1))-AVERAGE(OFFSET($H$3,0,0,'Données projet'!$E$17+1,1))</f>
        <v>578.44111602076555</v>
      </c>
      <c r="GF25" s="62">
        <f t="shared" si="50"/>
        <v>368.08542661432784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>
        <f>EXP(-LN(2)/35)*GL24+(1-EXP(-LN(2)/35))/(LN(2)/35)*GH25*GI25*VLOOKUP('Données projet'!$B$17,Paramètres!$A$1:$I$89,3,0)*0.475*44/12</f>
        <v>0</v>
      </c>
      <c r="GM25" s="23">
        <f>EXP(-LN(2)/25)*GM24+(1-EXP(-LN(2)/25))/(LN(2)/25)*Calculateur!GH25*Calculateur!GJ25*VLOOKUP('Données projet'!$B$17,Paramètres!$A$1:$I$89,3,0)*0.475*44/12</f>
        <v>0</v>
      </c>
      <c r="GN25" s="23">
        <f>EXP(-LN(2)/2)*GN24+(1-EXP(-LN(2)/2))/(LN(2)/2)*GH25*GK25*VLOOKUP('Données projet'!$B$17,Paramètres!$A$1:$I$89,3,0)*0.475*44/12</f>
        <v>0</v>
      </c>
      <c r="GO25" s="23">
        <f t="shared" si="27"/>
        <v>0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56.140921667103058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4.0735000000000001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14.936166666666667</v>
      </c>
      <c r="H26" s="70">
        <f t="shared" si="1"/>
        <v>196.922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56.381345691921453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7.2</v>
      </c>
      <c r="N26" s="14">
        <f>IF('Données projet'!$A$36&gt;35,N25+M26-V25,IF(A26&lt;'Données projet'!$A$36,$K$205^A26,IF(A26='Données projet'!$A$36,'Données projet'!$B$36,N25+M26-V25)))</f>
        <v>88.600000000000009</v>
      </c>
      <c r="O26" s="14">
        <f>N26*VLOOKUP('Données projet'!$B$9,Paramètres!$A$1:$I$89,3,0)*VLOOKUP('Données projet'!$B$9,Paramètres!$A$1:$I$89,5,0)</f>
        <v>80.165279999999996</v>
      </c>
      <c r="P26" s="14">
        <f t="shared" si="33"/>
        <v>22.177591092468788</v>
      </c>
      <c r="Q26" s="22">
        <f t="shared" si="2"/>
        <v>178.24716715271646</v>
      </c>
      <c r="R26" s="62">
        <f t="shared" si="0"/>
        <v>413.08987913420623</v>
      </c>
      <c r="S26" s="62">
        <f ca="1">AVERAGE(OFFSET($R$3,0,0,'Données projet'!$E$9+1,1))-AVERAGE(OFFSET($H$3,0,0,'Données projet'!$E$9+1,1))</f>
        <v>546.11281471711925</v>
      </c>
      <c r="T26" s="62">
        <f t="shared" si="34"/>
        <v>348.18069831447099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56.381345691921453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11</v>
      </c>
      <c r="AI26" s="14">
        <f>IF('Données projet'!$A$62&gt;35,AI25+AH26-AQ25,IF(A26&lt;'Données projet'!$A$62,$AF$205^A26,IF(A26='Données projet'!$A$62,'Données projet'!$B$62,AI25+AH26-AQ25)))</f>
        <v>89</v>
      </c>
      <c r="AJ26" s="14">
        <f>AI26*VLOOKUP('Données projet'!$B$10,Paramètres!$A$1:$I$89,3,0)*VLOOKUP('Données projet'!$B$10,Paramètres!$A$1:$I$89,5,0)</f>
        <v>76.362000000000009</v>
      </c>
      <c r="AK26" s="14">
        <f t="shared" si="35"/>
        <v>21.245279172340783</v>
      </c>
      <c r="AL26" s="22">
        <f t="shared" si="4"/>
        <v>169.99934455849356</v>
      </c>
      <c r="AM26" s="62">
        <f t="shared" si="5"/>
        <v>404.84205653998333</v>
      </c>
      <c r="AN26" s="62">
        <f ca="1">AVERAGE(OFFSET($AM$3,0,0,'Données projet'!$E$10+1,1))-AVERAGE(OFFSET($H$3,0,0,'Données projet'!$E$10+1,1))</f>
        <v>693.87994318348024</v>
      </c>
      <c r="AO26" s="62">
        <f t="shared" si="36"/>
        <v>327.71043739333641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56.381345691921453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7.2</v>
      </c>
      <c r="BD26" s="13">
        <f>IF('Données projet'!$A$88&gt;35,BD25+BC26-BL25,IF(A26&lt;'Données projet'!$A$88,$BA$205^A26,IF(A26='Données projet'!$A$88,'Données projet'!$B$88,BD25+BC26-BL25)))</f>
        <v>88.600000000000009</v>
      </c>
      <c r="BE26" s="14">
        <f>BD26*VLOOKUP('Données projet'!$B$11,Paramètres!$A$1:$I$89,3,0)*VLOOKUP('Données projet'!$B$11,Paramètres!$A$1:$I$89,5,0)</f>
        <v>74.636640000000014</v>
      </c>
      <c r="BF26" s="14">
        <f t="shared" si="37"/>
        <v>20.82056558443978</v>
      </c>
      <c r="BG26" s="22">
        <f t="shared" si="7"/>
        <v>166.25463305956598</v>
      </c>
      <c r="BH26" s="62">
        <f t="shared" si="8"/>
        <v>401.09734504105575</v>
      </c>
      <c r="BI26" s="62">
        <f ca="1">AVERAGE(OFFSET($BH$3,0,0,'Données projet'!$E$11+1,1))-AVERAGE(OFFSET($H$3,0,0,'Données projet'!$E$11+1,1))</f>
        <v>513.7388209355762</v>
      </c>
      <c r="BJ26" s="62">
        <f t="shared" si="38"/>
        <v>328.24603121433927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56.381345691921453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16.759999999999998</v>
      </c>
      <c r="BY26" s="13">
        <f>IF('Données projet'!$A$114&gt;35,BY25+BX26-CG25,IF(A26&lt;'Données projet'!$A$114,$BV$205^A26,IF(A26='Données projet'!$A$114,'Données projet'!$B$114,BY25+BX26-CG25)))</f>
        <v>131.47999999999999</v>
      </c>
      <c r="BZ26" s="14">
        <f>BY26*VLOOKUP('Données projet'!$B$12,Paramètres!$A$1:$I$89,3,0)*VLOOKUP('Données projet'!$B$12,Paramètres!$A$1:$I$89,5,0)</f>
        <v>104.60548800000001</v>
      </c>
      <c r="CA26" s="14">
        <f t="shared" si="39"/>
        <v>28.056299852937009</v>
      </c>
      <c r="CB26" s="22">
        <f t="shared" si="10"/>
        <v>231.05261384386529</v>
      </c>
      <c r="CC26" s="62">
        <f t="shared" si="11"/>
        <v>465.89532582535503</v>
      </c>
      <c r="CD26" s="62">
        <f ca="1">AVERAGE(OFFSET($CC$3,0,0,'Données projet'!$E$12+1,1))-AVERAGE(OFFSET($H$3,0,0,'Données projet'!$E$12+1,1))</f>
        <v>447.25854887589878</v>
      </c>
      <c r="CE26" s="62">
        <f t="shared" si="40"/>
        <v>480.13390593590157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56.381345691921453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10.6</v>
      </c>
      <c r="CT26" s="13">
        <f>IF('Données projet'!$A$140&gt;35,CT25+CS26-DB25,IF(A26&lt;'Données projet'!$A$140,$CQ$205^A26,IF(A26='Données projet'!$A$140,'Données projet'!$B$140,CT25+CS26-DB25)))</f>
        <v>116.79999999999997</v>
      </c>
      <c r="CU26" s="18">
        <f>CT26*VLOOKUP('Données projet'!$B$13,Paramètres!$A$1:$I$89,3,0)*VLOOKUP('Données projet'!$B$13,Paramètres!$A$1:$I$89,5,0)</f>
        <v>91.103999999999985</v>
      </c>
      <c r="CV26" s="14">
        <f t="shared" si="41"/>
        <v>24.831293984707862</v>
      </c>
      <c r="CW26" s="22">
        <f t="shared" si="13"/>
        <v>201.92063702336614</v>
      </c>
      <c r="CX26" s="62">
        <f t="shared" si="14"/>
        <v>436.76334900485591</v>
      </c>
      <c r="CY26" s="62">
        <f ca="1">AVERAGE(OFFSET($CX$3,0,0,'Données projet'!$E$13+1,1))-AVERAGE(OFFSET($H$3,0,0,'Données projet'!$E$13+1,1))</f>
        <v>308.52515801950324</v>
      </c>
      <c r="CZ26" s="62">
        <f t="shared" si="42"/>
        <v>299.05420638408953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56.381345691921453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16.759999999999998</v>
      </c>
      <c r="DO26" s="13">
        <f>IF('Données projet'!$A$166&gt;35,DO25+DN26-DW25,IF(A26&lt;'Données projet'!$A$166,$DL$205^A26,IF(A26='Données projet'!$A$166,'Données projet'!$B$166,DO25+DN26-DW25)))</f>
        <v>131.47999999999999</v>
      </c>
      <c r="DP26" s="18">
        <f>DO26*VLOOKUP('Données projet'!$B$14,Paramètres!$A$1:$I$89,3,0)*VLOOKUP('Données projet'!$B$14,Paramètres!$A$1:$I$89,5,0)</f>
        <v>96.401135999999994</v>
      </c>
      <c r="DQ26" s="14">
        <f t="shared" si="43"/>
        <v>26.102797493260166</v>
      </c>
      <c r="DR26" s="22">
        <f t="shared" si="16"/>
        <v>213.36101750076145</v>
      </c>
      <c r="DS26" s="62">
        <f t="shared" si="17"/>
        <v>448.20372948225122</v>
      </c>
      <c r="DT26" s="62">
        <f ca="1">AVERAGE(OFFSET($DS$3,0,0,'Données projet'!$E$14+1,1))-AVERAGE(OFFSET($H$3,0,0,'Données projet'!$E$14+1,1))</f>
        <v>416.72317068678774</v>
      </c>
      <c r="DU26" s="62">
        <f t="shared" si="44"/>
        <v>447.32457429495537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56.381345691921453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8.0769230769230802</v>
      </c>
      <c r="EJ26" s="13">
        <f>IF('Données projet'!$A$192&gt;35,EJ25+EI26-ER25,IF(A26&lt;'Données projet'!$A$192,$EG$205^A26,IF(A26='Données projet'!$A$192,'Données projet'!$B$192,EJ25+EI26-ER25)))</f>
        <v>94.743589743589752</v>
      </c>
      <c r="EK26" s="18">
        <f>EJ26*VLOOKUP('Données projet'!$B$15,Paramètres!$A$1:$I$89,3,0)*VLOOKUP('Données projet'!$B$15,Paramètres!$A$1:$I$89,5,0)</f>
        <v>90.158000000000015</v>
      </c>
      <c r="EL26" s="14">
        <f t="shared" si="45"/>
        <v>24.603326898422615</v>
      </c>
      <c r="EM26" s="22">
        <f t="shared" si="19"/>
        <v>199.87597768141939</v>
      </c>
      <c r="EN26" s="62">
        <f t="shared" si="20"/>
        <v>434.71868966290913</v>
      </c>
      <c r="EO26" s="62">
        <f ca="1">AVERAGE(OFFSET($EN$3,0,0,'Données projet'!$E$15+1,1))-AVERAGE(OFFSET($H$3,0,0,'Données projet'!$E$15+1,1))</f>
        <v>454.78867027701426</v>
      </c>
      <c r="EP26" s="62">
        <f t="shared" si="46"/>
        <v>366.45346303927056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56.381345691921453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9.7435897435897427</v>
      </c>
      <c r="FE26" s="13">
        <f>IF('Données projet'!$A$218&gt;35,FE25+FD26-FM25,IF(A26&lt;'Données projet'!$A$218,$FB$205^A26,IF(A26='Données projet'!$A$218,'Données projet'!$B$218,FE25+FD26-FM25)))</f>
        <v>118.33333333333333</v>
      </c>
      <c r="FF26" s="18">
        <f>FE26*VLOOKUP('Données projet'!$B$16,Paramètres!$A$1:$I$89,3,0)*VLOOKUP('Données projet'!$B$16,Paramètres!$A$1:$I$89,5,0)</f>
        <v>79.378</v>
      </c>
      <c r="FG26" s="14">
        <f t="shared" si="47"/>
        <v>21.985032877161519</v>
      </c>
      <c r="FH26" s="22">
        <f t="shared" si="22"/>
        <v>176.54061559438961</v>
      </c>
      <c r="FI26" s="62">
        <f t="shared" si="23"/>
        <v>411.38332757587938</v>
      </c>
      <c r="FJ26" s="62">
        <f ca="1">AVERAGE(OFFSET($FI$3,0,0,'Données projet'!$E$16+1,1))-AVERAGE(OFFSET($H$3,0,0,'Données projet'!$E$16+1,1))</f>
        <v>390.05579539539576</v>
      </c>
      <c r="FK26" s="62">
        <f t="shared" si="48"/>
        <v>323.72278615226139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projet'!$B$16,Paramètres!$A$1:$I$89,3,0)*0.475*44/12</f>
        <v>0</v>
      </c>
      <c r="FR26" s="23">
        <f>EXP(-LN(2)/25)*FR25+(1-EXP(-LN(2)/25))/(LN(2)/25)*Calculateur!FM26*Calculateur!FO26*VLOOKUP('Données projet'!$B$16,Paramètres!$A$1:$I$89,3,0)*0.475*44/12</f>
        <v>0</v>
      </c>
      <c r="FS26" s="23">
        <f>EXP(-LN(2)/2)*FS25+(1-EXP(-LN(2)/2))/(LN(2)/2)*FM26*FP26*VLOOKUP('Données projet'!$B$16,Paramètres!$A$1:$I$89,3,0)*0.475*44/12</f>
        <v>0</v>
      </c>
      <c r="FT26" s="24">
        <f t="shared" si="24"/>
        <v>0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56.381345691921453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7.2</v>
      </c>
      <c r="FZ26" s="13">
        <f>IF('Données projet'!$A$244&gt;35,FZ25+FY26-GH25,IF(A26&lt;'Données projet'!$A$244,$FW$205^A26,IF(A26='Données projet'!$A$244,'Données projet'!$B$244,FZ25+FY26-GH25)))</f>
        <v>88.600000000000009</v>
      </c>
      <c r="GA26" s="18">
        <f>FZ26*VLOOKUP('Données projet'!$B$17,Paramètres!$A$1:$I$89,3,0)*VLOOKUP('Données projet'!$B$17,Paramètres!$A$1:$I$89,5,0)</f>
        <v>85.693920000000006</v>
      </c>
      <c r="GB26" s="14">
        <f t="shared" si="49"/>
        <v>23.523757486236178</v>
      </c>
      <c r="GC26" s="22">
        <f t="shared" si="25"/>
        <v>190.22078828852798</v>
      </c>
      <c r="GD26" s="62">
        <f t="shared" si="26"/>
        <v>425.06350027001776</v>
      </c>
      <c r="GE26" s="62">
        <f ca="1">AVERAGE(OFFSET($GD$3,0,0,'Données projet'!$E$17+1,1))-AVERAGE(OFFSET($H$3,0,0,'Données projet'!$E$17+1,1))</f>
        <v>578.44111602076555</v>
      </c>
      <c r="GF26" s="62">
        <f t="shared" si="50"/>
        <v>368.08542661432784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>
        <f>EXP(-LN(2)/35)*GL25+(1-EXP(-LN(2)/35))/(LN(2)/35)*GH26*GI26*VLOOKUP('Données projet'!$B$17,Paramètres!$A$1:$I$89,3,0)*0.475*44/12</f>
        <v>0</v>
      </c>
      <c r="GM26" s="23">
        <f>EXP(-LN(2)/25)*GM25+(1-EXP(-LN(2)/25))/(LN(2)/25)*Calculateur!GH26*Calculateur!GJ26*VLOOKUP('Données projet'!$B$17,Paramètres!$A$1:$I$89,3,0)*0.475*44/12</f>
        <v>0</v>
      </c>
      <c r="GN26" s="23">
        <f>EXP(-LN(2)/2)*GN25+(1-EXP(-LN(2)/2))/(LN(2)/2)*GH26*GK26*VLOOKUP('Données projet'!$B$17,Paramètres!$A$1:$I$89,3,0)*0.475*44/12</f>
        <v>0</v>
      </c>
      <c r="GO26" s="23">
        <f t="shared" si="27"/>
        <v>0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56.381345691921453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4.0735000000000001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14.936166666666667</v>
      </c>
      <c r="H27" s="70">
        <f t="shared" si="1"/>
        <v>196.922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56.617598897416826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7.2</v>
      </c>
      <c r="N27" s="14">
        <f>IF('Données projet'!$A$36&gt;35,N26+M27-V26,IF(A27&lt;'Données projet'!$A$36,$K$205^A27,IF(A27='Données projet'!$A$36,'Données projet'!$B$36,N26+M27-V26)))</f>
        <v>95.800000000000011</v>
      </c>
      <c r="O27" s="14">
        <f>N27*VLOOKUP('Données projet'!$B$9,Paramètres!$A$1:$I$89,3,0)*VLOOKUP('Données projet'!$B$9,Paramètres!$A$1:$I$89,5,0)</f>
        <v>86.679839999999999</v>
      </c>
      <c r="P27" s="14">
        <f t="shared" si="33"/>
        <v>23.762739053789723</v>
      </c>
      <c r="Q27" s="22">
        <f t="shared" si="2"/>
        <v>192.35415851868379</v>
      </c>
      <c r="R27" s="62">
        <f t="shared" si="0"/>
        <v>429.28535447587876</v>
      </c>
      <c r="S27" s="62">
        <f ca="1">AVERAGE(OFFSET($R$3,0,0,'Données projet'!$E$9+1,1))-AVERAGE(OFFSET($H$3,0,0,'Données projet'!$E$9+1,1))</f>
        <v>546.11281471711925</v>
      </c>
      <c r="T27" s="62">
        <f t="shared" si="34"/>
        <v>348.18069831447099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56.617598897416826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11</v>
      </c>
      <c r="AI27" s="14">
        <f>IF('Données projet'!$A$62&gt;35,AI26+AH27-AQ26,IF(A27&lt;'Données projet'!$A$62,$AF$205^A27,IF(A27='Données projet'!$A$62,'Données projet'!$B$62,AI26+AH27-AQ26)))</f>
        <v>100</v>
      </c>
      <c r="AJ27" s="14">
        <f>AI27*VLOOKUP('Données projet'!$B$10,Paramètres!$A$1:$I$89,3,0)*VLOOKUP('Données projet'!$B$10,Paramètres!$A$1:$I$89,5,0)</f>
        <v>85.800000000000011</v>
      </c>
      <c r="AK27" s="14">
        <f t="shared" si="35"/>
        <v>23.549485995669766</v>
      </c>
      <c r="AL27" s="22">
        <f t="shared" si="4"/>
        <v>190.45035477579154</v>
      </c>
      <c r="AM27" s="62">
        <f t="shared" si="5"/>
        <v>427.38155073298651</v>
      </c>
      <c r="AN27" s="62">
        <f ca="1">AVERAGE(OFFSET($AM$3,0,0,'Données projet'!$E$10+1,1))-AVERAGE(OFFSET($H$3,0,0,'Données projet'!$E$10+1,1))</f>
        <v>693.87994318348024</v>
      </c>
      <c r="AO27" s="62">
        <f t="shared" si="36"/>
        <v>327.71043739333641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56.617598897416826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7.2</v>
      </c>
      <c r="BD27" s="13">
        <f>IF('Données projet'!$A$88&gt;35,BD26+BC27-BL26,IF(A27&lt;'Données projet'!$A$88,$BA$205^A27,IF(A27='Données projet'!$A$88,'Données projet'!$B$88,BD26+BC27-BL26)))</f>
        <v>95.800000000000011</v>
      </c>
      <c r="BE27" s="14">
        <f>BD27*VLOOKUP('Données projet'!$B$11,Paramètres!$A$1:$I$89,3,0)*VLOOKUP('Données projet'!$B$11,Paramètres!$A$1:$I$89,5,0)</f>
        <v>80.701920000000015</v>
      </c>
      <c r="BF27" s="14">
        <f t="shared" si="37"/>
        <v>22.308719863780368</v>
      </c>
      <c r="BG27" s="22">
        <f t="shared" si="7"/>
        <v>179.41019776275084</v>
      </c>
      <c r="BH27" s="62">
        <f t="shared" si="8"/>
        <v>416.34139371994581</v>
      </c>
      <c r="BI27" s="62">
        <f ca="1">AVERAGE(OFFSET($BH$3,0,0,'Données projet'!$E$11+1,1))-AVERAGE(OFFSET($H$3,0,0,'Données projet'!$E$11+1,1))</f>
        <v>513.7388209355762</v>
      </c>
      <c r="BJ27" s="62">
        <f t="shared" si="38"/>
        <v>328.24603121433927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56.617598897416826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16.759999999999998</v>
      </c>
      <c r="BY27" s="13">
        <f>IF('Données projet'!$A$114&gt;35,BY26+BX27-CG26,IF(A27&lt;'Données projet'!$A$114,$BV$205^A27,IF(A27='Données projet'!$A$114,'Données projet'!$B$114,BY26+BX27-CG26)))</f>
        <v>148.23999999999998</v>
      </c>
      <c r="BZ27" s="14">
        <f>BY27*VLOOKUP('Données projet'!$B$12,Paramètres!$A$1:$I$89,3,0)*VLOOKUP('Données projet'!$B$12,Paramètres!$A$1:$I$89,5,0)</f>
        <v>117.93974399999999</v>
      </c>
      <c r="CA27" s="14">
        <f t="shared" si="39"/>
        <v>31.19399517142142</v>
      </c>
      <c r="CB27" s="22">
        <f t="shared" si="10"/>
        <v>259.74126239022559</v>
      </c>
      <c r="CC27" s="62">
        <f t="shared" si="11"/>
        <v>496.67245834742062</v>
      </c>
      <c r="CD27" s="62">
        <f ca="1">AVERAGE(OFFSET($CC$3,0,0,'Données projet'!$E$12+1,1))-AVERAGE(OFFSET($H$3,0,0,'Données projet'!$E$12+1,1))</f>
        <v>447.25854887589878</v>
      </c>
      <c r="CE27" s="62">
        <f t="shared" si="40"/>
        <v>480.13390593590157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56.617598897416826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10.6</v>
      </c>
      <c r="CT27" s="13">
        <f>IF('Données projet'!$A$140&gt;35,CT26+CS27-DB26,IF(A27&lt;'Données projet'!$A$140,$CQ$205^A27,IF(A27='Données projet'!$A$140,'Données projet'!$B$140,CT26+CS27-DB26)))</f>
        <v>127.39999999999996</v>
      </c>
      <c r="CU27" s="18">
        <f>CT27*VLOOKUP('Données projet'!$B$13,Paramètres!$A$1:$I$89,3,0)*VLOOKUP('Données projet'!$B$13,Paramètres!$A$1:$I$89,5,0)</f>
        <v>99.371999999999971</v>
      </c>
      <c r="CV27" s="14">
        <f t="shared" si="41"/>
        <v>26.812330397327713</v>
      </c>
      <c r="CW27" s="22">
        <f t="shared" si="13"/>
        <v>219.77104210867901</v>
      </c>
      <c r="CX27" s="62">
        <f t="shared" si="14"/>
        <v>456.70223806587398</v>
      </c>
      <c r="CY27" s="62">
        <f ca="1">AVERAGE(OFFSET($CX$3,0,0,'Données projet'!$E$13+1,1))-AVERAGE(OFFSET($H$3,0,0,'Données projet'!$E$13+1,1))</f>
        <v>308.52515801950324</v>
      </c>
      <c r="CZ27" s="62">
        <f t="shared" si="42"/>
        <v>299.05420638408953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56.617598897416826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16.759999999999998</v>
      </c>
      <c r="DO27" s="13">
        <f>IF('Données projet'!$A$166&gt;35,DO26+DN27-DW26,IF(A27&lt;'Données projet'!$A$166,$DL$205^A27,IF(A27='Données projet'!$A$166,'Données projet'!$B$166,DO26+DN27-DW26)))</f>
        <v>148.23999999999998</v>
      </c>
      <c r="DP27" s="18">
        <f>DO27*VLOOKUP('Données projet'!$B$14,Paramètres!$A$1:$I$89,3,0)*VLOOKUP('Données projet'!$B$14,Paramètres!$A$1:$I$89,5,0)</f>
        <v>108.68956799999998</v>
      </c>
      <c r="DQ27" s="14">
        <f t="shared" si="43"/>
        <v>29.022021550718165</v>
      </c>
      <c r="DR27" s="22">
        <f t="shared" si="16"/>
        <v>239.84768513416745</v>
      </c>
      <c r="DS27" s="62">
        <f t="shared" si="17"/>
        <v>476.77888109136245</v>
      </c>
      <c r="DT27" s="62">
        <f ca="1">AVERAGE(OFFSET($DS$3,0,0,'Données projet'!$E$14+1,1))-AVERAGE(OFFSET($H$3,0,0,'Données projet'!$E$14+1,1))</f>
        <v>416.72317068678774</v>
      </c>
      <c r="DU27" s="62">
        <f t="shared" si="44"/>
        <v>447.32457429495537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56.617598897416826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8.0769230769230802</v>
      </c>
      <c r="EJ27" s="13">
        <f>IF('Données projet'!$A$192&gt;35,EJ26+EI27-ER26,IF(A27&lt;'Données projet'!$A$192,$EG$205^A27,IF(A27='Données projet'!$A$192,'Données projet'!$B$192,EJ26+EI27-ER26)))</f>
        <v>102.82051282051283</v>
      </c>
      <c r="EK27" s="18">
        <f>EJ27*VLOOKUP('Données projet'!$B$15,Paramètres!$A$1:$I$89,3,0)*VLOOKUP('Données projet'!$B$15,Paramètres!$A$1:$I$89,5,0)</f>
        <v>97.844000000000008</v>
      </c>
      <c r="EL27" s="14">
        <f t="shared" si="45"/>
        <v>26.447710540122245</v>
      </c>
      <c r="EM27" s="22">
        <f t="shared" si="19"/>
        <v>216.47472919071291</v>
      </c>
      <c r="EN27" s="62">
        <f t="shared" si="20"/>
        <v>453.40592514790791</v>
      </c>
      <c r="EO27" s="62">
        <f ca="1">AVERAGE(OFFSET($EN$3,0,0,'Données projet'!$E$15+1,1))-AVERAGE(OFFSET($H$3,0,0,'Données projet'!$E$15+1,1))</f>
        <v>454.78867027701426</v>
      </c>
      <c r="EP27" s="62">
        <f t="shared" si="46"/>
        <v>366.45346303927056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56.617598897416826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9.7435897435897427</v>
      </c>
      <c r="FE27" s="13">
        <f>IF('Données projet'!$A$218&gt;35,FE26+FD27-FM26,IF(A27&lt;'Données projet'!$A$218,$FB$205^A27,IF(A27='Données projet'!$A$218,'Données projet'!$B$218,FE26+FD27-FM26)))</f>
        <v>128.07692307692307</v>
      </c>
      <c r="FF27" s="18">
        <f>FE27*VLOOKUP('Données projet'!$B$16,Paramètres!$A$1:$I$89,3,0)*VLOOKUP('Données projet'!$B$16,Paramètres!$A$1:$I$89,5,0)</f>
        <v>85.914000000000001</v>
      </c>
      <c r="FG27" s="14">
        <f t="shared" si="47"/>
        <v>23.577131284709758</v>
      </c>
      <c r="FH27" s="22">
        <f t="shared" si="22"/>
        <v>190.69705365420279</v>
      </c>
      <c r="FI27" s="62">
        <f t="shared" si="23"/>
        <v>427.62824961139779</v>
      </c>
      <c r="FJ27" s="62">
        <f ca="1">AVERAGE(OFFSET($FI$3,0,0,'Données projet'!$E$16+1,1))-AVERAGE(OFFSET($H$3,0,0,'Données projet'!$E$16+1,1))</f>
        <v>390.05579539539576</v>
      </c>
      <c r="FK27" s="62">
        <f t="shared" si="48"/>
        <v>323.72278615226139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projet'!$B$16,Paramètres!$A$1:$I$89,3,0)*0.475*44/12</f>
        <v>0</v>
      </c>
      <c r="FR27" s="23">
        <f>EXP(-LN(2)/25)*FR26+(1-EXP(-LN(2)/25))/(LN(2)/25)*Calculateur!FM27*Calculateur!FO27*VLOOKUP('Données projet'!$B$16,Paramètres!$A$1:$I$89,3,0)*0.475*44/12</f>
        <v>0</v>
      </c>
      <c r="FS27" s="23">
        <f>EXP(-LN(2)/2)*FS26+(1-EXP(-LN(2)/2))/(LN(2)/2)*FM27*FP27*VLOOKUP('Données projet'!$B$16,Paramètres!$A$1:$I$89,3,0)*0.475*44/12</f>
        <v>0</v>
      </c>
      <c r="FT27" s="24">
        <f t="shared" si="24"/>
        <v>0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56.617598897416826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7.2</v>
      </c>
      <c r="FZ27" s="13">
        <f>IF('Données projet'!$A$244&gt;35,FZ26+FY27-GH26,IF(A27&lt;'Données projet'!$A$244,$FW$205^A27,IF(A27='Données projet'!$A$244,'Données projet'!$B$244,FZ26+FY27-GH26)))</f>
        <v>95.800000000000011</v>
      </c>
      <c r="GA27" s="18">
        <f>FZ27*VLOOKUP('Données projet'!$B$17,Paramètres!$A$1:$I$89,3,0)*VLOOKUP('Données projet'!$B$17,Paramètres!$A$1:$I$89,5,0)</f>
        <v>92.65776000000001</v>
      </c>
      <c r="GB27" s="14">
        <f t="shared" si="49"/>
        <v>25.205122972074609</v>
      </c>
      <c r="GC27" s="22">
        <f t="shared" si="25"/>
        <v>205.2778545096966</v>
      </c>
      <c r="GD27" s="62">
        <f t="shared" si="26"/>
        <v>442.2090504668916</v>
      </c>
      <c r="GE27" s="62">
        <f ca="1">AVERAGE(OFFSET($GD$3,0,0,'Données projet'!$E$17+1,1))-AVERAGE(OFFSET($H$3,0,0,'Données projet'!$E$17+1,1))</f>
        <v>578.44111602076555</v>
      </c>
      <c r="GF27" s="62">
        <f t="shared" si="50"/>
        <v>368.08542661432784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>
        <f>EXP(-LN(2)/35)*GL26+(1-EXP(-LN(2)/35))/(LN(2)/35)*GH27*GI27*VLOOKUP('Données projet'!$B$17,Paramètres!$A$1:$I$89,3,0)*0.475*44/12</f>
        <v>0</v>
      </c>
      <c r="GM27" s="23">
        <f>EXP(-LN(2)/25)*GM26+(1-EXP(-LN(2)/25))/(LN(2)/25)*Calculateur!GH27*Calculateur!GJ27*VLOOKUP('Données projet'!$B$17,Paramètres!$A$1:$I$89,3,0)*0.475*44/12</f>
        <v>0</v>
      </c>
      <c r="GN27" s="23">
        <f>EXP(-LN(2)/2)*GN26+(1-EXP(-LN(2)/2))/(LN(2)/2)*GH27*GK27*VLOOKUP('Données projet'!$B$17,Paramètres!$A$1:$I$89,3,0)*0.475*44/12</f>
        <v>0</v>
      </c>
      <c r="GO27" s="23">
        <f t="shared" si="27"/>
        <v>0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56.617598897416826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4.0735000000000001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14.936166666666667</v>
      </c>
      <c r="H28" s="70">
        <f t="shared" si="1"/>
        <v>196.922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56.849753637979902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103</v>
      </c>
      <c r="L28" s="13">
        <f>VLOOKUP(A28,'Données projet'!$A$35:$I$55,9,0)</f>
        <v>7.2</v>
      </c>
      <c r="M28" s="13">
        <f t="array" ref="M28">INDEX(L:L,MIN(IF(ISNUMBER(L28:L224),ROW(L28:L224),"")))</f>
        <v>7.2</v>
      </c>
      <c r="N28" s="14">
        <f>IF('Données projet'!$A$36&gt;35,N27+M28-V27,IF(A28&lt;'Données projet'!$A$36,$K$205^A28,IF(A28='Données projet'!$A$36,'Données projet'!$B$36,N27+M28-V27)))</f>
        <v>103.00000000000001</v>
      </c>
      <c r="O28" s="14">
        <f>N28*VLOOKUP('Données projet'!$B$9,Paramètres!$A$1:$I$89,3,0)*VLOOKUP('Données projet'!$B$9,Paramètres!$A$1:$I$89,5,0)</f>
        <v>93.194400000000002</v>
      </c>
      <c r="P28" s="14">
        <f t="shared" si="33"/>
        <v>25.33406653691528</v>
      </c>
      <c r="Q28" s="22">
        <f t="shared" si="2"/>
        <v>206.43707921846078</v>
      </c>
      <c r="R28" s="62">
        <f t="shared" si="0"/>
        <v>445.44173144660931</v>
      </c>
      <c r="S28" s="62">
        <f ca="1">AVERAGE(OFFSET($R$3,0,0,'Données projet'!$E$9+1,1))-AVERAGE(OFFSET($H$3,0,0,'Données projet'!$E$9+1,1))</f>
        <v>546.11281471711925</v>
      </c>
      <c r="T28" s="62">
        <f t="shared" si="34"/>
        <v>348.18069831447099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56.849753637979902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111</v>
      </c>
      <c r="AG28" s="13">
        <f>VLOOKUP(A28,'Données projet'!$A$61:$I$81,9,0)</f>
        <v>11</v>
      </c>
      <c r="AH28" s="13">
        <f t="array" ref="AH28">INDEX(AG:AG,MIN(IF(ISNUMBER(AG28:AG224),ROW(AG28:AG224),"")))</f>
        <v>11</v>
      </c>
      <c r="AI28" s="14">
        <f>IF('Données projet'!$A$62&gt;35,AI27+AH28-AQ27,IF(A28&lt;'Données projet'!$A$62,$AF$205^A28,IF(A28='Données projet'!$A$62,'Données projet'!$B$62,AI27+AH28-AQ27)))</f>
        <v>111</v>
      </c>
      <c r="AJ28" s="14">
        <f>AI28*VLOOKUP('Données projet'!$B$10,Paramètres!$A$1:$I$89,3,0)*VLOOKUP('Données projet'!$B$10,Paramètres!$A$1:$I$89,5,0)</f>
        <v>95.238000000000014</v>
      </c>
      <c r="AK28" s="14">
        <f t="shared" si="35"/>
        <v>25.824315354051141</v>
      </c>
      <c r="AL28" s="22">
        <f t="shared" si="4"/>
        <v>210.85019924163907</v>
      </c>
      <c r="AM28" s="62">
        <f t="shared" si="5"/>
        <v>449.8548514697876</v>
      </c>
      <c r="AN28" s="62">
        <f ca="1">AVERAGE(OFFSET($AM$3,0,0,'Données projet'!$E$10+1,1))-AVERAGE(OFFSET($H$3,0,0,'Données projet'!$E$10+1,1))</f>
        <v>693.87994318348024</v>
      </c>
      <c r="AO28" s="62">
        <f t="shared" si="36"/>
        <v>327.71043739333641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26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56.849753637979902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103</v>
      </c>
      <c r="BB28" s="13">
        <f>VLOOKUP(A28,'Données projet'!$A$87:$I$107,9,0)</f>
        <v>7.2</v>
      </c>
      <c r="BC28" s="13">
        <f t="array" ref="BC28">INDEX(BB:BB,MIN(IF(ISNUMBER(BB28:BB224),ROW(BB28:BB224),"")))</f>
        <v>7.2</v>
      </c>
      <c r="BD28" s="13">
        <f>IF('Données projet'!$A$88&gt;35,BD27+BC28-BL27,IF(A28&lt;'Données projet'!$A$88,$BA$205^A28,IF(A28='Données projet'!$A$88,'Données projet'!$B$88,BD27+BC28-BL27)))</f>
        <v>103.00000000000001</v>
      </c>
      <c r="BE28" s="14">
        <f>BD28*VLOOKUP('Données projet'!$B$11,Paramètres!$A$1:$I$89,3,0)*VLOOKUP('Données projet'!$B$11,Paramètres!$A$1:$I$89,5,0)</f>
        <v>86.767200000000017</v>
      </c>
      <c r="BF28" s="14">
        <f t="shared" si="37"/>
        <v>23.783899326718451</v>
      </c>
      <c r="BG28" s="22">
        <f t="shared" si="7"/>
        <v>192.54316466070134</v>
      </c>
      <c r="BH28" s="62">
        <f t="shared" si="8"/>
        <v>431.54781688884987</v>
      </c>
      <c r="BI28" s="62">
        <f ca="1">AVERAGE(OFFSET($BH$3,0,0,'Données projet'!$E$11+1,1))-AVERAGE(OFFSET($H$3,0,0,'Données projet'!$E$11+1,1))</f>
        <v>513.7388209355762</v>
      </c>
      <c r="BJ28" s="62">
        <f t="shared" si="38"/>
        <v>328.24603121433927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56.849753637979902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165</v>
      </c>
      <c r="BW28" s="13">
        <f>VLOOKUP(A28,'Données projet'!$A$113:$I$133,9,0)</f>
        <v>16.759999999999998</v>
      </c>
      <c r="BX28" s="13">
        <f t="array" ref="BX28">INDEX(BW:BW,MIN(IF(ISNUMBER(BW28:BW224),ROW(BW28:BW224),"")))</f>
        <v>16.759999999999998</v>
      </c>
      <c r="BY28" s="13">
        <f>IF('Données projet'!$A$114&gt;35,BY27+BX28-CG27,IF(A28&lt;'Données projet'!$A$114,$BV$205^A28,IF(A28='Données projet'!$A$114,'Données projet'!$B$114,BY27+BX28-CG27)))</f>
        <v>164.99999999999997</v>
      </c>
      <c r="BZ28" s="14">
        <f>BY28*VLOOKUP('Données projet'!$B$12,Paramètres!$A$1:$I$89,3,0)*VLOOKUP('Données projet'!$B$12,Paramètres!$A$1:$I$89,5,0)</f>
        <v>131.274</v>
      </c>
      <c r="CA28" s="14">
        <f t="shared" si="39"/>
        <v>34.290576031111669</v>
      </c>
      <c r="CB28" s="22">
        <f t="shared" si="10"/>
        <v>288.35830325418613</v>
      </c>
      <c r="CC28" s="62">
        <f t="shared" si="11"/>
        <v>527.36295548233466</v>
      </c>
      <c r="CD28" s="62">
        <f ca="1">AVERAGE(OFFSET($CC$3,0,0,'Données projet'!$E$12+1,1))-AVERAGE(OFFSET($H$3,0,0,'Données projet'!$E$12+1,1))</f>
        <v>447.25854887589878</v>
      </c>
      <c r="CE28" s="62">
        <f t="shared" si="40"/>
        <v>480.13390593590157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56.849753637979902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138</v>
      </c>
      <c r="CR28" s="13">
        <f>VLOOKUP(A28,'Données projet'!$A$139:$I$159,9,0)</f>
        <v>10.6</v>
      </c>
      <c r="CS28" s="13">
        <f t="array" ref="CS28">INDEX(CR:CR,MIN(IF(ISNUMBER(CR28:CR224),ROW(CR28:CR224),"")))</f>
        <v>10.6</v>
      </c>
      <c r="CT28" s="13">
        <f>IF('Données projet'!$A$140&gt;35,CT27+CS28-DB27,IF(A28&lt;'Données projet'!$A$140,$CQ$205^A28,IF(A28='Données projet'!$A$140,'Données projet'!$B$140,CT27+CS28-DB27)))</f>
        <v>137.99999999999997</v>
      </c>
      <c r="CU28" s="18">
        <f>CT28*VLOOKUP('Données projet'!$B$13,Paramètres!$A$1:$I$89,3,0)*VLOOKUP('Données projet'!$B$13,Paramètres!$A$1:$I$89,5,0)</f>
        <v>107.63999999999999</v>
      </c>
      <c r="CV28" s="14">
        <f t="shared" si="41"/>
        <v>28.774250263353583</v>
      </c>
      <c r="CW28" s="22">
        <f t="shared" si="13"/>
        <v>237.58815254200749</v>
      </c>
      <c r="CX28" s="62">
        <f t="shared" si="14"/>
        <v>476.59280477015602</v>
      </c>
      <c r="CY28" s="62">
        <f ca="1">AVERAGE(OFFSET($CX$3,0,0,'Données projet'!$E$13+1,1))-AVERAGE(OFFSET($H$3,0,0,'Données projet'!$E$13+1,1))</f>
        <v>308.52515801950324</v>
      </c>
      <c r="CZ28" s="62">
        <f t="shared" si="42"/>
        <v>299.05420638408953</v>
      </c>
      <c r="DA28" s="16">
        <f>IF(ISNA(VLOOKUP(A28,'Données projet'!$A$139:$I$159,3,0)),0,VLOOKUP(A28,'Données projet'!$A$139:$I$159,3,0))</f>
        <v>2</v>
      </c>
      <c r="DB28" s="16">
        <f>IF(ISNA(VLOOKUP(A28,'Données projet'!$A$139:$I$159,4,0)),0,VLOOKUP(A28,'Données projet'!$A$139:$I$159,4,0))</f>
        <v>52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56.849753637979902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165</v>
      </c>
      <c r="DM28" s="13">
        <f>VLOOKUP(A28,'Données projet'!$A$165:$I$185,9,0)</f>
        <v>16.759999999999998</v>
      </c>
      <c r="DN28" s="13">
        <f t="array" ref="DN28">INDEX(DM:DM,MIN(IF(ISNUMBER(DM28:DM224),ROW(DM28:DM224),"")))</f>
        <v>16.759999999999998</v>
      </c>
      <c r="DO28" s="13">
        <f>IF('Données projet'!$A$166&gt;35,DO27+DN28-DW27,IF(A28&lt;'Données projet'!$A$166,$DL$205^A28,IF(A28='Données projet'!$A$166,'Données projet'!$B$166,DO27+DN28-DW27)))</f>
        <v>164.99999999999997</v>
      </c>
      <c r="DP28" s="18">
        <f>DO28*VLOOKUP('Données projet'!$B$14,Paramètres!$A$1:$I$89,3,0)*VLOOKUP('Données projet'!$B$14,Paramètres!$A$1:$I$89,5,0)</f>
        <v>120.97799999999998</v>
      </c>
      <c r="DQ28" s="14">
        <f t="shared" si="43"/>
        <v>31.902993864447502</v>
      </c>
      <c r="DR28" s="22">
        <f t="shared" si="16"/>
        <v>266.26773098057936</v>
      </c>
      <c r="DS28" s="62">
        <f t="shared" si="17"/>
        <v>505.27238320872789</v>
      </c>
      <c r="DT28" s="62">
        <f ca="1">AVERAGE(OFFSET($DS$3,0,0,'Données projet'!$E$14+1,1))-AVERAGE(OFFSET($H$3,0,0,'Données projet'!$E$14+1,1))</f>
        <v>416.72317068678774</v>
      </c>
      <c r="DU28" s="62">
        <f t="shared" si="44"/>
        <v>447.32457429495537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56.849753637979902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110.8974358974359</v>
      </c>
      <c r="EH28" s="13">
        <f>VLOOKUP(A28,'Données projet'!$A$191:$I$211,9,0)</f>
        <v>8.0769230769230802</v>
      </c>
      <c r="EI28" s="13">
        <f t="array" ref="EI28">INDEX(EH:EH,MIN(IF(ISNUMBER(EH28:EH224),ROW(EH28:EH224),"")))</f>
        <v>8.0769230769230802</v>
      </c>
      <c r="EJ28" s="13">
        <f>IF('Données projet'!$A$192&gt;35,EJ27+EI28-ER27,IF(A28&lt;'Données projet'!$A$192,$EG$205^A28,IF(A28='Données projet'!$A$192,'Données projet'!$B$192,EJ27+EI28-ER27)))</f>
        <v>110.89743589743591</v>
      </c>
      <c r="EK28" s="18">
        <f>EJ28*VLOOKUP('Données projet'!$B$15,Paramètres!$A$1:$I$89,3,0)*VLOOKUP('Données projet'!$B$15,Paramètres!$A$1:$I$89,5,0)</f>
        <v>105.53</v>
      </c>
      <c r="EL28" s="14">
        <f t="shared" si="45"/>
        <v>28.275288433064166</v>
      </c>
      <c r="EM28" s="22">
        <f t="shared" si="19"/>
        <v>233.04421068758674</v>
      </c>
      <c r="EN28" s="62">
        <f t="shared" si="20"/>
        <v>472.04886291573524</v>
      </c>
      <c r="EO28" s="62">
        <f ca="1">AVERAGE(OFFSET($EN$3,0,0,'Données projet'!$E$15+1,1))-AVERAGE(OFFSET($H$3,0,0,'Données projet'!$E$15+1,1))</f>
        <v>454.78867027701426</v>
      </c>
      <c r="EP28" s="62">
        <f t="shared" si="46"/>
        <v>366.45346303927056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56.849753637979902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>
        <f>VLOOKUP(A28,'Données projet'!$A$217:$I$237,2,0)</f>
        <v>137.82051282051282</v>
      </c>
      <c r="FC28" s="13">
        <f>VLOOKUP(A28,'Données projet'!$A$217:$I$237,9,0)</f>
        <v>9.7435897435897427</v>
      </c>
      <c r="FD28" s="13">
        <f t="array" ref="FD28">INDEX(FC:FC,MIN(IF(ISNUMBER(FC28:FC224),ROW(FC28:FC224),"")))</f>
        <v>9.7435897435897427</v>
      </c>
      <c r="FE28" s="13">
        <f>IF('Données projet'!$A$218&gt;35,FE27+FD28-FM27,IF(A28&lt;'Données projet'!$A$218,$FB$205^A28,IF(A28='Données projet'!$A$218,'Données projet'!$B$218,FE27+FD28-FM27)))</f>
        <v>137.82051282051282</v>
      </c>
      <c r="FF28" s="18">
        <f>FE28*VLOOKUP('Données projet'!$B$16,Paramètres!$A$1:$I$89,3,0)*VLOOKUP('Données projet'!$B$16,Paramètres!$A$1:$I$89,5,0)</f>
        <v>92.45</v>
      </c>
      <c r="FG28" s="14">
        <f t="shared" si="47"/>
        <v>25.155179194747834</v>
      </c>
      <c r="FH28" s="22">
        <f t="shared" si="22"/>
        <v>204.82902043085244</v>
      </c>
      <c r="FI28" s="62">
        <f t="shared" si="23"/>
        <v>443.83367265900097</v>
      </c>
      <c r="FJ28" s="62">
        <f ca="1">AVERAGE(OFFSET($FI$3,0,0,'Données projet'!$E$16+1,1))-AVERAGE(OFFSET($H$3,0,0,'Données projet'!$E$16+1,1))</f>
        <v>390.05579539539576</v>
      </c>
      <c r="FK28" s="62">
        <f t="shared" si="48"/>
        <v>323.72278615226139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projet'!$B$16,Paramètres!$A$1:$I$89,3,0)*0.475*44/12</f>
        <v>0</v>
      </c>
      <c r="FR28" s="23">
        <f>EXP(-LN(2)/25)*FR27+(1-EXP(-LN(2)/25))/(LN(2)/25)*Calculateur!FM28*Calculateur!FO28*VLOOKUP('Données projet'!$B$16,Paramètres!$A$1:$I$89,3,0)*0.475*44/12</f>
        <v>0</v>
      </c>
      <c r="FS28" s="23">
        <f>EXP(-LN(2)/2)*FS27+(1-EXP(-LN(2)/2))/(LN(2)/2)*FM28*FP28*VLOOKUP('Données projet'!$B$16,Paramètres!$A$1:$I$89,3,0)*0.475*44/12</f>
        <v>0</v>
      </c>
      <c r="FT28" s="24">
        <f t="shared" si="24"/>
        <v>0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56.849753637979902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>
        <f>VLOOKUP(A28,'Données projet'!$A$243:$I$263,2,0)</f>
        <v>103</v>
      </c>
      <c r="FX28" s="13">
        <f>VLOOKUP(A28,'Données projet'!$A$243:$I$263,9,0)</f>
        <v>7.2</v>
      </c>
      <c r="FY28" s="13">
        <f t="array" ref="FY28">INDEX(FX:FX,MIN(IF(ISNUMBER(FX28:FX224),ROW(FX28:FX224),"")))</f>
        <v>7.2</v>
      </c>
      <c r="FZ28" s="13">
        <f>IF('Données projet'!$A$244&gt;35,FZ27+FY28-GH27,IF(A28&lt;'Données projet'!$A$244,$FW$205^A28,IF(A28='Données projet'!$A$244,'Données projet'!$B$244,FZ27+FY28-GH27)))</f>
        <v>103.00000000000001</v>
      </c>
      <c r="GA28" s="18">
        <f>FZ28*VLOOKUP('Données projet'!$B$17,Paramètres!$A$1:$I$89,3,0)*VLOOKUP('Données projet'!$B$17,Paramètres!$A$1:$I$89,5,0)</f>
        <v>99.621600000000015</v>
      </c>
      <c r="GB28" s="14">
        <f t="shared" si="49"/>
        <v>26.871829085032747</v>
      </c>
      <c r="GC28" s="22">
        <f t="shared" si="25"/>
        <v>220.30938898976538</v>
      </c>
      <c r="GD28" s="62">
        <f t="shared" si="26"/>
        <v>459.31404121791388</v>
      </c>
      <c r="GE28" s="62">
        <f ca="1">AVERAGE(OFFSET($GD$3,0,0,'Données projet'!$E$17+1,1))-AVERAGE(OFFSET($H$3,0,0,'Données projet'!$E$17+1,1))</f>
        <v>578.44111602076555</v>
      </c>
      <c r="GF28" s="62">
        <f t="shared" si="50"/>
        <v>368.08542661432784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>
        <f>EXP(-LN(2)/35)*GL27+(1-EXP(-LN(2)/35))/(LN(2)/35)*GH28*GI28*VLOOKUP('Données projet'!$B$17,Paramètres!$A$1:$I$89,3,0)*0.475*44/12</f>
        <v>0</v>
      </c>
      <c r="GM28" s="23">
        <f>EXP(-LN(2)/25)*GM27+(1-EXP(-LN(2)/25))/(LN(2)/25)*Calculateur!GH28*Calculateur!GJ28*VLOOKUP('Données projet'!$B$17,Paramètres!$A$1:$I$89,3,0)*0.475*44/12</f>
        <v>0</v>
      </c>
      <c r="GN28" s="23">
        <f>EXP(-LN(2)/2)*GN27+(1-EXP(-LN(2)/2))/(LN(2)/2)*GH28*GK28*VLOOKUP('Données projet'!$B$17,Paramètres!$A$1:$I$89,3,0)*0.475*44/12</f>
        <v>0</v>
      </c>
      <c r="GO28" s="23">
        <f t="shared" si="27"/>
        <v>0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56.849753637979902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4.0735000000000001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14.936166666666667</v>
      </c>
      <c r="H29" s="70">
        <f t="shared" si="1"/>
        <v>196.922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57.077881012814458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9.1999999999999993</v>
      </c>
      <c r="N29" s="14">
        <f>IF('Données projet'!$A$36&gt;35,N28+M29-V28,IF(A29&lt;'Données projet'!$A$36,$K$205^A29,IF(A29='Données projet'!$A$36,'Données projet'!$B$36,N28+M29-V28)))</f>
        <v>112.20000000000002</v>
      </c>
      <c r="O29" s="14">
        <f>N29*VLOOKUP('Données projet'!$B$9,Paramètres!$A$1:$I$89,3,0)*VLOOKUP('Données projet'!$B$9,Paramètres!$A$1:$I$89,5,0)</f>
        <v>101.51856000000002</v>
      </c>
      <c r="P29" s="14">
        <f t="shared" si="33"/>
        <v>27.323455582096614</v>
      </c>
      <c r="Q29" s="22">
        <f t="shared" si="2"/>
        <v>224.39984380548495</v>
      </c>
      <c r="R29" s="62">
        <f t="shared" si="0"/>
        <v>465.46318529691575</v>
      </c>
      <c r="S29" s="62">
        <f ca="1">AVERAGE(OFFSET($R$3,0,0,'Données projet'!$E$9+1,1))-AVERAGE(OFFSET($H$3,0,0,'Données projet'!$E$9+1,1))</f>
        <v>546.11281471711925</v>
      </c>
      <c r="T29" s="62">
        <f t="shared" si="34"/>
        <v>348.18069831447099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57.077881012814458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12.2</v>
      </c>
      <c r="AI29" s="14">
        <f>IF('Données projet'!$A$62&gt;35,AI28+AH29-AQ28,IF(A29&lt;'Données projet'!$A$62,$AF$205^A29,IF(A29='Données projet'!$A$62,'Données projet'!$B$62,AI28+AH29-AQ28)))</f>
        <v>97.2</v>
      </c>
      <c r="AJ29" s="14">
        <f>AI29*VLOOKUP('Données projet'!$B$10,Paramètres!$A$1:$I$89,3,0)*VLOOKUP('Données projet'!$B$10,Paramètres!$A$1:$I$89,5,0)</f>
        <v>83.397600000000011</v>
      </c>
      <c r="AK29" s="14">
        <f t="shared" si="35"/>
        <v>22.965893371329315</v>
      </c>
      <c r="AL29" s="22">
        <f t="shared" si="4"/>
        <v>185.24975095506522</v>
      </c>
      <c r="AM29" s="62">
        <f t="shared" si="5"/>
        <v>426.31309244649606</v>
      </c>
      <c r="AN29" s="62">
        <f ca="1">AVERAGE(OFFSET($AM$3,0,0,'Données projet'!$E$10+1,1))-AVERAGE(OFFSET($H$3,0,0,'Données projet'!$E$10+1,1))</f>
        <v>693.87994318348024</v>
      </c>
      <c r="AO29" s="62">
        <f t="shared" si="36"/>
        <v>327.71043739333641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57.077881012814458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9.1999999999999993</v>
      </c>
      <c r="BD29" s="13">
        <f>IF('Données projet'!$A$88&gt;35,BD28+BC29-BL28,IF(A29&lt;'Données projet'!$A$88,$BA$205^A29,IF(A29='Données projet'!$A$88,'Données projet'!$B$88,BD28+BC29-BL28)))</f>
        <v>112.20000000000002</v>
      </c>
      <c r="BE29" s="14">
        <f>BD29*VLOOKUP('Données projet'!$B$11,Paramètres!$A$1:$I$89,3,0)*VLOOKUP('Données projet'!$B$11,Paramètres!$A$1:$I$89,5,0)</f>
        <v>94.517280000000028</v>
      </c>
      <c r="BF29" s="14">
        <f t="shared" si="37"/>
        <v>25.65155956607736</v>
      </c>
      <c r="BG29" s="22">
        <f t="shared" si="7"/>
        <v>209.29406224425145</v>
      </c>
      <c r="BH29" s="62">
        <f t="shared" si="8"/>
        <v>450.35740373568228</v>
      </c>
      <c r="BI29" s="62">
        <f ca="1">AVERAGE(OFFSET($BH$3,0,0,'Données projet'!$E$11+1,1))-AVERAGE(OFFSET($H$3,0,0,'Données projet'!$E$11+1,1))</f>
        <v>513.7388209355762</v>
      </c>
      <c r="BJ29" s="62">
        <f t="shared" si="38"/>
        <v>328.24603121433927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57.077881012814458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16.439999999999998</v>
      </c>
      <c r="BY29" s="13">
        <f>IF('Données projet'!$A$114&gt;35,BY28+BX29-CG28,IF(A29&lt;'Données projet'!$A$114,$BV$205^A29,IF(A29='Données projet'!$A$114,'Données projet'!$B$114,BY28+BX29-CG28)))</f>
        <v>181.43999999999997</v>
      </c>
      <c r="BZ29" s="14">
        <f>BY29*VLOOKUP('Données projet'!$B$12,Paramètres!$A$1:$I$89,3,0)*VLOOKUP('Données projet'!$B$12,Paramètres!$A$1:$I$89,5,0)</f>
        <v>144.35366399999998</v>
      </c>
      <c r="CA29" s="14">
        <f t="shared" si="39"/>
        <v>37.292584225407907</v>
      </c>
      <c r="CB29" s="22">
        <f t="shared" si="10"/>
        <v>316.36721565925205</v>
      </c>
      <c r="CC29" s="62">
        <f t="shared" si="11"/>
        <v>557.43055715068283</v>
      </c>
      <c r="CD29" s="62">
        <f ca="1">AVERAGE(OFFSET($CC$3,0,0,'Données projet'!$E$12+1,1))-AVERAGE(OFFSET($H$3,0,0,'Données projet'!$E$12+1,1))</f>
        <v>447.25854887589878</v>
      </c>
      <c r="CE29" s="62">
        <f t="shared" si="40"/>
        <v>480.13390593590157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57.077881012814458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11.5</v>
      </c>
      <c r="CT29" s="13">
        <f>IF('Données projet'!$A$140&gt;35,CT28+CS29-DB28,IF(A29&lt;'Données projet'!$A$140,$CQ$205^A29,IF(A29='Données projet'!$A$140,'Données projet'!$B$140,CT28+CS29-DB28)))</f>
        <v>97.499999999999972</v>
      </c>
      <c r="CU29" s="18">
        <f>CT29*VLOOKUP('Données projet'!$B$13,Paramètres!$A$1:$I$89,3,0)*VLOOKUP('Données projet'!$B$13,Paramètres!$A$1:$I$89,5,0)</f>
        <v>76.049999999999983</v>
      </c>
      <c r="CV29" s="14">
        <f t="shared" si="41"/>
        <v>21.168560890749262</v>
      </c>
      <c r="CW29" s="22">
        <f t="shared" si="13"/>
        <v>169.32232688472158</v>
      </c>
      <c r="CX29" s="62">
        <f t="shared" si="14"/>
        <v>410.38566837615235</v>
      </c>
      <c r="CY29" s="62">
        <f ca="1">AVERAGE(OFFSET($CX$3,0,0,'Données projet'!$E$13+1,1))-AVERAGE(OFFSET($H$3,0,0,'Données projet'!$E$13+1,1))</f>
        <v>308.52515801950324</v>
      </c>
      <c r="CZ29" s="62">
        <f t="shared" si="42"/>
        <v>299.05420638408953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57.077881012814458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16.439999999999998</v>
      </c>
      <c r="DO29" s="13">
        <f>IF('Données projet'!$A$166&gt;35,DO28+DN29-DW28,IF(A29&lt;'Données projet'!$A$166,$DL$205^A29,IF(A29='Données projet'!$A$166,'Données projet'!$B$166,DO28+DN29-DW28)))</f>
        <v>181.43999999999997</v>
      </c>
      <c r="DP29" s="18">
        <f>DO29*VLOOKUP('Données projet'!$B$14,Paramètres!$A$1:$I$89,3,0)*VLOOKUP('Données projet'!$B$14,Paramètres!$A$1:$I$89,5,0)</f>
        <v>133.03180799999998</v>
      </c>
      <c r="DQ29" s="14">
        <f t="shared" si="43"/>
        <v>34.69597841264406</v>
      </c>
      <c r="DR29" s="22">
        <f t="shared" si="16"/>
        <v>292.12589466868832</v>
      </c>
      <c r="DS29" s="62">
        <f t="shared" si="17"/>
        <v>533.18923616011909</v>
      </c>
      <c r="DT29" s="62">
        <f ca="1">AVERAGE(OFFSET($DS$3,0,0,'Données projet'!$E$14+1,1))-AVERAGE(OFFSET($H$3,0,0,'Données projet'!$E$14+1,1))</f>
        <v>416.72317068678774</v>
      </c>
      <c r="DU29" s="62">
        <f t="shared" si="44"/>
        <v>447.32457429495537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57.077881012814458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7.9487179487179471</v>
      </c>
      <c r="EJ29" s="13">
        <f>IF('Données projet'!$A$192&gt;35,EJ28+EI29-ER28,IF(A29&lt;'Données projet'!$A$192,$EG$205^A29,IF(A29='Données projet'!$A$192,'Données projet'!$B$192,EJ28+EI29-ER28)))</f>
        <v>118.84615384615385</v>
      </c>
      <c r="EK29" s="18">
        <f>EJ29*VLOOKUP('Données projet'!$B$15,Paramètres!$A$1:$I$89,3,0)*VLOOKUP('Données projet'!$B$15,Paramètres!$A$1:$I$89,5,0)</f>
        <v>113.09400000000001</v>
      </c>
      <c r="EL29" s="14">
        <f t="shared" si="45"/>
        <v>30.058774082813706</v>
      </c>
      <c r="EM29" s="22">
        <f t="shared" si="19"/>
        <v>249.32441486090056</v>
      </c>
      <c r="EN29" s="62">
        <f t="shared" si="20"/>
        <v>490.38775635233139</v>
      </c>
      <c r="EO29" s="62">
        <f ca="1">AVERAGE(OFFSET($EN$3,0,0,'Données projet'!$E$15+1,1))-AVERAGE(OFFSET($H$3,0,0,'Données projet'!$E$15+1,1))</f>
        <v>454.78867027701426</v>
      </c>
      <c r="EP29" s="62">
        <f t="shared" si="46"/>
        <v>366.45346303927056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57.077881012814458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9.2307692307692317</v>
      </c>
      <c r="FE29" s="13">
        <f>IF('Données projet'!$A$218&gt;35,FE28+FD29-FM28,IF(A29&lt;'Données projet'!$A$218,$FB$205^A29,IF(A29='Données projet'!$A$218,'Données projet'!$B$218,FE28+FD29-FM28)))</f>
        <v>147.05128205128204</v>
      </c>
      <c r="FF29" s="18">
        <f>FE29*VLOOKUP('Données projet'!$B$16,Paramètres!$A$1:$I$89,3,0)*VLOOKUP('Données projet'!$B$16,Paramètres!$A$1:$I$89,5,0)</f>
        <v>98.641999999999996</v>
      </c>
      <c r="FG29" s="14">
        <f t="shared" si="47"/>
        <v>26.638215773406319</v>
      </c>
      <c r="FH29" s="22">
        <f t="shared" si="22"/>
        <v>218.19637580534933</v>
      </c>
      <c r="FI29" s="62">
        <f t="shared" si="23"/>
        <v>459.25971729678014</v>
      </c>
      <c r="FJ29" s="62">
        <f ca="1">AVERAGE(OFFSET($FI$3,0,0,'Données projet'!$E$16+1,1))-AVERAGE(OFFSET($H$3,0,0,'Données projet'!$E$16+1,1))</f>
        <v>390.05579539539576</v>
      </c>
      <c r="FK29" s="62">
        <f t="shared" si="48"/>
        <v>323.72278615226139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projet'!$B$16,Paramètres!$A$1:$I$89,3,0)*0.475*44/12</f>
        <v>0</v>
      </c>
      <c r="FR29" s="23">
        <f>EXP(-LN(2)/25)*FR28+(1-EXP(-LN(2)/25))/(LN(2)/25)*Calculateur!FM29*Calculateur!FO29*VLOOKUP('Données projet'!$B$16,Paramètres!$A$1:$I$89,3,0)*0.475*44/12</f>
        <v>0</v>
      </c>
      <c r="FS29" s="23">
        <f>EXP(-LN(2)/2)*FS28+(1-EXP(-LN(2)/2))/(LN(2)/2)*FM29*FP29*VLOOKUP('Données projet'!$B$16,Paramètres!$A$1:$I$89,3,0)*0.475*44/12</f>
        <v>0</v>
      </c>
      <c r="FT29" s="24">
        <f t="shared" si="24"/>
        <v>0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57.077881012814458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9.1999999999999993</v>
      </c>
      <c r="FZ29" s="13">
        <f>IF('Données projet'!$A$244&gt;35,FZ28+FY29-GH28,IF(A29&lt;'Données projet'!$A$244,$FW$205^A29,IF(A29='Données projet'!$A$244,'Données projet'!$B$244,FZ28+FY29-GH28)))</f>
        <v>112.20000000000002</v>
      </c>
      <c r="GA29" s="18">
        <f>FZ29*VLOOKUP('Données projet'!$B$17,Paramètres!$A$1:$I$89,3,0)*VLOOKUP('Données projet'!$B$17,Paramètres!$A$1:$I$89,5,0)</f>
        <v>108.51984000000002</v>
      </c>
      <c r="GB29" s="14">
        <f t="shared" si="49"/>
        <v>28.981972844537498</v>
      </c>
      <c r="GC29" s="22">
        <f t="shared" si="25"/>
        <v>239.48232403756947</v>
      </c>
      <c r="GD29" s="62">
        <f t="shared" si="26"/>
        <v>480.5456655290003</v>
      </c>
      <c r="GE29" s="62">
        <f ca="1">AVERAGE(OFFSET($GD$3,0,0,'Données projet'!$E$17+1,1))-AVERAGE(OFFSET($H$3,0,0,'Données projet'!$E$17+1,1))</f>
        <v>578.44111602076555</v>
      </c>
      <c r="GF29" s="62">
        <f t="shared" si="50"/>
        <v>368.08542661432784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>
        <f>EXP(-LN(2)/35)*GL28+(1-EXP(-LN(2)/35))/(LN(2)/35)*GH29*GI29*VLOOKUP('Données projet'!$B$17,Paramètres!$A$1:$I$89,3,0)*0.475*44/12</f>
        <v>0</v>
      </c>
      <c r="GM29" s="23">
        <f>EXP(-LN(2)/25)*GM28+(1-EXP(-LN(2)/25))/(LN(2)/25)*Calculateur!GH29*Calculateur!GJ29*VLOOKUP('Données projet'!$B$17,Paramètres!$A$1:$I$89,3,0)*0.475*44/12</f>
        <v>0</v>
      </c>
      <c r="GN29" s="23">
        <f>EXP(-LN(2)/2)*GN28+(1-EXP(-LN(2)/2))/(LN(2)/2)*GH29*GK29*VLOOKUP('Données projet'!$B$17,Paramètres!$A$1:$I$89,3,0)*0.475*44/12</f>
        <v>0</v>
      </c>
      <c r="GO29" s="23">
        <f t="shared" si="27"/>
        <v>0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57.077881012814458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4.0735000000000001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14.936166666666667</v>
      </c>
      <c r="H30" s="70">
        <f t="shared" si="1"/>
        <v>196.922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57.302050887712042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9.1999999999999993</v>
      </c>
      <c r="N30" s="14">
        <f>IF('Données projet'!$A$36&gt;35,N29+M30-V29,IF(A30&lt;'Données projet'!$A$36,$K$205^A30,IF(A30='Données projet'!$A$36,'Données projet'!$B$36,N29+M30-V29)))</f>
        <v>121.40000000000002</v>
      </c>
      <c r="O30" s="14">
        <f>N30*VLOOKUP('Données projet'!$B$9,Paramètres!$A$1:$I$89,3,0)*VLOOKUP('Données projet'!$B$9,Paramètres!$A$1:$I$89,5,0)</f>
        <v>109.84272000000001</v>
      </c>
      <c r="P30" s="14">
        <f t="shared" si="33"/>
        <v>29.293925092514947</v>
      </c>
      <c r="Q30" s="22">
        <f t="shared" si="2"/>
        <v>242.32965686946352</v>
      </c>
      <c r="R30" s="62">
        <f t="shared" si="0"/>
        <v>485.43717679107431</v>
      </c>
      <c r="S30" s="62">
        <f ca="1">AVERAGE(OFFSET($R$3,0,0,'Données projet'!$E$9+1,1))-AVERAGE(OFFSET($H$3,0,0,'Données projet'!$E$9+1,1))</f>
        <v>546.11281471711925</v>
      </c>
      <c r="T30" s="62">
        <f t="shared" si="34"/>
        <v>348.18069831447099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57.302050887712042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12.2</v>
      </c>
      <c r="AI30" s="14">
        <f>IF('Données projet'!$A$62&gt;35,AI29+AH30-AQ29,IF(A30&lt;'Données projet'!$A$62,$AF$205^A30,IF(A30='Données projet'!$A$62,'Données projet'!$B$62,AI29+AH30-AQ29)))</f>
        <v>109.4</v>
      </c>
      <c r="AJ30" s="14">
        <f>AI30*VLOOKUP('Données projet'!$B$10,Paramètres!$A$1:$I$89,3,0)*VLOOKUP('Données projet'!$B$10,Paramètres!$A$1:$I$89,5,0)</f>
        <v>93.865200000000016</v>
      </c>
      <c r="AK30" s="14">
        <f t="shared" si="35"/>
        <v>25.495124560846406</v>
      </c>
      <c r="AL30" s="22">
        <f t="shared" si="4"/>
        <v>207.88589861014086</v>
      </c>
      <c r="AM30" s="62">
        <f t="shared" si="5"/>
        <v>450.99341853175167</v>
      </c>
      <c r="AN30" s="62">
        <f ca="1">AVERAGE(OFFSET($AM$3,0,0,'Données projet'!$E$10+1,1))-AVERAGE(OFFSET($H$3,0,0,'Données projet'!$E$10+1,1))</f>
        <v>693.87994318348024</v>
      </c>
      <c r="AO30" s="62">
        <f t="shared" si="36"/>
        <v>327.71043739333641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57.302050887712042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9.1999999999999993</v>
      </c>
      <c r="BD30" s="13">
        <f>IF('Données projet'!$A$88&gt;35,BD29+BC30-BL29,IF(A30&lt;'Données projet'!$A$88,$BA$205^A30,IF(A30='Données projet'!$A$88,'Données projet'!$B$88,BD29+BC30-BL29)))</f>
        <v>121.40000000000002</v>
      </c>
      <c r="BE30" s="14">
        <f>BD30*VLOOKUP('Données projet'!$B$11,Paramètres!$A$1:$I$89,3,0)*VLOOKUP('Données projet'!$B$11,Paramètres!$A$1:$I$89,5,0)</f>
        <v>102.26736000000002</v>
      </c>
      <c r="BF30" s="14">
        <f t="shared" si="37"/>
        <v>27.501457938842282</v>
      </c>
      <c r="BG30" s="22">
        <f t="shared" si="7"/>
        <v>226.01402457681704</v>
      </c>
      <c r="BH30" s="62">
        <f t="shared" si="8"/>
        <v>469.12154449842785</v>
      </c>
      <c r="BI30" s="62">
        <f ca="1">AVERAGE(OFFSET($BH$3,0,0,'Données projet'!$E$11+1,1))-AVERAGE(OFFSET($H$3,0,0,'Données projet'!$E$11+1,1))</f>
        <v>513.7388209355762</v>
      </c>
      <c r="BJ30" s="62">
        <f t="shared" si="38"/>
        <v>328.24603121433927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57.302050887712042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16.439999999999998</v>
      </c>
      <c r="BY30" s="13">
        <f>IF('Données projet'!$A$114&gt;35,BY29+BX30-CG29,IF(A30&lt;'Données projet'!$A$114,$BV$205^A30,IF(A30='Données projet'!$A$114,'Données projet'!$B$114,BY29+BX30-CG29)))</f>
        <v>197.87999999999997</v>
      </c>
      <c r="BZ30" s="14">
        <f>BY30*VLOOKUP('Données projet'!$B$12,Paramètres!$A$1:$I$89,3,0)*VLOOKUP('Données projet'!$B$12,Paramètres!$A$1:$I$89,5,0)</f>
        <v>157.43332799999999</v>
      </c>
      <c r="CA30" s="14">
        <f t="shared" si="39"/>
        <v>40.263051623086859</v>
      </c>
      <c r="CB30" s="22">
        <f t="shared" si="10"/>
        <v>344.32119451020958</v>
      </c>
      <c r="CC30" s="62">
        <f t="shared" si="11"/>
        <v>587.42871443182037</v>
      </c>
      <c r="CD30" s="62">
        <f ca="1">AVERAGE(OFFSET($CC$3,0,0,'Données projet'!$E$12+1,1))-AVERAGE(OFFSET($H$3,0,0,'Données projet'!$E$12+1,1))</f>
        <v>447.25854887589878</v>
      </c>
      <c r="CE30" s="62">
        <f t="shared" si="40"/>
        <v>480.13390593590157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57.302050887712042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11.5</v>
      </c>
      <c r="CT30" s="13">
        <f>IF('Données projet'!$A$140&gt;35,CT29+CS30-DB29,IF(A30&lt;'Données projet'!$A$140,$CQ$205^A30,IF(A30='Données projet'!$A$140,'Données projet'!$B$140,CT29+CS30-DB29)))</f>
        <v>108.99999999999997</v>
      </c>
      <c r="CU30" s="18">
        <f>CT30*VLOOKUP('Données projet'!$B$13,Paramètres!$A$1:$I$89,3,0)*VLOOKUP('Données projet'!$B$13,Paramètres!$A$1:$I$89,5,0)</f>
        <v>85.019999999999982</v>
      </c>
      <c r="CV30" s="14">
        <f t="shared" si="41"/>
        <v>23.360218970693108</v>
      </c>
      <c r="CW30" s="22">
        <f t="shared" si="13"/>
        <v>188.76221470729047</v>
      </c>
      <c r="CX30" s="62">
        <f t="shared" si="14"/>
        <v>431.86973462890126</v>
      </c>
      <c r="CY30" s="62">
        <f ca="1">AVERAGE(OFFSET($CX$3,0,0,'Données projet'!$E$13+1,1))-AVERAGE(OFFSET($H$3,0,0,'Données projet'!$E$13+1,1))</f>
        <v>308.52515801950324</v>
      </c>
      <c r="CZ30" s="62">
        <f t="shared" si="42"/>
        <v>299.05420638408953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57.302050887712042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16.439999999999998</v>
      </c>
      <c r="DO30" s="13">
        <f>IF('Données projet'!$A$166&gt;35,DO29+DN30-DW29,IF(A30&lt;'Données projet'!$A$166,$DL$205^A30,IF(A30='Données projet'!$A$166,'Données projet'!$B$166,DO29+DN30-DW29)))</f>
        <v>197.87999999999997</v>
      </c>
      <c r="DP30" s="18">
        <f>DO30*VLOOKUP('Données projet'!$B$14,Paramètres!$A$1:$I$89,3,0)*VLOOKUP('Données projet'!$B$14,Paramètres!$A$1:$I$89,5,0)</f>
        <v>145.08561599999996</v>
      </c>
      <c r="DQ30" s="14">
        <f t="shared" si="43"/>
        <v>37.459618284914292</v>
      </c>
      <c r="DR30" s="22">
        <f t="shared" si="16"/>
        <v>317.93294971289231</v>
      </c>
      <c r="DS30" s="62">
        <f t="shared" si="17"/>
        <v>561.0404696345031</v>
      </c>
      <c r="DT30" s="62">
        <f ca="1">AVERAGE(OFFSET($DS$3,0,0,'Données projet'!$E$14+1,1))-AVERAGE(OFFSET($H$3,0,0,'Données projet'!$E$14+1,1))</f>
        <v>416.72317068678774</v>
      </c>
      <c r="DU30" s="62">
        <f t="shared" si="44"/>
        <v>447.32457429495537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57.302050887712042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7.9487179487179471</v>
      </c>
      <c r="EJ30" s="13">
        <f>IF('Données projet'!$A$192&gt;35,EJ29+EI30-ER29,IF(A30&lt;'Données projet'!$A$192,$EG$205^A30,IF(A30='Données projet'!$A$192,'Données projet'!$B$192,EJ29+EI30-ER29)))</f>
        <v>126.7948717948718</v>
      </c>
      <c r="EK30" s="18">
        <f>EJ30*VLOOKUP('Données projet'!$B$15,Paramètres!$A$1:$I$89,3,0)*VLOOKUP('Données projet'!$B$15,Paramètres!$A$1:$I$89,5,0)</f>
        <v>120.658</v>
      </c>
      <c r="EL30" s="14">
        <f t="shared" si="45"/>
        <v>31.828418112039433</v>
      </c>
      <c r="EM30" s="22">
        <f t="shared" si="19"/>
        <v>265.58051154513532</v>
      </c>
      <c r="EN30" s="62">
        <f t="shared" si="20"/>
        <v>508.68803146674611</v>
      </c>
      <c r="EO30" s="62">
        <f ca="1">AVERAGE(OFFSET($EN$3,0,0,'Données projet'!$E$15+1,1))-AVERAGE(OFFSET($H$3,0,0,'Données projet'!$E$15+1,1))</f>
        <v>454.78867027701426</v>
      </c>
      <c r="EP30" s="62">
        <f t="shared" si="46"/>
        <v>366.45346303927056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57.302050887712042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9.2307692307692317</v>
      </c>
      <c r="FE30" s="13">
        <f>IF('Données projet'!$A$218&gt;35,FE29+FD30-FM29,IF(A30&lt;'Données projet'!$A$218,$FB$205^A30,IF(A30='Données projet'!$A$218,'Données projet'!$B$218,FE29+FD30-FM29)))</f>
        <v>156.28205128205127</v>
      </c>
      <c r="FF30" s="18">
        <f>FE30*VLOOKUP('Données projet'!$B$16,Paramètres!$A$1:$I$89,3,0)*VLOOKUP('Données projet'!$B$16,Paramètres!$A$1:$I$89,5,0)</f>
        <v>104.834</v>
      </c>
      <c r="FG30" s="14">
        <f t="shared" si="47"/>
        <v>28.110448233045847</v>
      </c>
      <c r="FH30" s="22">
        <f t="shared" si="22"/>
        <v>231.54491400588816</v>
      </c>
      <c r="FI30" s="62">
        <f t="shared" si="23"/>
        <v>474.65243392749898</v>
      </c>
      <c r="FJ30" s="62">
        <f ca="1">AVERAGE(OFFSET($FI$3,0,0,'Données projet'!$E$16+1,1))-AVERAGE(OFFSET($H$3,0,0,'Données projet'!$E$16+1,1))</f>
        <v>390.05579539539576</v>
      </c>
      <c r="FK30" s="62">
        <f t="shared" si="48"/>
        <v>323.72278615226139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projet'!$B$16,Paramètres!$A$1:$I$89,3,0)*0.475*44/12</f>
        <v>0</v>
      </c>
      <c r="FR30" s="23">
        <f>EXP(-LN(2)/25)*FR29+(1-EXP(-LN(2)/25))/(LN(2)/25)*Calculateur!FM30*Calculateur!FO30*VLOOKUP('Données projet'!$B$16,Paramètres!$A$1:$I$89,3,0)*0.475*44/12</f>
        <v>0</v>
      </c>
      <c r="FS30" s="23">
        <f>EXP(-LN(2)/2)*FS29+(1-EXP(-LN(2)/2))/(LN(2)/2)*FM30*FP30*VLOOKUP('Données projet'!$B$16,Paramètres!$A$1:$I$89,3,0)*0.475*44/12</f>
        <v>0</v>
      </c>
      <c r="FT30" s="24">
        <f t="shared" si="24"/>
        <v>0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57.302050887712042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9.1999999999999993</v>
      </c>
      <c r="FZ30" s="13">
        <f>IF('Données projet'!$A$244&gt;35,FZ29+FY30-GH29,IF(A30&lt;'Données projet'!$A$244,$FW$205^A30,IF(A30='Données projet'!$A$244,'Données projet'!$B$244,FZ29+FY30-GH29)))</f>
        <v>121.40000000000002</v>
      </c>
      <c r="GA30" s="18">
        <f>FZ30*VLOOKUP('Données projet'!$B$17,Paramètres!$A$1:$I$89,3,0)*VLOOKUP('Données projet'!$B$17,Paramètres!$A$1:$I$89,5,0)</f>
        <v>117.41808000000003</v>
      </c>
      <c r="GB30" s="14">
        <f t="shared" si="49"/>
        <v>31.072048664938194</v>
      </c>
      <c r="GC30" s="22">
        <f t="shared" si="25"/>
        <v>258.62030742476742</v>
      </c>
      <c r="GD30" s="62">
        <f t="shared" si="26"/>
        <v>501.72782734637826</v>
      </c>
      <c r="GE30" s="62">
        <f ca="1">AVERAGE(OFFSET($GD$3,0,0,'Données projet'!$E$17+1,1))-AVERAGE(OFFSET($H$3,0,0,'Données projet'!$E$17+1,1))</f>
        <v>578.44111602076555</v>
      </c>
      <c r="GF30" s="62">
        <f t="shared" si="50"/>
        <v>368.08542661432784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>
        <f>EXP(-LN(2)/35)*GL29+(1-EXP(-LN(2)/35))/(LN(2)/35)*GH30*GI30*VLOOKUP('Données projet'!$B$17,Paramètres!$A$1:$I$89,3,0)*0.475*44/12</f>
        <v>0</v>
      </c>
      <c r="GM30" s="23">
        <f>EXP(-LN(2)/25)*GM29+(1-EXP(-LN(2)/25))/(LN(2)/25)*Calculateur!GH30*Calculateur!GJ30*VLOOKUP('Données projet'!$B$17,Paramètres!$A$1:$I$89,3,0)*0.475*44/12</f>
        <v>0</v>
      </c>
      <c r="GN30" s="23">
        <f>EXP(-LN(2)/2)*GN29+(1-EXP(-LN(2)/2))/(LN(2)/2)*GH30*GK30*VLOOKUP('Données projet'!$B$17,Paramètres!$A$1:$I$89,3,0)*0.475*44/12</f>
        <v>0</v>
      </c>
      <c r="GO30" s="23">
        <f t="shared" si="27"/>
        <v>0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57.302050887712042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4.0735000000000001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14.936166666666667</v>
      </c>
      <c r="H31" s="70">
        <f t="shared" si="1"/>
        <v>196.922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57.522331916448906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9.1999999999999993</v>
      </c>
      <c r="N31" s="14">
        <f>IF('Données projet'!$A$36&gt;35,N30+M31-V30,IF(A31&lt;'Données projet'!$A$36,$K$205^A31,IF(A31='Données projet'!$A$36,'Données projet'!$B$36,N30+M31-V30)))</f>
        <v>130.60000000000002</v>
      </c>
      <c r="O31" s="14">
        <f>N31*VLOOKUP('Données projet'!$B$9,Paramètres!$A$1:$I$89,3,0)*VLOOKUP('Données projet'!$B$9,Paramètres!$A$1:$I$89,5,0)</f>
        <v>118.16688000000001</v>
      </c>
      <c r="P31" s="14">
        <f t="shared" si="33"/>
        <v>31.247071864249254</v>
      </c>
      <c r="Q31" s="22">
        <f t="shared" si="2"/>
        <v>260.22929949690081</v>
      </c>
      <c r="R31" s="62">
        <f t="shared" si="0"/>
        <v>505.36673874610233</v>
      </c>
      <c r="S31" s="62">
        <f ca="1">AVERAGE(OFFSET($R$3,0,0,'Données projet'!$E$9+1,1))-AVERAGE(OFFSET($H$3,0,0,'Données projet'!$E$9+1,1))</f>
        <v>546.11281471711925</v>
      </c>
      <c r="T31" s="62">
        <f t="shared" si="34"/>
        <v>348.18069831447099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57.522331916448906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12.2</v>
      </c>
      <c r="AI31" s="14">
        <f>IF('Données projet'!$A$62&gt;35,AI30+AH31-AQ30,IF(A31&lt;'Données projet'!$A$62,$AF$205^A31,IF(A31='Données projet'!$A$62,'Données projet'!$B$62,AI30+AH31-AQ30)))</f>
        <v>121.60000000000001</v>
      </c>
      <c r="AJ31" s="14">
        <f>AI31*VLOOKUP('Données projet'!$B$10,Paramètres!$A$1:$I$89,3,0)*VLOOKUP('Données projet'!$B$10,Paramètres!$A$1:$I$89,5,0)</f>
        <v>104.33280000000002</v>
      </c>
      <c r="AK31" s="14">
        <f t="shared" si="35"/>
        <v>27.991665469945552</v>
      </c>
      <c r="AL31" s="22">
        <f t="shared" si="4"/>
        <v>230.46511069348855</v>
      </c>
      <c r="AM31" s="62">
        <f t="shared" si="5"/>
        <v>475.60254994269008</v>
      </c>
      <c r="AN31" s="62">
        <f ca="1">AVERAGE(OFFSET($AM$3,0,0,'Données projet'!$E$10+1,1))-AVERAGE(OFFSET($H$3,0,0,'Données projet'!$E$10+1,1))</f>
        <v>693.87994318348024</v>
      </c>
      <c r="AO31" s="62">
        <f t="shared" si="36"/>
        <v>327.71043739333641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57.522331916448906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9.1999999999999993</v>
      </c>
      <c r="BD31" s="13">
        <f>IF('Données projet'!$A$88&gt;35,BD30+BC31-BL30,IF(A31&lt;'Données projet'!$A$88,$BA$205^A31,IF(A31='Données projet'!$A$88,'Données projet'!$B$88,BD30+BC31-BL30)))</f>
        <v>130.60000000000002</v>
      </c>
      <c r="BE31" s="14">
        <f>BD31*VLOOKUP('Données projet'!$B$11,Paramètres!$A$1:$I$89,3,0)*VLOOKUP('Données projet'!$B$11,Paramètres!$A$1:$I$89,5,0)</f>
        <v>110.01744000000002</v>
      </c>
      <c r="BF31" s="14">
        <f t="shared" si="37"/>
        <v>29.335093534673089</v>
      </c>
      <c r="BG31" s="22">
        <f t="shared" si="7"/>
        <v>242.705662572889</v>
      </c>
      <c r="BH31" s="62">
        <f t="shared" si="8"/>
        <v>487.84310182209049</v>
      </c>
      <c r="BI31" s="62">
        <f ca="1">AVERAGE(OFFSET($BH$3,0,0,'Données projet'!$E$11+1,1))-AVERAGE(OFFSET($H$3,0,0,'Données projet'!$E$11+1,1))</f>
        <v>513.7388209355762</v>
      </c>
      <c r="BJ31" s="62">
        <f t="shared" si="38"/>
        <v>328.24603121433927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57.522331916448906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16.439999999999998</v>
      </c>
      <c r="BY31" s="13">
        <f>IF('Données projet'!$A$114&gt;35,BY30+BX31-CG30,IF(A31&lt;'Données projet'!$A$114,$BV$205^A31,IF(A31='Données projet'!$A$114,'Données projet'!$B$114,BY30+BX31-CG30)))</f>
        <v>214.31999999999996</v>
      </c>
      <c r="BZ31" s="14">
        <f>BY31*VLOOKUP('Données projet'!$B$12,Paramètres!$A$1:$I$89,3,0)*VLOOKUP('Données projet'!$B$12,Paramètres!$A$1:$I$89,5,0)</f>
        <v>170.512992</v>
      </c>
      <c r="CA31" s="14">
        <f t="shared" si="39"/>
        <v>43.204896572893944</v>
      </c>
      <c r="CB31" s="22">
        <f t="shared" si="10"/>
        <v>372.22532259779024</v>
      </c>
      <c r="CC31" s="62">
        <f t="shared" si="11"/>
        <v>617.36276184699182</v>
      </c>
      <c r="CD31" s="62">
        <f ca="1">AVERAGE(OFFSET($CC$3,0,0,'Données projet'!$E$12+1,1))-AVERAGE(OFFSET($H$3,0,0,'Données projet'!$E$12+1,1))</f>
        <v>447.25854887589878</v>
      </c>
      <c r="CE31" s="62">
        <f t="shared" si="40"/>
        <v>480.13390593590157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57.522331916448906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11.5</v>
      </c>
      <c r="CT31" s="13">
        <f>IF('Données projet'!$A$140&gt;35,CT30+CS31-DB30,IF(A31&lt;'Données projet'!$A$140,$CQ$205^A31,IF(A31='Données projet'!$A$140,'Données projet'!$B$140,CT30+CS31-DB30)))</f>
        <v>120.49999999999997</v>
      </c>
      <c r="CU31" s="18">
        <f>CT31*VLOOKUP('Données projet'!$B$13,Paramètres!$A$1:$I$89,3,0)*VLOOKUP('Données projet'!$B$13,Paramètres!$A$1:$I$89,5,0)</f>
        <v>93.989999999999981</v>
      </c>
      <c r="CV31" s="14">
        <f t="shared" si="41"/>
        <v>25.525074036970079</v>
      </c>
      <c r="CW31" s="22">
        <f t="shared" si="13"/>
        <v>208.15542061438953</v>
      </c>
      <c r="CX31" s="62">
        <f t="shared" si="14"/>
        <v>453.29285986359105</v>
      </c>
      <c r="CY31" s="62">
        <f ca="1">AVERAGE(OFFSET($CX$3,0,0,'Données projet'!$E$13+1,1))-AVERAGE(OFFSET($H$3,0,0,'Données projet'!$E$13+1,1))</f>
        <v>308.52515801950324</v>
      </c>
      <c r="CZ31" s="62">
        <f t="shared" si="42"/>
        <v>299.05420638408953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57.522331916448906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16.439999999999998</v>
      </c>
      <c r="DO31" s="13">
        <f>IF('Données projet'!$A$166&gt;35,DO30+DN31-DW30,IF(A31&lt;'Données projet'!$A$166,$DL$205^A31,IF(A31='Données projet'!$A$166,'Données projet'!$B$166,DO30+DN31-DW30)))</f>
        <v>214.31999999999996</v>
      </c>
      <c r="DP31" s="18">
        <f>DO31*VLOOKUP('Données projet'!$B$14,Paramètres!$A$1:$I$89,3,0)*VLOOKUP('Données projet'!$B$14,Paramètres!$A$1:$I$89,5,0)</f>
        <v>157.13942399999996</v>
      </c>
      <c r="DQ31" s="14">
        <f t="shared" si="43"/>
        <v>40.1966286313925</v>
      </c>
      <c r="DR31" s="22">
        <f t="shared" si="16"/>
        <v>343.69362499967519</v>
      </c>
      <c r="DS31" s="62">
        <f t="shared" si="17"/>
        <v>588.83106424887671</v>
      </c>
      <c r="DT31" s="62">
        <f ca="1">AVERAGE(OFFSET($DS$3,0,0,'Données projet'!$E$14+1,1))-AVERAGE(OFFSET($H$3,0,0,'Données projet'!$E$14+1,1))</f>
        <v>416.72317068678774</v>
      </c>
      <c r="DU31" s="62">
        <f t="shared" si="44"/>
        <v>447.32457429495537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57.522331916448906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7.9487179487179471</v>
      </c>
      <c r="EJ31" s="13">
        <f>IF('Données projet'!$A$192&gt;35,EJ30+EI31-ER30,IF(A31&lt;'Données projet'!$A$192,$EG$205^A31,IF(A31='Données projet'!$A$192,'Données projet'!$B$192,EJ30+EI31-ER30)))</f>
        <v>134.74358974358975</v>
      </c>
      <c r="EK31" s="18">
        <f>EJ31*VLOOKUP('Données projet'!$B$15,Paramètres!$A$1:$I$89,3,0)*VLOOKUP('Données projet'!$B$15,Paramètres!$A$1:$I$89,5,0)</f>
        <v>128.22200000000001</v>
      </c>
      <c r="EL31" s="14">
        <f t="shared" si="45"/>
        <v>33.585187028861384</v>
      </c>
      <c r="EM31" s="22">
        <f t="shared" si="19"/>
        <v>281.81418407526689</v>
      </c>
      <c r="EN31" s="62">
        <f t="shared" si="20"/>
        <v>526.95162332446841</v>
      </c>
      <c r="EO31" s="62">
        <f ca="1">AVERAGE(OFFSET($EN$3,0,0,'Données projet'!$E$15+1,1))-AVERAGE(OFFSET($H$3,0,0,'Données projet'!$E$15+1,1))</f>
        <v>454.78867027701426</v>
      </c>
      <c r="EP31" s="62">
        <f t="shared" si="46"/>
        <v>366.45346303927056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57.522331916448906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9.2307692307692317</v>
      </c>
      <c r="FE31" s="13">
        <f>IF('Données projet'!$A$218&gt;35,FE30+FD31-FM30,IF(A31&lt;'Données projet'!$A$218,$FB$205^A31,IF(A31='Données projet'!$A$218,'Données projet'!$B$218,FE30+FD31-FM30)))</f>
        <v>165.5128205128205</v>
      </c>
      <c r="FF31" s="18">
        <f>FE31*VLOOKUP('Données projet'!$B$16,Paramètres!$A$1:$I$89,3,0)*VLOOKUP('Données projet'!$B$16,Paramètres!$A$1:$I$89,5,0)</f>
        <v>111.026</v>
      </c>
      <c r="FG31" s="14">
        <f t="shared" si="47"/>
        <v>29.572587403880362</v>
      </c>
      <c r="FH31" s="22">
        <f t="shared" si="22"/>
        <v>244.87587306175826</v>
      </c>
      <c r="FI31" s="62">
        <f t="shared" si="23"/>
        <v>490.0133123109598</v>
      </c>
      <c r="FJ31" s="62">
        <f ca="1">AVERAGE(OFFSET($FI$3,0,0,'Données projet'!$E$16+1,1))-AVERAGE(OFFSET($H$3,0,0,'Données projet'!$E$16+1,1))</f>
        <v>390.05579539539576</v>
      </c>
      <c r="FK31" s="62">
        <f t="shared" si="48"/>
        <v>323.72278615226139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projet'!$B$16,Paramètres!$A$1:$I$89,3,0)*0.475*44/12</f>
        <v>0</v>
      </c>
      <c r="FR31" s="23">
        <f>EXP(-LN(2)/25)*FR30+(1-EXP(-LN(2)/25))/(LN(2)/25)*Calculateur!FM31*Calculateur!FO31*VLOOKUP('Données projet'!$B$16,Paramètres!$A$1:$I$89,3,0)*0.475*44/12</f>
        <v>0</v>
      </c>
      <c r="FS31" s="23">
        <f>EXP(-LN(2)/2)*FS30+(1-EXP(-LN(2)/2))/(LN(2)/2)*FM31*FP31*VLOOKUP('Données projet'!$B$16,Paramètres!$A$1:$I$89,3,0)*0.475*44/12</f>
        <v>0</v>
      </c>
      <c r="FT31" s="24">
        <f t="shared" si="24"/>
        <v>0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57.522331916448906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9.1999999999999993</v>
      </c>
      <c r="FZ31" s="13">
        <f>IF('Données projet'!$A$244&gt;35,FZ30+FY31-GH30,IF(A31&lt;'Données projet'!$A$244,$FW$205^A31,IF(A31='Données projet'!$A$244,'Données projet'!$B$244,FZ30+FY31-GH30)))</f>
        <v>130.60000000000002</v>
      </c>
      <c r="GA31" s="18">
        <f>FZ31*VLOOKUP('Données projet'!$B$17,Paramètres!$A$1:$I$89,3,0)*VLOOKUP('Données projet'!$B$17,Paramètres!$A$1:$I$89,5,0)</f>
        <v>126.31632000000002</v>
      </c>
      <c r="GB31" s="14">
        <f t="shared" si="49"/>
        <v>33.143750266872139</v>
      </c>
      <c r="GC31" s="22">
        <f t="shared" si="25"/>
        <v>277.72628904813564</v>
      </c>
      <c r="GD31" s="62">
        <f t="shared" si="26"/>
        <v>522.86372829733716</v>
      </c>
      <c r="GE31" s="62">
        <f ca="1">AVERAGE(OFFSET($GD$3,0,0,'Données projet'!$E$17+1,1))-AVERAGE(OFFSET($H$3,0,0,'Données projet'!$E$17+1,1))</f>
        <v>578.44111602076555</v>
      </c>
      <c r="GF31" s="62">
        <f t="shared" si="50"/>
        <v>368.08542661432784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>
        <f>EXP(-LN(2)/35)*GL30+(1-EXP(-LN(2)/35))/(LN(2)/35)*GH31*GI31*VLOOKUP('Données projet'!$B$17,Paramètres!$A$1:$I$89,3,0)*0.475*44/12</f>
        <v>0</v>
      </c>
      <c r="GM31" s="23">
        <f>EXP(-LN(2)/25)*GM30+(1-EXP(-LN(2)/25))/(LN(2)/25)*Calculateur!GH31*Calculateur!GJ31*VLOOKUP('Données projet'!$B$17,Paramètres!$A$1:$I$89,3,0)*0.475*44/12</f>
        <v>0</v>
      </c>
      <c r="GN31" s="23">
        <f>EXP(-LN(2)/2)*GN30+(1-EXP(-LN(2)/2))/(LN(2)/2)*GH31*GK31*VLOOKUP('Données projet'!$B$17,Paramètres!$A$1:$I$89,3,0)*0.475*44/12</f>
        <v>0</v>
      </c>
      <c r="GO31" s="23">
        <f t="shared" si="27"/>
        <v>0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57.522331916448906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4.0735000000000001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14.936166666666667</v>
      </c>
      <c r="H32" s="70">
        <f t="shared" si="1"/>
        <v>196.922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57.738791561811794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9.1999999999999993</v>
      </c>
      <c r="N32" s="14">
        <f>IF('Données projet'!$A$36&gt;35,N31+M32-V31,IF(A32&lt;'Données projet'!$A$36,$K$205^A32,IF(A32='Données projet'!$A$36,'Données projet'!$B$36,N31+M32-V31)))</f>
        <v>139.80000000000001</v>
      </c>
      <c r="O32" s="14">
        <f>N32*VLOOKUP('Données projet'!$B$9,Paramètres!$A$1:$I$89,3,0)*VLOOKUP('Données projet'!$B$9,Paramètres!$A$1:$I$89,5,0)</f>
        <v>126.49104000000001</v>
      </c>
      <c r="P32" s="14">
        <f t="shared" si="33"/>
        <v>33.184254980539251</v>
      </c>
      <c r="Q32" s="22">
        <f t="shared" si="2"/>
        <v>278.10113875777256</v>
      </c>
      <c r="R32" s="62">
        <f t="shared" si="0"/>
        <v>525.25448559552694</v>
      </c>
      <c r="S32" s="62">
        <f ca="1">AVERAGE(OFFSET($R$3,0,0,'Données projet'!$E$9+1,1))-AVERAGE(OFFSET($H$3,0,0,'Données projet'!$E$9+1,1))</f>
        <v>546.11281471711925</v>
      </c>
      <c r="T32" s="62">
        <f t="shared" si="34"/>
        <v>348.18069831447099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57.738791561811794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12.2</v>
      </c>
      <c r="AI32" s="14">
        <f>IF('Données projet'!$A$62&gt;35,AI31+AH32-AQ31,IF(A32&lt;'Données projet'!$A$62,$AF$205^A32,IF(A32='Données projet'!$A$62,'Données projet'!$B$62,AI31+AH32-AQ31)))</f>
        <v>133.80000000000001</v>
      </c>
      <c r="AJ32" s="14">
        <f>AI32*VLOOKUP('Données projet'!$B$10,Paramètres!$A$1:$I$89,3,0)*VLOOKUP('Données projet'!$B$10,Paramètres!$A$1:$I$89,5,0)</f>
        <v>114.80040000000002</v>
      </c>
      <c r="AK32" s="14">
        <f t="shared" si="35"/>
        <v>30.459169258522444</v>
      </c>
      <c r="AL32" s="22">
        <f t="shared" si="4"/>
        <v>252.99374979192666</v>
      </c>
      <c r="AM32" s="62">
        <f t="shared" si="5"/>
        <v>500.14709662968107</v>
      </c>
      <c r="AN32" s="62">
        <f ca="1">AVERAGE(OFFSET($AM$3,0,0,'Données projet'!$E$10+1,1))-AVERAGE(OFFSET($H$3,0,0,'Données projet'!$E$10+1,1))</f>
        <v>693.87994318348024</v>
      </c>
      <c r="AO32" s="62">
        <f t="shared" si="36"/>
        <v>327.71043739333641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57.738791561811794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9.1999999999999993</v>
      </c>
      <c r="BD32" s="13">
        <f>IF('Données projet'!$A$88&gt;35,BD31+BC32-BL31,IF(A32&lt;'Données projet'!$A$88,$BA$205^A32,IF(A32='Données projet'!$A$88,'Données projet'!$B$88,BD31+BC32-BL31)))</f>
        <v>139.80000000000001</v>
      </c>
      <c r="BE32" s="14">
        <f>BD32*VLOOKUP('Données projet'!$B$11,Paramètres!$A$1:$I$89,3,0)*VLOOKUP('Données projet'!$B$11,Paramètres!$A$1:$I$89,5,0)</f>
        <v>117.76752</v>
      </c>
      <c r="BF32" s="14">
        <f t="shared" si="37"/>
        <v>31.153742275810771</v>
      </c>
      <c r="BG32" s="22">
        <f t="shared" si="7"/>
        <v>259.37119846370371</v>
      </c>
      <c r="BH32" s="62">
        <f t="shared" si="8"/>
        <v>506.52454530145809</v>
      </c>
      <c r="BI32" s="62">
        <f ca="1">AVERAGE(OFFSET($BH$3,0,0,'Données projet'!$E$11+1,1))-AVERAGE(OFFSET($H$3,0,0,'Données projet'!$E$11+1,1))</f>
        <v>513.7388209355762</v>
      </c>
      <c r="BJ32" s="62">
        <f t="shared" si="38"/>
        <v>328.24603121433927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57.738791561811794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16.439999999999998</v>
      </c>
      <c r="BY32" s="13">
        <f>IF('Données projet'!$A$114&gt;35,BY31+BX32-CG31,IF(A32&lt;'Données projet'!$A$114,$BV$205^A32,IF(A32='Données projet'!$A$114,'Données projet'!$B$114,BY31+BX32-CG31)))</f>
        <v>230.75999999999996</v>
      </c>
      <c r="BZ32" s="14">
        <f>BY32*VLOOKUP('Données projet'!$B$12,Paramètres!$A$1:$I$89,3,0)*VLOOKUP('Données projet'!$B$12,Paramètres!$A$1:$I$89,5,0)</f>
        <v>183.59265599999998</v>
      </c>
      <c r="CA32" s="14">
        <f t="shared" si="39"/>
        <v>46.120564273245925</v>
      </c>
      <c r="CB32" s="22">
        <f t="shared" si="10"/>
        <v>400.08385864256996</v>
      </c>
      <c r="CC32" s="62">
        <f t="shared" si="11"/>
        <v>647.23720548032429</v>
      </c>
      <c r="CD32" s="62">
        <f ca="1">AVERAGE(OFFSET($CC$3,0,0,'Données projet'!$E$12+1,1))-AVERAGE(OFFSET($H$3,0,0,'Données projet'!$E$12+1,1))</f>
        <v>447.25854887589878</v>
      </c>
      <c r="CE32" s="62">
        <f t="shared" si="40"/>
        <v>480.13390593590157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57.738791561811794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11.5</v>
      </c>
      <c r="CT32" s="13">
        <f>IF('Données projet'!$A$140&gt;35,CT31+CS32-DB31,IF(A32&lt;'Données projet'!$A$140,$CQ$205^A32,IF(A32='Données projet'!$A$140,'Données projet'!$B$140,CT31+CS32-DB31)))</f>
        <v>131.99999999999997</v>
      </c>
      <c r="CU32" s="18">
        <f>CT32*VLOOKUP('Données projet'!$B$13,Paramètres!$A$1:$I$89,3,0)*VLOOKUP('Données projet'!$B$13,Paramètres!$A$1:$I$89,5,0)</f>
        <v>102.95999999999998</v>
      </c>
      <c r="CV32" s="14">
        <f t="shared" si="41"/>
        <v>27.665975080374633</v>
      </c>
      <c r="CW32" s="22">
        <f t="shared" si="13"/>
        <v>227.50690659831912</v>
      </c>
      <c r="CX32" s="62">
        <f t="shared" si="14"/>
        <v>474.6602534360735</v>
      </c>
      <c r="CY32" s="62">
        <f ca="1">AVERAGE(OFFSET($CX$3,0,0,'Données projet'!$E$13+1,1))-AVERAGE(OFFSET($H$3,0,0,'Données projet'!$E$13+1,1))</f>
        <v>308.52515801950324</v>
      </c>
      <c r="CZ32" s="62">
        <f t="shared" si="42"/>
        <v>299.05420638408953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57.738791561811794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16.439999999999998</v>
      </c>
      <c r="DO32" s="13">
        <f>IF('Données projet'!$A$166&gt;35,DO31+DN32-DW31,IF(A32&lt;'Données projet'!$A$166,$DL$205^A32,IF(A32='Données projet'!$A$166,'Données projet'!$B$166,DO31+DN32-DW31)))</f>
        <v>230.75999999999996</v>
      </c>
      <c r="DP32" s="18">
        <f>DO32*VLOOKUP('Données projet'!$B$14,Paramètres!$A$1:$I$89,3,0)*VLOOKUP('Données projet'!$B$14,Paramètres!$A$1:$I$89,5,0)</f>
        <v>169.19323199999997</v>
      </c>
      <c r="DQ32" s="14">
        <f t="shared" si="43"/>
        <v>42.909284396367191</v>
      </c>
      <c r="DR32" s="22">
        <f t="shared" si="16"/>
        <v>369.41188272367276</v>
      </c>
      <c r="DS32" s="62">
        <f t="shared" si="17"/>
        <v>616.56522956142715</v>
      </c>
      <c r="DT32" s="62">
        <f ca="1">AVERAGE(OFFSET($DS$3,0,0,'Données projet'!$E$14+1,1))-AVERAGE(OFFSET($H$3,0,0,'Données projet'!$E$14+1,1))</f>
        <v>416.72317068678774</v>
      </c>
      <c r="DU32" s="62">
        <f t="shared" si="44"/>
        <v>447.32457429495537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57.738791561811794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7.9487179487179471</v>
      </c>
      <c r="EJ32" s="13">
        <f>IF('Données projet'!$A$192&gt;35,EJ31+EI32-ER31,IF(A32&lt;'Données projet'!$A$192,$EG$205^A32,IF(A32='Données projet'!$A$192,'Données projet'!$B$192,EJ31+EI32-ER31)))</f>
        <v>142.69230769230771</v>
      </c>
      <c r="EK32" s="18">
        <f>EJ32*VLOOKUP('Données projet'!$B$15,Paramètres!$A$1:$I$89,3,0)*VLOOKUP('Données projet'!$B$15,Paramètres!$A$1:$I$89,5,0)</f>
        <v>135.78600000000003</v>
      </c>
      <c r="EL32" s="14">
        <f t="shared" si="45"/>
        <v>35.329926868166567</v>
      </c>
      <c r="EM32" s="22">
        <f t="shared" si="19"/>
        <v>298.02690596205679</v>
      </c>
      <c r="EN32" s="62">
        <f t="shared" si="20"/>
        <v>545.18025279981111</v>
      </c>
      <c r="EO32" s="62">
        <f ca="1">AVERAGE(OFFSET($EN$3,0,0,'Données projet'!$E$15+1,1))-AVERAGE(OFFSET($H$3,0,0,'Données projet'!$E$15+1,1))</f>
        <v>454.78867027701426</v>
      </c>
      <c r="EP32" s="62">
        <f t="shared" si="46"/>
        <v>366.45346303927056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57.738791561811794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9.2307692307692317</v>
      </c>
      <c r="FE32" s="13">
        <f>IF('Données projet'!$A$218&gt;35,FE31+FD32-FM31,IF(A32&lt;'Données projet'!$A$218,$FB$205^A32,IF(A32='Données projet'!$A$218,'Données projet'!$B$218,FE31+FD32-FM31)))</f>
        <v>174.74358974358972</v>
      </c>
      <c r="FF32" s="18">
        <f>FE32*VLOOKUP('Données projet'!$B$16,Paramètres!$A$1:$I$89,3,0)*VLOOKUP('Données projet'!$B$16,Paramètres!$A$1:$I$89,5,0)</f>
        <v>117.21799999999998</v>
      </c>
      <c r="FG32" s="14">
        <f t="shared" si="47"/>
        <v>31.025260351021213</v>
      </c>
      <c r="FH32" s="22">
        <f t="shared" si="22"/>
        <v>258.19034511136186</v>
      </c>
      <c r="FI32" s="62">
        <f t="shared" si="23"/>
        <v>505.34369194911625</v>
      </c>
      <c r="FJ32" s="62">
        <f ca="1">AVERAGE(OFFSET($FI$3,0,0,'Données projet'!$E$16+1,1))-AVERAGE(OFFSET($H$3,0,0,'Données projet'!$E$16+1,1))</f>
        <v>390.05579539539576</v>
      </c>
      <c r="FK32" s="62">
        <f t="shared" si="48"/>
        <v>323.72278615226139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projet'!$B$16,Paramètres!$A$1:$I$89,3,0)*0.475*44/12</f>
        <v>0</v>
      </c>
      <c r="FR32" s="23">
        <f>EXP(-LN(2)/25)*FR31+(1-EXP(-LN(2)/25))/(LN(2)/25)*Calculateur!FM32*Calculateur!FO32*VLOOKUP('Données projet'!$B$16,Paramètres!$A$1:$I$89,3,0)*0.475*44/12</f>
        <v>0</v>
      </c>
      <c r="FS32" s="23">
        <f>EXP(-LN(2)/2)*FS31+(1-EXP(-LN(2)/2))/(LN(2)/2)*FM32*FP32*VLOOKUP('Données projet'!$B$16,Paramètres!$A$1:$I$89,3,0)*0.475*44/12</f>
        <v>0</v>
      </c>
      <c r="FT32" s="24">
        <f t="shared" si="24"/>
        <v>0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57.738791561811794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9.1999999999999993</v>
      </c>
      <c r="FZ32" s="13">
        <f>IF('Données projet'!$A$244&gt;35,FZ31+FY32-GH31,IF(A32&lt;'Données projet'!$A$244,$FW$205^A32,IF(A32='Données projet'!$A$244,'Données projet'!$B$244,FZ31+FY32-GH31)))</f>
        <v>139.80000000000001</v>
      </c>
      <c r="GA32" s="18">
        <f>FZ32*VLOOKUP('Données projet'!$B$17,Paramètres!$A$1:$I$89,3,0)*VLOOKUP('Données projet'!$B$17,Paramètres!$A$1:$I$89,5,0)</f>
        <v>135.21456000000001</v>
      </c>
      <c r="GB32" s="14">
        <f t="shared" si="49"/>
        <v>35.198519229111291</v>
      </c>
      <c r="GC32" s="22">
        <f t="shared" si="25"/>
        <v>296.80277965736883</v>
      </c>
      <c r="GD32" s="62">
        <f t="shared" si="26"/>
        <v>543.95612649512327</v>
      </c>
      <c r="GE32" s="62">
        <f ca="1">AVERAGE(OFFSET($GD$3,0,0,'Données projet'!$E$17+1,1))-AVERAGE(OFFSET($H$3,0,0,'Données projet'!$E$17+1,1))</f>
        <v>578.44111602076555</v>
      </c>
      <c r="GF32" s="62">
        <f t="shared" si="50"/>
        <v>368.08542661432784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>
        <f>EXP(-LN(2)/35)*GL31+(1-EXP(-LN(2)/35))/(LN(2)/35)*GH32*GI32*VLOOKUP('Données projet'!$B$17,Paramètres!$A$1:$I$89,3,0)*0.475*44/12</f>
        <v>0</v>
      </c>
      <c r="GM32" s="23">
        <f>EXP(-LN(2)/25)*GM31+(1-EXP(-LN(2)/25))/(LN(2)/25)*Calculateur!GH32*Calculateur!GJ32*VLOOKUP('Données projet'!$B$17,Paramètres!$A$1:$I$89,3,0)*0.475*44/12</f>
        <v>0</v>
      </c>
      <c r="GN32" s="23">
        <f>EXP(-LN(2)/2)*GN31+(1-EXP(-LN(2)/2))/(LN(2)/2)*GH32*GK32*VLOOKUP('Données projet'!$B$17,Paramètres!$A$1:$I$89,3,0)*0.475*44/12</f>
        <v>0</v>
      </c>
      <c r="GO32" s="23">
        <f t="shared" si="27"/>
        <v>0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57.738791561811794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4.0735000000000001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14.936166666666667</v>
      </c>
      <c r="H33" s="70">
        <f t="shared" si="1"/>
        <v>196.922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57.951496116258895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149</v>
      </c>
      <c r="L33" s="13">
        <f>VLOOKUP(A33,'Données projet'!$A$35:$I$55,9,0)</f>
        <v>9.1999999999999993</v>
      </c>
      <c r="M33" s="13">
        <f t="array" ref="M33">INDEX(L:L,MIN(IF(ISNUMBER(L33:L229),ROW(L33:L229),"")))</f>
        <v>9.1999999999999993</v>
      </c>
      <c r="N33" s="14">
        <f>IF('Données projet'!$A$36&gt;35,N32+M33-V32,IF(A33&lt;'Données projet'!$A$36,$K$205^A33,IF(A33='Données projet'!$A$36,'Données projet'!$B$36,N32+M33-V32)))</f>
        <v>149</v>
      </c>
      <c r="O33" s="14">
        <f>N33*VLOOKUP('Données projet'!$B$9,Paramètres!$A$1:$I$89,3,0)*VLOOKUP('Données projet'!$B$9,Paramètres!$A$1:$I$89,5,0)</f>
        <v>134.81519999999998</v>
      </c>
      <c r="P33" s="14">
        <f t="shared" si="33"/>
        <v>35.106644529103392</v>
      </c>
      <c r="Q33" s="22">
        <f t="shared" si="2"/>
        <v>295.94721255485501</v>
      </c>
      <c r="R33" s="62">
        <f t="shared" si="0"/>
        <v>545.10269831447101</v>
      </c>
      <c r="S33" s="62">
        <f ca="1">AVERAGE(OFFSET($R$3,0,0,'Données projet'!$E$9+1,1))-AVERAGE(OFFSET($H$3,0,0,'Données projet'!$E$9+1,1))</f>
        <v>546.11281471711925</v>
      </c>
      <c r="T33" s="62">
        <f t="shared" si="34"/>
        <v>348.18069831447099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56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57.951496116258895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146</v>
      </c>
      <c r="AG33" s="13">
        <f>VLOOKUP(A33,'Données projet'!$A$61:$I$81,9,0)</f>
        <v>12.2</v>
      </c>
      <c r="AH33" s="13">
        <f t="array" ref="AH33">INDEX(AG:AG,MIN(IF(ISNUMBER(AG33:AG229),ROW(AG33:AG229),"")))</f>
        <v>12.2</v>
      </c>
      <c r="AI33" s="14">
        <f>IF('Données projet'!$A$62&gt;35,AI32+AH33-AQ32,IF(A33&lt;'Données projet'!$A$62,$AF$205^A33,IF(A33='Données projet'!$A$62,'Données projet'!$B$62,AI32+AH33-AQ32)))</f>
        <v>146</v>
      </c>
      <c r="AJ33" s="14">
        <f>AI33*VLOOKUP('Données projet'!$B$10,Paramètres!$A$1:$I$89,3,0)*VLOOKUP('Données projet'!$B$10,Paramètres!$A$1:$I$89,5,0)</f>
        <v>125.26800000000003</v>
      </c>
      <c r="AK33" s="14">
        <f t="shared" si="35"/>
        <v>32.9005846700787</v>
      </c>
      <c r="AL33" s="22">
        <f t="shared" si="4"/>
        <v>275.47695163372049</v>
      </c>
      <c r="AM33" s="62">
        <f t="shared" si="5"/>
        <v>524.63243739333643</v>
      </c>
      <c r="AN33" s="62">
        <f ca="1">AVERAGE(OFFSET($AM$3,0,0,'Données projet'!$E$10+1,1))-AVERAGE(OFFSET($H$3,0,0,'Données projet'!$E$10+1,1))</f>
        <v>693.87994318348024</v>
      </c>
      <c r="AO33" s="62">
        <f t="shared" si="36"/>
        <v>327.71043739333641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57.951496116258895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149</v>
      </c>
      <c r="BB33" s="13">
        <f>VLOOKUP(A33,'Données projet'!$A$87:$I$107,9,0)</f>
        <v>9.1999999999999993</v>
      </c>
      <c r="BC33" s="13">
        <f t="array" ref="BC33">INDEX(BB:BB,MIN(IF(ISNUMBER(BB33:BB229),ROW(BB33:BB229),"")))</f>
        <v>9.1999999999999993</v>
      </c>
      <c r="BD33" s="13">
        <f>IF('Données projet'!$A$88&gt;35,BD32+BC33-BL32,IF(A33&lt;'Données projet'!$A$88,$BA$205^A33,IF(A33='Données projet'!$A$88,'Données projet'!$B$88,BD32+BC33-BL32)))</f>
        <v>149</v>
      </c>
      <c r="BE33" s="14">
        <f>BD33*VLOOKUP('Données projet'!$B$11,Paramètres!$A$1:$I$89,3,0)*VLOOKUP('Données projet'!$B$11,Paramètres!$A$1:$I$89,5,0)</f>
        <v>125.51760000000002</v>
      </c>
      <c r="BF33" s="14">
        <f t="shared" si="37"/>
        <v>32.95850265342969</v>
      </c>
      <c r="BG33" s="22">
        <f t="shared" si="7"/>
        <v>276.01254545472335</v>
      </c>
      <c r="BH33" s="62">
        <f t="shared" si="8"/>
        <v>525.16803121433929</v>
      </c>
      <c r="BI33" s="62">
        <f ca="1">AVERAGE(OFFSET($BH$3,0,0,'Données projet'!$E$11+1,1))-AVERAGE(OFFSET($H$3,0,0,'Données projet'!$E$11+1,1))</f>
        <v>513.7388209355762</v>
      </c>
      <c r="BJ33" s="62">
        <f t="shared" si="38"/>
        <v>328.24603121433927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56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57.951496116258895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247.2</v>
      </c>
      <c r="BW33" s="13">
        <f>VLOOKUP(A33,'Données projet'!$A$113:$I$133,9,0)</f>
        <v>16.439999999999998</v>
      </c>
      <c r="BX33" s="13">
        <f t="array" ref="BX33">INDEX(BW:BW,MIN(IF(ISNUMBER(BW33:BW229),ROW(BW33:BW229),"")))</f>
        <v>16.439999999999998</v>
      </c>
      <c r="BY33" s="13">
        <f>IF('Données projet'!$A$114&gt;35,BY32+BX33-CG32,IF(A33&lt;'Données projet'!$A$114,$BV$205^A33,IF(A33='Données projet'!$A$114,'Données projet'!$B$114,BY32+BX33-CG32)))</f>
        <v>247.19999999999996</v>
      </c>
      <c r="BZ33" s="14">
        <f>BY33*VLOOKUP('Données projet'!$B$12,Paramètres!$A$1:$I$89,3,0)*VLOOKUP('Données projet'!$B$12,Paramètres!$A$1:$I$89,5,0)</f>
        <v>196.67231999999998</v>
      </c>
      <c r="CA33" s="14">
        <f t="shared" si="39"/>
        <v>49.01213177585781</v>
      </c>
      <c r="CB33" s="22">
        <f t="shared" si="10"/>
        <v>427.90042017628565</v>
      </c>
      <c r="CC33" s="62">
        <f t="shared" si="11"/>
        <v>677.05590593590159</v>
      </c>
      <c r="CD33" s="62">
        <f ca="1">AVERAGE(OFFSET($CC$3,0,0,'Données projet'!$E$12+1,1))-AVERAGE(OFFSET($H$3,0,0,'Données projet'!$E$12+1,1))</f>
        <v>447.25854887589878</v>
      </c>
      <c r="CE33" s="62">
        <f t="shared" si="40"/>
        <v>480.13390593590157</v>
      </c>
      <c r="CF33" s="16">
        <f>IF(ISNA(VLOOKUP(A33,'Données projet'!$A$113:$I$133,3,0)),0,VLOOKUP(A33,'Données projet'!$A$113:$I$133,3,0))</f>
        <v>2</v>
      </c>
      <c r="CG33" s="16">
        <f>IF(ISNA(VLOOKUP(A33,'Données projet'!$A$113:$I$133,4,0)),0,VLOOKUP(A33,'Données projet'!$A$113:$I$133,4,0))</f>
        <v>84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57.951496116258895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11.5</v>
      </c>
      <c r="CT33" s="13">
        <f>IF('Données projet'!$A$140&gt;35,CT32+CS33-DB32,IF(A33&lt;'Données projet'!$A$140,$CQ$205^A33,IF(A33='Données projet'!$A$140,'Données projet'!$B$140,CT32+CS33-DB32)))</f>
        <v>143.49999999999997</v>
      </c>
      <c r="CU33" s="18">
        <f>CT33*VLOOKUP('Données projet'!$B$13,Paramètres!$A$1:$I$89,3,0)*VLOOKUP('Données projet'!$B$13,Paramètres!$A$1:$I$89,5,0)</f>
        <v>111.92999999999998</v>
      </c>
      <c r="CV33" s="14">
        <f t="shared" si="41"/>
        <v>29.785246291563833</v>
      </c>
      <c r="CW33" s="22">
        <f t="shared" si="13"/>
        <v>246.82072062447358</v>
      </c>
      <c r="CX33" s="62">
        <f t="shared" si="14"/>
        <v>495.97620638408955</v>
      </c>
      <c r="CY33" s="62">
        <f ca="1">AVERAGE(OFFSET($CX$3,0,0,'Données projet'!$E$13+1,1))-AVERAGE(OFFSET($H$3,0,0,'Données projet'!$E$13+1,1))</f>
        <v>308.52515801950324</v>
      </c>
      <c r="CZ33" s="62">
        <f t="shared" si="42"/>
        <v>299.05420638408953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57.951496116258895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247.2</v>
      </c>
      <c r="DM33" s="13">
        <f>VLOOKUP(A33,'Données projet'!$A$165:$I$185,9,0)</f>
        <v>16.439999999999998</v>
      </c>
      <c r="DN33" s="13">
        <f t="array" ref="DN33">INDEX(DM:DM,MIN(IF(ISNUMBER(DM33:DM229),ROW(DM33:DM229),"")))</f>
        <v>16.439999999999998</v>
      </c>
      <c r="DO33" s="13">
        <f>IF('Données projet'!$A$166&gt;35,DO32+DN33-DW32,IF(A33&lt;'Données projet'!$A$166,$DL$205^A33,IF(A33='Données projet'!$A$166,'Données projet'!$B$166,DO32+DN33-DW32)))</f>
        <v>247.19999999999996</v>
      </c>
      <c r="DP33" s="18">
        <f>DO33*VLOOKUP('Données projet'!$B$14,Paramètres!$A$1:$I$89,3,0)*VLOOKUP('Données projet'!$B$14,Paramètres!$A$1:$I$89,5,0)</f>
        <v>181.24703999999997</v>
      </c>
      <c r="DQ33" s="14">
        <f t="shared" si="43"/>
        <v>45.59951801072129</v>
      </c>
      <c r="DR33" s="22">
        <f t="shared" si="16"/>
        <v>395.09108853533945</v>
      </c>
      <c r="DS33" s="62">
        <f t="shared" si="17"/>
        <v>644.24657429495539</v>
      </c>
      <c r="DT33" s="62">
        <f ca="1">AVERAGE(OFFSET($DS$3,0,0,'Données projet'!$E$14+1,1))-AVERAGE(OFFSET($H$3,0,0,'Données projet'!$E$14+1,1))</f>
        <v>416.72317068678774</v>
      </c>
      <c r="DU33" s="62">
        <f t="shared" si="44"/>
        <v>447.32457429495537</v>
      </c>
      <c r="DV33" s="16">
        <f>IF(ISNA(VLOOKUP(A33,'Données projet'!$A$165:$I$185,3,0)),0,VLOOKUP(A33,'Données projet'!$A$165:$I$185,3,0))</f>
        <v>2</v>
      </c>
      <c r="DW33" s="16">
        <f>IF(ISNA(VLOOKUP(A33,'Données projet'!$A$165:$I$185,4,0)),0,VLOOKUP(A33,'Données projet'!$A$165:$I$185,4,0))</f>
        <v>84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57.951496116258895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150.64102564102564</v>
      </c>
      <c r="EH33" s="13">
        <f>VLOOKUP(A33,'Données projet'!$A$191:$I$211,9,0)</f>
        <v>7.9487179487179471</v>
      </c>
      <c r="EI33" s="13">
        <f t="array" ref="EI33">INDEX(EH:EH,MIN(IF(ISNUMBER(EH33:EH229),ROW(EH33:EH229),"")))</f>
        <v>7.9487179487179471</v>
      </c>
      <c r="EJ33" s="13">
        <f>IF('Données projet'!$A$192&gt;35,EJ32+EI33-ER32,IF(A33&lt;'Données projet'!$A$192,$EG$205^A33,IF(A33='Données projet'!$A$192,'Données projet'!$B$192,EJ32+EI33-ER32)))</f>
        <v>150.64102564102566</v>
      </c>
      <c r="EK33" s="18">
        <f>EJ33*VLOOKUP('Données projet'!$B$15,Paramètres!$A$1:$I$89,3,0)*VLOOKUP('Données projet'!$B$15,Paramètres!$A$1:$I$89,5,0)</f>
        <v>143.35000000000002</v>
      </c>
      <c r="EL33" s="14">
        <f t="shared" si="45"/>
        <v>37.063384084012192</v>
      </c>
      <c r="EM33" s="22">
        <f t="shared" si="19"/>
        <v>314.21997727965459</v>
      </c>
      <c r="EN33" s="62">
        <f t="shared" si="20"/>
        <v>563.37546303927058</v>
      </c>
      <c r="EO33" s="62">
        <f ca="1">AVERAGE(OFFSET($EN$3,0,0,'Données projet'!$E$15+1,1))-AVERAGE(OFFSET($H$3,0,0,'Données projet'!$E$15+1,1))</f>
        <v>454.78867027701426</v>
      </c>
      <c r="EP33" s="62">
        <f t="shared" si="46"/>
        <v>366.45346303927056</v>
      </c>
      <c r="EQ33" s="16">
        <f>IF(ISNA(VLOOKUP(A33,'Données projet'!$A$191:$I$211,3,0)),0,VLOOKUP(A33,'Données projet'!$A$191:$I$211,3,0))</f>
        <v>2</v>
      </c>
      <c r="ER33" s="16">
        <f>IF(ISNA(VLOOKUP(A33,'Données projet'!$A$191:$I$211,4,0)),0,VLOOKUP(A33,'Données projet'!$A$191:$I$211,4,0))</f>
        <v>33.974358974358971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57.951496116258895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>
        <f>VLOOKUP(A33,'Données projet'!$A$217:$I$237,2,0)</f>
        <v>183.97435897435898</v>
      </c>
      <c r="FC33" s="13">
        <f>VLOOKUP(A33,'Données projet'!$A$217:$I$237,9,0)</f>
        <v>9.2307692307692317</v>
      </c>
      <c r="FD33" s="13">
        <f t="array" ref="FD33">INDEX(FC:FC,MIN(IF(ISNUMBER(FC33:FC229),ROW(FC33:FC229),"")))</f>
        <v>9.2307692307692317</v>
      </c>
      <c r="FE33" s="13">
        <f>IF('Données projet'!$A$218&gt;35,FE32+FD33-FM32,IF(A33&lt;'Données projet'!$A$218,$FB$205^A33,IF(A33='Données projet'!$A$218,'Données projet'!$B$218,FE32+FD33-FM32)))</f>
        <v>183.97435897435895</v>
      </c>
      <c r="FF33" s="18">
        <f>FE33*VLOOKUP('Données projet'!$B$16,Paramètres!$A$1:$I$89,3,0)*VLOOKUP('Données projet'!$B$16,Paramètres!$A$1:$I$89,5,0)</f>
        <v>123.41</v>
      </c>
      <c r="FG33" s="14">
        <f t="shared" si="47"/>
        <v>32.469024148887371</v>
      </c>
      <c r="FH33" s="22">
        <f t="shared" si="22"/>
        <v>271.48930039264548</v>
      </c>
      <c r="FI33" s="62">
        <f t="shared" si="23"/>
        <v>520.64478615226142</v>
      </c>
      <c r="FJ33" s="62">
        <f ca="1">AVERAGE(OFFSET($FI$3,0,0,'Données projet'!$E$16+1,1))-AVERAGE(OFFSET($H$3,0,0,'Données projet'!$E$16+1,1))</f>
        <v>390.05579539539576</v>
      </c>
      <c r="FK33" s="62">
        <f t="shared" si="48"/>
        <v>323.72278615226139</v>
      </c>
      <c r="FL33" s="16">
        <f>IF(ISNA(VLOOKUP(A33,'Données projet'!$A$217:$I$237,3,0)),0,VLOOKUP(A33,'Données projet'!$A$217:$I$237,3,0))</f>
        <v>2</v>
      </c>
      <c r="FM33" s="16">
        <f>IF(ISNA(VLOOKUP(A33,'Données projet'!$A$217:$I$237,4,0)),0,VLOOKUP(A33,'Données projet'!$A$217:$I$237,4,0))</f>
        <v>39.102564102564102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projet'!$B$16,Paramètres!$A$1:$I$89,3,0)*0.475*44/12</f>
        <v>0</v>
      </c>
      <c r="FR33" s="23">
        <f>EXP(-LN(2)/25)*FR32+(1-EXP(-LN(2)/25))/(LN(2)/25)*Calculateur!FM33*Calculateur!FO33*VLOOKUP('Données projet'!$B$16,Paramètres!$A$1:$I$89,3,0)*0.475*44/12</f>
        <v>0</v>
      </c>
      <c r="FS33" s="23">
        <f>EXP(-LN(2)/2)*FS32+(1-EXP(-LN(2)/2))/(LN(2)/2)*FM33*FP33*VLOOKUP('Données projet'!$B$16,Paramètres!$A$1:$I$89,3,0)*0.475*44/12</f>
        <v>0</v>
      </c>
      <c r="FT33" s="24">
        <f t="shared" si="24"/>
        <v>0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57.951496116258895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>
        <f>VLOOKUP(A33,'Données projet'!$A$243:$I$263,2,0)</f>
        <v>149</v>
      </c>
      <c r="FX33" s="13">
        <f>VLOOKUP(A33,'Données projet'!$A$243:$I$263,9,0)</f>
        <v>9.1999999999999993</v>
      </c>
      <c r="FY33" s="13">
        <f t="array" ref="FY33">INDEX(FX:FX,MIN(IF(ISNUMBER(FX33:FX229),ROW(FX33:FX229),"")))</f>
        <v>9.1999999999999993</v>
      </c>
      <c r="FZ33" s="13">
        <f>IF('Données projet'!$A$244&gt;35,FZ32+FY33-GH32,IF(A33&lt;'Données projet'!$A$244,$FW$205^A33,IF(A33='Données projet'!$A$244,'Données projet'!$B$244,FZ32+FY33-GH32)))</f>
        <v>149</v>
      </c>
      <c r="GA33" s="18">
        <f>FZ33*VLOOKUP('Données projet'!$B$17,Paramètres!$A$1:$I$89,3,0)*VLOOKUP('Données projet'!$B$17,Paramètres!$A$1:$I$89,5,0)</f>
        <v>144.11279999999999</v>
      </c>
      <c r="GB33" s="14">
        <f t="shared" si="49"/>
        <v>37.237596662992502</v>
      </c>
      <c r="GC33" s="22">
        <f t="shared" si="25"/>
        <v>315.85194085471193</v>
      </c>
      <c r="GD33" s="62">
        <f t="shared" si="26"/>
        <v>565.00742661432787</v>
      </c>
      <c r="GE33" s="62">
        <f ca="1">AVERAGE(OFFSET($GD$3,0,0,'Données projet'!$E$17+1,1))-AVERAGE(OFFSET($H$3,0,0,'Données projet'!$E$17+1,1))</f>
        <v>578.44111602076555</v>
      </c>
      <c r="GF33" s="62">
        <f t="shared" si="50"/>
        <v>368.08542661432784</v>
      </c>
      <c r="GG33" s="16">
        <f>IF(ISNA(VLOOKUP(A33,'Données projet'!$A$243:$I$263,3,0)),0,VLOOKUP(A33,'Données projet'!$A$243:$I$263,3,0))</f>
        <v>2</v>
      </c>
      <c r="GH33" s="16">
        <f>IF(ISNA(VLOOKUP(A33,'Données projet'!$A$243:$I$263,4,0)),0,VLOOKUP(A33,'Données projet'!$A$243:$I$263,4,0))</f>
        <v>56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>
        <f>EXP(-LN(2)/35)*GL32+(1-EXP(-LN(2)/35))/(LN(2)/35)*GH33*GI33*VLOOKUP('Données projet'!$B$17,Paramètres!$A$1:$I$89,3,0)*0.475*44/12</f>
        <v>0</v>
      </c>
      <c r="GM33" s="23">
        <f>EXP(-LN(2)/25)*GM32+(1-EXP(-LN(2)/25))/(LN(2)/25)*Calculateur!GH33*Calculateur!GJ33*VLOOKUP('Données projet'!$B$17,Paramètres!$A$1:$I$89,3,0)*0.475*44/12</f>
        <v>0</v>
      </c>
      <c r="GN33" s="23">
        <f>EXP(-LN(2)/2)*GN32+(1-EXP(-LN(2)/2))/(LN(2)/2)*GH33*GK33*VLOOKUP('Données projet'!$B$17,Paramètres!$A$1:$I$89,3,0)*0.475*44/12</f>
        <v>0</v>
      </c>
      <c r="GO33" s="23">
        <f t="shared" si="27"/>
        <v>0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57.951496116258895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4.0735000000000001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14.936166666666667</v>
      </c>
      <c r="H34" s="70">
        <f t="shared" si="1"/>
        <v>196.922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58.160510722222483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10.8</v>
      </c>
      <c r="N34" s="14">
        <f>IF('Données projet'!$A$36&gt;35,N33+M34-V33,IF(A34&lt;'Données projet'!$A$36,$K$205^A34,IF(A34='Données projet'!$A$36,'Données projet'!$B$36,N33+M34-V33)))</f>
        <v>103.80000000000001</v>
      </c>
      <c r="O34" s="14">
        <f>N34*VLOOKUP('Données projet'!$B$9,Paramètres!$A$1:$I$89,3,0)*VLOOKUP('Données projet'!$B$9,Paramètres!$A$1:$I$89,5,0)</f>
        <v>93.918239999999997</v>
      </c>
      <c r="P34" s="14">
        <f t="shared" si="33"/>
        <v>25.507853654186022</v>
      </c>
      <c r="Q34" s="22">
        <f t="shared" si="2"/>
        <v>208.0004464477073</v>
      </c>
      <c r="R34" s="62">
        <f t="shared" si="0"/>
        <v>457.92231909585644</v>
      </c>
      <c r="S34" s="62">
        <f ca="1">AVERAGE(OFFSET($R$3,0,0,'Données projet'!$E$9+1,1))-AVERAGE(OFFSET($H$3,0,0,'Données projet'!$E$9+1,1))</f>
        <v>546.11281471711925</v>
      </c>
      <c r="T34" s="62">
        <f t="shared" si="34"/>
        <v>348.18069831447099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58.160510722222483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12.8</v>
      </c>
      <c r="AI34" s="14">
        <f>IF('Données projet'!$A$62&gt;35,AI33+AH34-AQ33,IF(A34&lt;'Données projet'!$A$62,$AF$205^A34,IF(A34='Données projet'!$A$62,'Données projet'!$B$62,AI33+AH34-AQ33)))</f>
        <v>158.80000000000001</v>
      </c>
      <c r="AJ34" s="14">
        <f>AI34*VLOOKUP('Données projet'!$B$10,Paramètres!$A$1:$I$89,3,0)*VLOOKUP('Données projet'!$B$10,Paramètres!$A$1:$I$89,5,0)</f>
        <v>136.25040000000004</v>
      </c>
      <c r="AK34" s="14">
        <f t="shared" si="35"/>
        <v>35.436672304560773</v>
      </c>
      <c r="AL34" s="22">
        <f t="shared" si="4"/>
        <v>299.0216509304434</v>
      </c>
      <c r="AM34" s="62">
        <f t="shared" si="5"/>
        <v>548.94352357859248</v>
      </c>
      <c r="AN34" s="62">
        <f ca="1">AVERAGE(OFFSET($AM$3,0,0,'Données projet'!$E$10+1,1))-AVERAGE(OFFSET($H$3,0,0,'Données projet'!$E$10+1,1))</f>
        <v>693.87994318348024</v>
      </c>
      <c r="AO34" s="62">
        <f t="shared" si="36"/>
        <v>327.71043739333641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58.160510722222483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10.8</v>
      </c>
      <c r="BD34" s="13">
        <f>IF('Données projet'!$A$88&gt;35,BD33+BC34-BL33,IF(A34&lt;'Données projet'!$A$88,$BA$205^A34,IF(A34='Données projet'!$A$88,'Données projet'!$B$88,BD33+BC34-BL33)))</f>
        <v>103.80000000000001</v>
      </c>
      <c r="BE34" s="14">
        <f>BD34*VLOOKUP('Données projet'!$B$11,Paramètres!$A$1:$I$89,3,0)*VLOOKUP('Données projet'!$B$11,Paramètres!$A$1:$I$89,5,0)</f>
        <v>87.441120000000012</v>
      </c>
      <c r="BF34" s="14">
        <f t="shared" si="37"/>
        <v>23.947052577122403</v>
      </c>
      <c r="BG34" s="22">
        <f t="shared" si="7"/>
        <v>194.00106723848819</v>
      </c>
      <c r="BH34" s="62">
        <f t="shared" si="8"/>
        <v>443.92293988663732</v>
      </c>
      <c r="BI34" s="62">
        <f ca="1">AVERAGE(OFFSET($BH$3,0,0,'Données projet'!$E$11+1,1))-AVERAGE(OFFSET($H$3,0,0,'Données projet'!$E$11+1,1))</f>
        <v>513.7388209355762</v>
      </c>
      <c r="BJ34" s="62">
        <f t="shared" si="38"/>
        <v>328.24603121433927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58.160510722222483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15.160000000000002</v>
      </c>
      <c r="BY34" s="13">
        <f>IF('Données projet'!$A$114&gt;35,BY33+BX34-CG33,IF(A34&lt;'Données projet'!$A$114,$BV$205^A34,IF(A34='Données projet'!$A$114,'Données projet'!$B$114,BY33+BX34-CG33)))</f>
        <v>178.35999999999996</v>
      </c>
      <c r="BZ34" s="14">
        <f>BY34*VLOOKUP('Données projet'!$B$12,Paramètres!$A$1:$I$89,3,0)*VLOOKUP('Données projet'!$B$12,Paramètres!$A$1:$I$89,5,0)</f>
        <v>141.90321599999999</v>
      </c>
      <c r="CA34" s="14">
        <f t="shared" si="39"/>
        <v>36.732662326789061</v>
      </c>
      <c r="CB34" s="22">
        <f t="shared" si="10"/>
        <v>311.12415475249094</v>
      </c>
      <c r="CC34" s="62">
        <f t="shared" si="11"/>
        <v>561.04602740064001</v>
      </c>
      <c r="CD34" s="62">
        <f ca="1">AVERAGE(OFFSET($CC$3,0,0,'Données projet'!$E$12+1,1))-AVERAGE(OFFSET($H$3,0,0,'Données projet'!$E$12+1,1))</f>
        <v>447.25854887589878</v>
      </c>
      <c r="CE34" s="62">
        <f t="shared" si="40"/>
        <v>480.13390593590157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58.160510722222483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>
        <f>VLOOKUP(A34,'Données projet'!$A$139:$I$159,2,0)</f>
        <v>155</v>
      </c>
      <c r="CR34" s="13">
        <f>VLOOKUP(A34,'Données projet'!$A$139:$I$159,9,0)</f>
        <v>11.5</v>
      </c>
      <c r="CS34" s="13">
        <f t="array" ref="CS34">INDEX(CR:CR,MIN(IF(ISNUMBER(CR34:CR230),ROW(CR34:CR230),"")))</f>
        <v>11.5</v>
      </c>
      <c r="CT34" s="13">
        <f>IF('Données projet'!$A$140&gt;35,CT33+CS34-DB33,IF(A34&lt;'Données projet'!$A$140,$CQ$205^A34,IF(A34='Données projet'!$A$140,'Données projet'!$B$140,CT33+CS34-DB33)))</f>
        <v>154.99999999999997</v>
      </c>
      <c r="CU34" s="18">
        <f>CT34*VLOOKUP('Données projet'!$B$13,Paramètres!$A$1:$I$89,3,0)*VLOOKUP('Données projet'!$B$13,Paramètres!$A$1:$I$89,5,0)</f>
        <v>120.89999999999998</v>
      </c>
      <c r="CV34" s="14">
        <f t="shared" si="41"/>
        <v>31.884818143351602</v>
      </c>
      <c r="CW34" s="22">
        <f t="shared" si="13"/>
        <v>266.10022493300397</v>
      </c>
      <c r="CX34" s="62">
        <f t="shared" si="14"/>
        <v>516.02209758115305</v>
      </c>
      <c r="CY34" s="62">
        <f ca="1">AVERAGE(OFFSET($CX$3,0,0,'Données projet'!$E$13+1,1))-AVERAGE(OFFSET($H$3,0,0,'Données projet'!$E$13+1,1))</f>
        <v>308.52515801950324</v>
      </c>
      <c r="CZ34" s="62">
        <f t="shared" si="42"/>
        <v>299.05420638408953</v>
      </c>
      <c r="DA34" s="16">
        <f>IF(ISNA(VLOOKUP(A34,'Données projet'!$A$139:$I$159,3,0)),0,VLOOKUP(A34,'Données projet'!$A$139:$I$159,3,0))</f>
        <v>3</v>
      </c>
      <c r="DB34" s="16">
        <f>IF(ISNA(VLOOKUP(A34,'Données projet'!$A$139:$I$159,4,0)),0,VLOOKUP(A34,'Données projet'!$A$139:$I$159,4,0))</f>
        <v>36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58.160510722222483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15.160000000000002</v>
      </c>
      <c r="DO34" s="13">
        <f>IF('Données projet'!$A$166&gt;35,DO33+DN34-DW33,IF(A34&lt;'Données projet'!$A$166,$DL$205^A34,IF(A34='Données projet'!$A$166,'Données projet'!$B$166,DO33+DN34-DW33)))</f>
        <v>178.35999999999996</v>
      </c>
      <c r="DP34" s="18">
        <f>DO34*VLOOKUP('Données projet'!$B$14,Paramètres!$A$1:$I$89,3,0)*VLOOKUP('Données projet'!$B$14,Paramètres!$A$1:$I$89,5,0)</f>
        <v>130.77355199999997</v>
      </c>
      <c r="DQ34" s="14">
        <f t="shared" si="43"/>
        <v>34.175042722324982</v>
      </c>
      <c r="DR34" s="22">
        <f t="shared" si="16"/>
        <v>287.28546914138258</v>
      </c>
      <c r="DS34" s="62">
        <f t="shared" si="17"/>
        <v>537.20734178953171</v>
      </c>
      <c r="DT34" s="62">
        <f ca="1">AVERAGE(OFFSET($DS$3,0,0,'Données projet'!$E$14+1,1))-AVERAGE(OFFSET($H$3,0,0,'Données projet'!$E$14+1,1))</f>
        <v>416.72317068678774</v>
      </c>
      <c r="DU34" s="62">
        <f t="shared" si="44"/>
        <v>447.32457429495537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58.160510722222483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7.5641025641025639</v>
      </c>
      <c r="EJ34" s="13">
        <f>IF('Données projet'!$A$192&gt;35,EJ33+EI34-ER33,IF(A34&lt;'Données projet'!$A$192,$EG$205^A34,IF(A34='Données projet'!$A$192,'Données projet'!$B$192,EJ33+EI34-ER33)))</f>
        <v>124.23076923076925</v>
      </c>
      <c r="EK34" s="18">
        <f>EJ34*VLOOKUP('Données projet'!$B$15,Paramètres!$A$1:$I$89,3,0)*VLOOKUP('Données projet'!$B$15,Paramètres!$A$1:$I$89,5,0)</f>
        <v>118.21800000000002</v>
      </c>
      <c r="EL34" s="14">
        <f t="shared" si="45"/>
        <v>31.259015847254158</v>
      </c>
      <c r="EM34" s="22">
        <f t="shared" si="19"/>
        <v>260.33913593396761</v>
      </c>
      <c r="EN34" s="62">
        <f t="shared" si="20"/>
        <v>510.26100858211669</v>
      </c>
      <c r="EO34" s="62">
        <f ca="1">AVERAGE(OFFSET($EN$3,0,0,'Données projet'!$E$15+1,1))-AVERAGE(OFFSET($H$3,0,0,'Données projet'!$E$15+1,1))</f>
        <v>454.78867027701426</v>
      </c>
      <c r="EP34" s="62">
        <f t="shared" si="46"/>
        <v>366.45346303927056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58.160510722222483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8.717948717948719</v>
      </c>
      <c r="FE34" s="13">
        <f>IF('Données projet'!$A$218&gt;35,FE33+FD34-FM33,IF(A34&lt;'Données projet'!$A$218,$FB$205^A34,IF(A34='Données projet'!$A$218,'Données projet'!$B$218,FE33+FD34-FM33)))</f>
        <v>153.58974358974359</v>
      </c>
      <c r="FF34" s="18">
        <f>FE34*VLOOKUP('Données projet'!$B$16,Paramètres!$A$1:$I$89,3,0)*VLOOKUP('Données projet'!$B$16,Paramètres!$A$1:$I$89,5,0)</f>
        <v>103.02800000000001</v>
      </c>
      <c r="FG34" s="14">
        <f t="shared" si="47"/>
        <v>27.682119609309797</v>
      </c>
      <c r="FH34" s="22">
        <f t="shared" si="22"/>
        <v>227.65345831954789</v>
      </c>
      <c r="FI34" s="62">
        <f t="shared" si="23"/>
        <v>477.57533096769703</v>
      </c>
      <c r="FJ34" s="62">
        <f ca="1">AVERAGE(OFFSET($FI$3,0,0,'Données projet'!$E$16+1,1))-AVERAGE(OFFSET($H$3,0,0,'Données projet'!$E$16+1,1))</f>
        <v>390.05579539539576</v>
      </c>
      <c r="FK34" s="62">
        <f t="shared" si="48"/>
        <v>323.72278615226139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projet'!$B$16,Paramètres!$A$1:$I$89,3,0)*0.475*44/12</f>
        <v>0</v>
      </c>
      <c r="FR34" s="23">
        <f>EXP(-LN(2)/25)*FR33+(1-EXP(-LN(2)/25))/(LN(2)/25)*Calculateur!FM34*Calculateur!FO34*VLOOKUP('Données projet'!$B$16,Paramètres!$A$1:$I$89,3,0)*0.475*44/12</f>
        <v>0</v>
      </c>
      <c r="FS34" s="23">
        <f>EXP(-LN(2)/2)*FS33+(1-EXP(-LN(2)/2))/(LN(2)/2)*FM34*FP34*VLOOKUP('Données projet'!$B$16,Paramètres!$A$1:$I$89,3,0)*0.475*44/12</f>
        <v>0</v>
      </c>
      <c r="FT34" s="24">
        <f t="shared" si="24"/>
        <v>0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58.160510722222483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10.8</v>
      </c>
      <c r="FZ34" s="13">
        <f>IF('Données projet'!$A$244&gt;35,FZ33+FY34-GH33,IF(A34&lt;'Données projet'!$A$244,$FW$205^A34,IF(A34='Données projet'!$A$244,'Données projet'!$B$244,FZ33+FY34-GH33)))</f>
        <v>103.80000000000001</v>
      </c>
      <c r="GA34" s="18">
        <f>FZ34*VLOOKUP('Données projet'!$B$17,Paramètres!$A$1:$I$89,3,0)*VLOOKUP('Données projet'!$B$17,Paramètres!$A$1:$I$89,5,0)</f>
        <v>100.39536000000001</v>
      </c>
      <c r="GB34" s="14">
        <f t="shared" si="49"/>
        <v>27.056164975430569</v>
      </c>
      <c r="GC34" s="22">
        <f t="shared" si="25"/>
        <v>221.97807266554159</v>
      </c>
      <c r="GD34" s="62">
        <f t="shared" si="26"/>
        <v>471.89994531369069</v>
      </c>
      <c r="GE34" s="62">
        <f ca="1">AVERAGE(OFFSET($GD$3,0,0,'Données projet'!$E$17+1,1))-AVERAGE(OFFSET($H$3,0,0,'Données projet'!$E$17+1,1))</f>
        <v>578.44111602076555</v>
      </c>
      <c r="GF34" s="62">
        <f t="shared" si="50"/>
        <v>368.08542661432784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>
        <f>EXP(-LN(2)/35)*GL33+(1-EXP(-LN(2)/35))/(LN(2)/35)*GH34*GI34*VLOOKUP('Données projet'!$B$17,Paramètres!$A$1:$I$89,3,0)*0.475*44/12</f>
        <v>0</v>
      </c>
      <c r="GM34" s="23">
        <f>EXP(-LN(2)/25)*GM33+(1-EXP(-LN(2)/25))/(LN(2)/25)*Calculateur!GH34*Calculateur!GJ34*VLOOKUP('Données projet'!$B$17,Paramètres!$A$1:$I$89,3,0)*0.475*44/12</f>
        <v>0</v>
      </c>
      <c r="GN34" s="23">
        <f>EXP(-LN(2)/2)*GN33+(1-EXP(-LN(2)/2))/(LN(2)/2)*GH34*GK34*VLOOKUP('Données projet'!$B$17,Paramètres!$A$1:$I$89,3,0)*0.475*44/12</f>
        <v>0</v>
      </c>
      <c r="GO34" s="23">
        <f t="shared" si="27"/>
        <v>0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58.160510722222483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4.0735000000000001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14.936166666666667</v>
      </c>
      <c r="H35" s="70">
        <f t="shared" si="1"/>
        <v>196.922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58.365899392059262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10.8</v>
      </c>
      <c r="N35" s="14">
        <f>IF('Données projet'!$A$36&gt;35,N34+M35-V34,IF(A35&lt;'Données projet'!$A$36,$K$205^A35,IF(A35='Données projet'!$A$36,'Données projet'!$B$36,N34+M35-V34)))</f>
        <v>114.60000000000001</v>
      </c>
      <c r="O35" s="14">
        <f>N35*VLOOKUP('Données projet'!$B$9,Paramètres!$A$1:$I$89,3,0)*VLOOKUP('Données projet'!$B$9,Paramètres!$A$1:$I$89,5,0)</f>
        <v>103.69008000000001</v>
      </c>
      <c r="P35" s="14">
        <f t="shared" si="33"/>
        <v>27.83924565319537</v>
      </c>
      <c r="Q35" s="22">
        <f t="shared" ref="Q35:Q66" si="53">(O35+P35)*0.475*44/12</f>
        <v>229.08024217931526</v>
      </c>
      <c r="R35" s="62">
        <f t="shared" si="0"/>
        <v>479.75520661686591</v>
      </c>
      <c r="S35" s="62">
        <f ca="1">AVERAGE(OFFSET($R$3,0,0,'Données projet'!$E$9+1,1))-AVERAGE(OFFSET($H$3,0,0,'Données projet'!$E$9+1,1))</f>
        <v>546.11281471711925</v>
      </c>
      <c r="T35" s="62">
        <f t="shared" si="34"/>
        <v>348.18069831447099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58.365899392059262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12.8</v>
      </c>
      <c r="AI35" s="14">
        <f>IF('Données projet'!$A$62&gt;35,AI34+AH35-AQ34,IF(A35&lt;'Données projet'!$A$62,$AF$205^A35,IF(A35='Données projet'!$A$62,'Données projet'!$B$62,AI34+AH35-AQ34)))</f>
        <v>171.60000000000002</v>
      </c>
      <c r="AJ35" s="14">
        <f>AI35*VLOOKUP('Données projet'!$B$10,Paramètres!$A$1:$I$89,3,0)*VLOOKUP('Données projet'!$B$10,Paramètres!$A$1:$I$89,5,0)</f>
        <v>147.23280000000005</v>
      </c>
      <c r="AK35" s="14">
        <f t="shared" si="35"/>
        <v>37.949049623906205</v>
      </c>
      <c r="AL35" s="22">
        <f t="shared" si="4"/>
        <v>322.52505476163668</v>
      </c>
      <c r="AM35" s="62">
        <f t="shared" si="5"/>
        <v>573.2000191991873</v>
      </c>
      <c r="AN35" s="62">
        <f ca="1">AVERAGE(OFFSET($AM$3,0,0,'Données projet'!$E$10+1,1))-AVERAGE(OFFSET($H$3,0,0,'Données projet'!$E$10+1,1))</f>
        <v>693.87994318348024</v>
      </c>
      <c r="AO35" s="62">
        <f t="shared" si="36"/>
        <v>327.71043739333641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58.365899392059262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10.8</v>
      </c>
      <c r="BD35" s="13">
        <f>IF('Données projet'!$A$88&gt;35,BD34+BC35-BL34,IF(A35&lt;'Données projet'!$A$88,$BA$205^A35,IF(A35='Données projet'!$A$88,'Données projet'!$B$88,BD34+BC35-BL34)))</f>
        <v>114.60000000000001</v>
      </c>
      <c r="BE35" s="14">
        <f>BD35*VLOOKUP('Données projet'!$B$11,Paramètres!$A$1:$I$89,3,0)*VLOOKUP('Données projet'!$B$11,Paramètres!$A$1:$I$89,5,0)</f>
        <v>96.539040000000014</v>
      </c>
      <c r="BF35" s="14">
        <f t="shared" si="37"/>
        <v>26.135788937894091</v>
      </c>
      <c r="BG35" s="22">
        <f t="shared" si="7"/>
        <v>213.65866040016556</v>
      </c>
      <c r="BH35" s="62">
        <f t="shared" si="8"/>
        <v>464.33362483771623</v>
      </c>
      <c r="BI35" s="62">
        <f ca="1">AVERAGE(OFFSET($BH$3,0,0,'Données projet'!$E$11+1,1))-AVERAGE(OFFSET($H$3,0,0,'Données projet'!$E$11+1,1))</f>
        <v>513.7388209355762</v>
      </c>
      <c r="BJ35" s="62">
        <f t="shared" si="38"/>
        <v>328.24603121433927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58.365899392059262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15.160000000000002</v>
      </c>
      <c r="BY35" s="13">
        <f>IF('Données projet'!$A$114&gt;35,BY34+BX35-CG34,IF(A35&lt;'Données projet'!$A$114,$BV$205^A35,IF(A35='Données projet'!$A$114,'Données projet'!$B$114,BY34+BX35-CG34)))</f>
        <v>193.51999999999995</v>
      </c>
      <c r="BZ35" s="14">
        <f>BY35*VLOOKUP('Données projet'!$B$12,Paramètres!$A$1:$I$89,3,0)*VLOOKUP('Données projet'!$B$12,Paramètres!$A$1:$I$89,5,0)</f>
        <v>153.96451199999996</v>
      </c>
      <c r="CA35" s="14">
        <f t="shared" si="39"/>
        <v>39.478162773901254</v>
      </c>
      <c r="CB35" s="22">
        <f t="shared" si="10"/>
        <v>336.91265856454464</v>
      </c>
      <c r="CC35" s="62">
        <f t="shared" si="11"/>
        <v>587.58762300209526</v>
      </c>
      <c r="CD35" s="62">
        <f ca="1">AVERAGE(OFFSET($CC$3,0,0,'Données projet'!$E$12+1,1))-AVERAGE(OFFSET($H$3,0,0,'Données projet'!$E$12+1,1))</f>
        <v>447.25854887589878</v>
      </c>
      <c r="CE35" s="62">
        <f t="shared" si="40"/>
        <v>480.13390593590157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58.365899392059262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11.5</v>
      </c>
      <c r="CT35" s="13">
        <f>IF('Données projet'!$A$140&gt;35,CT34+CS35-DB34,IF(A35&lt;'Données projet'!$A$140,$CQ$205^A35,IF(A35='Données projet'!$A$140,'Données projet'!$B$140,CT34+CS35-DB34)))</f>
        <v>130.49999999999997</v>
      </c>
      <c r="CU35" s="18">
        <f>CT35*VLOOKUP('Données projet'!$B$13,Paramètres!$A$1:$I$89,3,0)*VLOOKUP('Données projet'!$B$13,Paramètres!$A$1:$I$89,5,0)</f>
        <v>101.78999999999998</v>
      </c>
      <c r="CV35" s="14">
        <f t="shared" si="41"/>
        <v>27.38799903683508</v>
      </c>
      <c r="CW35" s="22">
        <f t="shared" si="13"/>
        <v>224.98501498915437</v>
      </c>
      <c r="CX35" s="62">
        <f t="shared" si="14"/>
        <v>475.65997942670504</v>
      </c>
      <c r="CY35" s="62">
        <f ca="1">AVERAGE(OFFSET($CX$3,0,0,'Données projet'!$E$13+1,1))-AVERAGE(OFFSET($H$3,0,0,'Données projet'!$E$13+1,1))</f>
        <v>308.52515801950324</v>
      </c>
      <c r="CZ35" s="62">
        <f t="shared" si="42"/>
        <v>299.05420638408953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58.365899392059262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15.160000000000002</v>
      </c>
      <c r="DO35" s="13">
        <f>IF('Données projet'!$A$166&gt;35,DO34+DN35-DW34,IF(A35&lt;'Données projet'!$A$166,$DL$205^A35,IF(A35='Données projet'!$A$166,'Données projet'!$B$166,DO34+DN35-DW34)))</f>
        <v>193.51999999999995</v>
      </c>
      <c r="DP35" s="18">
        <f>DO35*VLOOKUP('Données projet'!$B$14,Paramètres!$A$1:$I$89,3,0)*VLOOKUP('Données projet'!$B$14,Paramètres!$A$1:$I$89,5,0)</f>
        <v>141.88886399999998</v>
      </c>
      <c r="DQ35" s="14">
        <f t="shared" si="43"/>
        <v>36.729379629339569</v>
      </c>
      <c r="DR35" s="22">
        <f t="shared" si="16"/>
        <v>311.09344098776637</v>
      </c>
      <c r="DS35" s="62">
        <f t="shared" si="17"/>
        <v>561.76840542531704</v>
      </c>
      <c r="DT35" s="62">
        <f ca="1">AVERAGE(OFFSET($DS$3,0,0,'Données projet'!$E$14+1,1))-AVERAGE(OFFSET($H$3,0,0,'Données projet'!$E$14+1,1))</f>
        <v>416.72317068678774</v>
      </c>
      <c r="DU35" s="62">
        <f t="shared" si="44"/>
        <v>447.32457429495537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58.365899392059262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7.5641025641025639</v>
      </c>
      <c r="EJ35" s="13">
        <f>IF('Données projet'!$A$192&gt;35,EJ34+EI35-ER34,IF(A35&lt;'Données projet'!$A$192,$EG$205^A35,IF(A35='Données projet'!$A$192,'Données projet'!$B$192,EJ34+EI35-ER34)))</f>
        <v>131.79487179487182</v>
      </c>
      <c r="EK35" s="18">
        <f>EJ35*VLOOKUP('Données projet'!$B$15,Paramètres!$A$1:$I$89,3,0)*VLOOKUP('Données projet'!$B$15,Paramètres!$A$1:$I$89,5,0)</f>
        <v>125.41600000000003</v>
      </c>
      <c r="EL35" s="14">
        <f t="shared" si="45"/>
        <v>32.93492868341815</v>
      </c>
      <c r="EM35" s="22">
        <f t="shared" si="19"/>
        <v>275.79453412362</v>
      </c>
      <c r="EN35" s="62">
        <f t="shared" si="20"/>
        <v>526.46949856117067</v>
      </c>
      <c r="EO35" s="62">
        <f ca="1">AVERAGE(OFFSET($EN$3,0,0,'Données projet'!$E$15+1,1))-AVERAGE(OFFSET($H$3,0,0,'Données projet'!$E$15+1,1))</f>
        <v>454.78867027701426</v>
      </c>
      <c r="EP35" s="62">
        <f t="shared" si="46"/>
        <v>366.45346303927056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58.365899392059262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8.717948717948719</v>
      </c>
      <c r="FE35" s="13">
        <f>IF('Données projet'!$A$218&gt;35,FE34+FD35-FM34,IF(A35&lt;'Données projet'!$A$218,$FB$205^A35,IF(A35='Données projet'!$A$218,'Données projet'!$B$218,FE34+FD35-FM34)))</f>
        <v>162.30769230769232</v>
      </c>
      <c r="FF35" s="18">
        <f>FE35*VLOOKUP('Données projet'!$B$16,Paramètres!$A$1:$I$89,3,0)*VLOOKUP('Données projet'!$B$16,Paramètres!$A$1:$I$89,5,0)</f>
        <v>108.87600000000002</v>
      </c>
      <c r="FG35" s="14">
        <f t="shared" si="47"/>
        <v>29.066003313709242</v>
      </c>
      <c r="FH35" s="22">
        <f t="shared" si="22"/>
        <v>240.24898910471029</v>
      </c>
      <c r="FI35" s="62">
        <f t="shared" si="23"/>
        <v>490.92395354226096</v>
      </c>
      <c r="FJ35" s="62">
        <f ca="1">AVERAGE(OFFSET($FI$3,0,0,'Données projet'!$E$16+1,1))-AVERAGE(OFFSET($H$3,0,0,'Données projet'!$E$16+1,1))</f>
        <v>390.05579539539576</v>
      </c>
      <c r="FK35" s="62">
        <f t="shared" si="48"/>
        <v>323.72278615226139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projet'!$B$16,Paramètres!$A$1:$I$89,3,0)*0.475*44/12</f>
        <v>0</v>
      </c>
      <c r="FR35" s="23">
        <f>EXP(-LN(2)/25)*FR34+(1-EXP(-LN(2)/25))/(LN(2)/25)*Calculateur!FM35*Calculateur!FO35*VLOOKUP('Données projet'!$B$16,Paramètres!$A$1:$I$89,3,0)*0.475*44/12</f>
        <v>0</v>
      </c>
      <c r="FS35" s="23">
        <f>EXP(-LN(2)/2)*FS34+(1-EXP(-LN(2)/2))/(LN(2)/2)*FM35*FP35*VLOOKUP('Données projet'!$B$16,Paramètres!$A$1:$I$89,3,0)*0.475*44/12</f>
        <v>0</v>
      </c>
      <c r="FT35" s="24">
        <f t="shared" si="24"/>
        <v>0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58.365899392059262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10.8</v>
      </c>
      <c r="FZ35" s="13">
        <f>IF('Données projet'!$A$244&gt;35,FZ34+FY35-GH34,IF(A35&lt;'Données projet'!$A$244,$FW$205^A35,IF(A35='Données projet'!$A$244,'Données projet'!$B$244,FZ34+FY35-GH34)))</f>
        <v>114.60000000000001</v>
      </c>
      <c r="GA35" s="18">
        <f>FZ35*VLOOKUP('Données projet'!$B$17,Paramètres!$A$1:$I$89,3,0)*VLOOKUP('Données projet'!$B$17,Paramètres!$A$1:$I$89,5,0)</f>
        <v>110.84112000000002</v>
      </c>
      <c r="GB35" s="14">
        <f t="shared" si="49"/>
        <v>29.529071061640771</v>
      </c>
      <c r="GC35" s="22">
        <f t="shared" si="25"/>
        <v>244.47808276569103</v>
      </c>
      <c r="GD35" s="62">
        <f t="shared" si="26"/>
        <v>495.15304720324167</v>
      </c>
      <c r="GE35" s="62">
        <f ca="1">AVERAGE(OFFSET($GD$3,0,0,'Données projet'!$E$17+1,1))-AVERAGE(OFFSET($H$3,0,0,'Données projet'!$E$17+1,1))</f>
        <v>578.44111602076555</v>
      </c>
      <c r="GF35" s="62">
        <f t="shared" si="50"/>
        <v>368.08542661432784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>
        <f>EXP(-LN(2)/35)*GL34+(1-EXP(-LN(2)/35))/(LN(2)/35)*GH35*GI35*VLOOKUP('Données projet'!$B$17,Paramètres!$A$1:$I$89,3,0)*0.475*44/12</f>
        <v>0</v>
      </c>
      <c r="GM35" s="23">
        <f>EXP(-LN(2)/25)*GM34+(1-EXP(-LN(2)/25))/(LN(2)/25)*Calculateur!GH35*Calculateur!GJ35*VLOOKUP('Données projet'!$B$17,Paramètres!$A$1:$I$89,3,0)*0.475*44/12</f>
        <v>0</v>
      </c>
      <c r="GN35" s="23">
        <f>EXP(-LN(2)/2)*GN34+(1-EXP(-LN(2)/2))/(LN(2)/2)*GH35*GK35*VLOOKUP('Données projet'!$B$17,Paramètres!$A$1:$I$89,3,0)*0.475*44/12</f>
        <v>0</v>
      </c>
      <c r="GO35" s="23">
        <f t="shared" si="27"/>
        <v>0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58.365899392059262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4.0735000000000001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14.936166666666667</v>
      </c>
      <c r="H36" s="70">
        <f t="shared" si="1"/>
        <v>196.922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58.567725027654646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10.8</v>
      </c>
      <c r="N36" s="14">
        <f>IF('Données projet'!$A$36&gt;35,N35+M36-V35,IF(A36&lt;'Données projet'!$A$36,$K$205^A36,IF(A36='Données projet'!$A$36,'Données projet'!$B$36,N35+M36-V35)))</f>
        <v>125.4</v>
      </c>
      <c r="O36" s="14">
        <f>N36*VLOOKUP('Données projet'!$B$9,Paramètres!$A$1:$I$89,3,0)*VLOOKUP('Données projet'!$B$9,Paramètres!$A$1:$I$89,5,0)</f>
        <v>113.46192000000001</v>
      </c>
      <c r="P36" s="14">
        <f t="shared" si="33"/>
        <v>30.145163126535493</v>
      </c>
      <c r="Q36" s="22">
        <f t="shared" si="53"/>
        <v>250.11566977871595</v>
      </c>
      <c r="R36" s="62">
        <f t="shared" si="0"/>
        <v>501.53066154678299</v>
      </c>
      <c r="S36" s="62">
        <f ca="1">AVERAGE(OFFSET($R$3,0,0,'Données projet'!$E$9+1,1))-AVERAGE(OFFSET($H$3,0,0,'Données projet'!$E$9+1,1))</f>
        <v>546.11281471711925</v>
      </c>
      <c r="T36" s="62">
        <f t="shared" si="34"/>
        <v>348.18069831447099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58.567725027654646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12.8</v>
      </c>
      <c r="AI36" s="14">
        <f>IF('Données projet'!$A$62&gt;35,AI35+AH36-AQ35,IF(A36&lt;'Données projet'!$A$62,$AF$205^A36,IF(A36='Données projet'!$A$62,'Données projet'!$B$62,AI35+AH36-AQ35)))</f>
        <v>184.40000000000003</v>
      </c>
      <c r="AJ36" s="14">
        <f>AI36*VLOOKUP('Données projet'!$B$10,Paramètres!$A$1:$I$89,3,0)*VLOOKUP('Données projet'!$B$10,Paramètres!$A$1:$I$89,5,0)</f>
        <v>158.21520000000004</v>
      </c>
      <c r="AK36" s="14">
        <f t="shared" si="35"/>
        <v>40.439686338648897</v>
      </c>
      <c r="AL36" s="22">
        <f t="shared" si="4"/>
        <v>345.99059370648024</v>
      </c>
      <c r="AM36" s="62">
        <f t="shared" si="5"/>
        <v>597.40558547454725</v>
      </c>
      <c r="AN36" s="62">
        <f ca="1">AVERAGE(OFFSET($AM$3,0,0,'Données projet'!$E$10+1,1))-AVERAGE(OFFSET($H$3,0,0,'Données projet'!$E$10+1,1))</f>
        <v>693.87994318348024</v>
      </c>
      <c r="AO36" s="62">
        <f t="shared" si="36"/>
        <v>327.71043739333641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58.567725027654646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10.8</v>
      </c>
      <c r="BD36" s="13">
        <f>IF('Données projet'!$A$88&gt;35,BD35+BC36-BL35,IF(A36&lt;'Données projet'!$A$88,$BA$205^A36,IF(A36='Données projet'!$A$88,'Données projet'!$B$88,BD35+BC36-BL35)))</f>
        <v>125.4</v>
      </c>
      <c r="BE36" s="14">
        <f>BD36*VLOOKUP('Données projet'!$B$11,Paramètres!$A$1:$I$89,3,0)*VLOOKUP('Données projet'!$B$11,Paramètres!$A$1:$I$89,5,0)</f>
        <v>105.63696000000002</v>
      </c>
      <c r="BF36" s="14">
        <f t="shared" si="37"/>
        <v>28.300609534766192</v>
      </c>
      <c r="BG36" s="22">
        <f t="shared" si="7"/>
        <v>233.27460027305111</v>
      </c>
      <c r="BH36" s="62">
        <f t="shared" si="8"/>
        <v>484.68959204111815</v>
      </c>
      <c r="BI36" s="62">
        <f ca="1">AVERAGE(OFFSET($BH$3,0,0,'Données projet'!$E$11+1,1))-AVERAGE(OFFSET($H$3,0,0,'Données projet'!$E$11+1,1))</f>
        <v>513.7388209355762</v>
      </c>
      <c r="BJ36" s="62">
        <f t="shared" si="38"/>
        <v>328.24603121433927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58.567725027654646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15.160000000000002</v>
      </c>
      <c r="BY36" s="13">
        <f>IF('Données projet'!$A$114&gt;35,BY35+BX36-CG35,IF(A36&lt;'Données projet'!$A$114,$BV$205^A36,IF(A36='Données projet'!$A$114,'Données projet'!$B$114,BY35+BX36-CG35)))</f>
        <v>208.67999999999995</v>
      </c>
      <c r="BZ36" s="14">
        <f>BY36*VLOOKUP('Données projet'!$B$12,Paramètres!$A$1:$I$89,3,0)*VLOOKUP('Données projet'!$B$12,Paramètres!$A$1:$I$89,5,0)</f>
        <v>166.02580799999996</v>
      </c>
      <c r="CA36" s="14">
        <f t="shared" si="39"/>
        <v>42.198715082642501</v>
      </c>
      <c r="CB36" s="22">
        <f t="shared" si="10"/>
        <v>362.65771103560229</v>
      </c>
      <c r="CC36" s="62">
        <f t="shared" si="11"/>
        <v>614.07270280366936</v>
      </c>
      <c r="CD36" s="62">
        <f ca="1">AVERAGE(OFFSET($CC$3,0,0,'Données projet'!$E$12+1,1))-AVERAGE(OFFSET($H$3,0,0,'Données projet'!$E$12+1,1))</f>
        <v>447.25854887589878</v>
      </c>
      <c r="CE36" s="62">
        <f t="shared" si="40"/>
        <v>480.13390593590157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58.567725027654646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11.5</v>
      </c>
      <c r="CT36" s="13">
        <f>IF('Données projet'!$A$140&gt;35,CT35+CS36-DB35,IF(A36&lt;'Données projet'!$A$140,$CQ$205^A36,IF(A36='Données projet'!$A$140,'Données projet'!$B$140,CT35+CS36-DB35)))</f>
        <v>141.99999999999997</v>
      </c>
      <c r="CU36" s="18">
        <f>CT36*VLOOKUP('Données projet'!$B$13,Paramètres!$A$1:$I$89,3,0)*VLOOKUP('Données projet'!$B$13,Paramètres!$A$1:$I$89,5,0)</f>
        <v>110.75999999999998</v>
      </c>
      <c r="CV36" s="14">
        <f t="shared" si="41"/>
        <v>29.509974682362923</v>
      </c>
      <c r="CW36" s="22">
        <f t="shared" si="13"/>
        <v>244.30353923844871</v>
      </c>
      <c r="CX36" s="62">
        <f t="shared" si="14"/>
        <v>495.71853100651572</v>
      </c>
      <c r="CY36" s="62">
        <f ca="1">AVERAGE(OFFSET($CX$3,0,0,'Données projet'!$E$13+1,1))-AVERAGE(OFFSET($H$3,0,0,'Données projet'!$E$13+1,1))</f>
        <v>308.52515801950324</v>
      </c>
      <c r="CZ36" s="62">
        <f t="shared" si="42"/>
        <v>299.05420638408953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58.567725027654646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15.160000000000002</v>
      </c>
      <c r="DO36" s="13">
        <f>IF('Données projet'!$A$166&gt;35,DO35+DN36-DW35,IF(A36&lt;'Données projet'!$A$166,$DL$205^A36,IF(A36='Données projet'!$A$166,'Données projet'!$B$166,DO35+DN36-DW35)))</f>
        <v>208.67999999999995</v>
      </c>
      <c r="DP36" s="18">
        <f>DO36*VLOOKUP('Données projet'!$B$14,Paramètres!$A$1:$I$89,3,0)*VLOOKUP('Données projet'!$B$14,Paramètres!$A$1:$I$89,5,0)</f>
        <v>153.00417599999997</v>
      </c>
      <c r="DQ36" s="14">
        <f t="shared" si="43"/>
        <v>39.260505485462048</v>
      </c>
      <c r="DR36" s="22">
        <f t="shared" si="16"/>
        <v>334.86098692051297</v>
      </c>
      <c r="DS36" s="62">
        <f t="shared" si="17"/>
        <v>586.27597868858004</v>
      </c>
      <c r="DT36" s="62">
        <f ca="1">AVERAGE(OFFSET($DS$3,0,0,'Données projet'!$E$14+1,1))-AVERAGE(OFFSET($H$3,0,0,'Données projet'!$E$14+1,1))</f>
        <v>416.72317068678774</v>
      </c>
      <c r="DU36" s="62">
        <f t="shared" si="44"/>
        <v>447.32457429495537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58.567725027654646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7.5641025641025639</v>
      </c>
      <c r="EJ36" s="13">
        <f>IF('Données projet'!$A$192&gt;35,EJ35+EI36-ER35,IF(A36&lt;'Données projet'!$A$192,$EG$205^A36,IF(A36='Données projet'!$A$192,'Données projet'!$B$192,EJ35+EI36-ER35)))</f>
        <v>139.35897435897439</v>
      </c>
      <c r="EK36" s="18">
        <f>EJ36*VLOOKUP('Données projet'!$B$15,Paramètres!$A$1:$I$89,3,0)*VLOOKUP('Données projet'!$B$15,Paramètres!$A$1:$I$89,5,0)</f>
        <v>132.61400000000003</v>
      </c>
      <c r="EL36" s="14">
        <f t="shared" si="45"/>
        <v>34.599676353608892</v>
      </c>
      <c r="EM36" s="22">
        <f t="shared" si="19"/>
        <v>291.23048631586886</v>
      </c>
      <c r="EN36" s="62">
        <f t="shared" si="20"/>
        <v>542.64547808393593</v>
      </c>
      <c r="EO36" s="62">
        <f ca="1">AVERAGE(OFFSET($EN$3,0,0,'Données projet'!$E$15+1,1))-AVERAGE(OFFSET($H$3,0,0,'Données projet'!$E$15+1,1))</f>
        <v>454.78867027701426</v>
      </c>
      <c r="EP36" s="62">
        <f t="shared" si="46"/>
        <v>366.45346303927056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58.567725027654646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8.717948717948719</v>
      </c>
      <c r="FE36" s="13">
        <f>IF('Données projet'!$A$218&gt;35,FE35+FD36-FM35,IF(A36&lt;'Données projet'!$A$218,$FB$205^A36,IF(A36='Données projet'!$A$218,'Données projet'!$B$218,FE35+FD36-FM35)))</f>
        <v>171.02564102564105</v>
      </c>
      <c r="FF36" s="18">
        <f>FE36*VLOOKUP('Données projet'!$B$16,Paramètres!$A$1:$I$89,3,0)*VLOOKUP('Données projet'!$B$16,Paramètres!$A$1:$I$89,5,0)</f>
        <v>114.72400000000003</v>
      </c>
      <c r="FG36" s="14">
        <f t="shared" si="47"/>
        <v>30.441257404392591</v>
      </c>
      <c r="FH36" s="22">
        <f t="shared" si="22"/>
        <v>252.82948997931717</v>
      </c>
      <c r="FI36" s="62">
        <f t="shared" si="23"/>
        <v>504.24448174738421</v>
      </c>
      <c r="FJ36" s="62">
        <f ca="1">AVERAGE(OFFSET($FI$3,0,0,'Données projet'!$E$16+1,1))-AVERAGE(OFFSET($H$3,0,0,'Données projet'!$E$16+1,1))</f>
        <v>390.05579539539576</v>
      </c>
      <c r="FK36" s="62">
        <f t="shared" si="48"/>
        <v>323.72278615226139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projet'!$B$16,Paramètres!$A$1:$I$89,3,0)*0.475*44/12</f>
        <v>0</v>
      </c>
      <c r="FR36" s="23">
        <f>EXP(-LN(2)/25)*FR35+(1-EXP(-LN(2)/25))/(LN(2)/25)*Calculateur!FM36*Calculateur!FO36*VLOOKUP('Données projet'!$B$16,Paramètres!$A$1:$I$89,3,0)*0.475*44/12</f>
        <v>0</v>
      </c>
      <c r="FS36" s="23">
        <f>EXP(-LN(2)/2)*FS35+(1-EXP(-LN(2)/2))/(LN(2)/2)*FM36*FP36*VLOOKUP('Données projet'!$B$16,Paramètres!$A$1:$I$89,3,0)*0.475*44/12</f>
        <v>0</v>
      </c>
      <c r="FT36" s="24">
        <f t="shared" si="24"/>
        <v>0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58.567725027654646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10.8</v>
      </c>
      <c r="FZ36" s="13">
        <f>IF('Données projet'!$A$244&gt;35,FZ35+FY36-GH35,IF(A36&lt;'Données projet'!$A$244,$FW$205^A36,IF(A36='Données projet'!$A$244,'Données projet'!$B$244,FZ35+FY36-GH35)))</f>
        <v>125.4</v>
      </c>
      <c r="GA36" s="18">
        <f>FZ36*VLOOKUP('Données projet'!$B$17,Paramètres!$A$1:$I$89,3,0)*VLOOKUP('Données projet'!$B$17,Paramètres!$A$1:$I$89,5,0)</f>
        <v>121.28688000000001</v>
      </c>
      <c r="GB36" s="14">
        <f t="shared" si="49"/>
        <v>31.974956333849104</v>
      </c>
      <c r="GC36" s="22">
        <f t="shared" si="25"/>
        <v>266.93103161478717</v>
      </c>
      <c r="GD36" s="62">
        <f t="shared" si="26"/>
        <v>518.34602338285424</v>
      </c>
      <c r="GE36" s="62">
        <f ca="1">AVERAGE(OFFSET($GD$3,0,0,'Données projet'!$E$17+1,1))-AVERAGE(OFFSET($H$3,0,0,'Données projet'!$E$17+1,1))</f>
        <v>578.44111602076555</v>
      </c>
      <c r="GF36" s="62">
        <f t="shared" si="50"/>
        <v>368.08542661432784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>
        <f>EXP(-LN(2)/35)*GL35+(1-EXP(-LN(2)/35))/(LN(2)/35)*GH36*GI36*VLOOKUP('Données projet'!$B$17,Paramètres!$A$1:$I$89,3,0)*0.475*44/12</f>
        <v>0</v>
      </c>
      <c r="GM36" s="23">
        <f>EXP(-LN(2)/25)*GM35+(1-EXP(-LN(2)/25))/(LN(2)/25)*Calculateur!GH36*Calculateur!GJ36*VLOOKUP('Données projet'!$B$17,Paramètres!$A$1:$I$89,3,0)*0.475*44/12</f>
        <v>0</v>
      </c>
      <c r="GN36" s="23">
        <f>EXP(-LN(2)/2)*GN35+(1-EXP(-LN(2)/2))/(LN(2)/2)*GH36*GK36*VLOOKUP('Données projet'!$B$17,Paramètres!$A$1:$I$89,3,0)*0.475*44/12</f>
        <v>0</v>
      </c>
      <c r="GO36" s="23">
        <f t="shared" si="27"/>
        <v>0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58.567725027654646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4.0735000000000001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14.936166666666667</v>
      </c>
      <c r="H37" s="70">
        <f t="shared" si="1"/>
        <v>196.922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58.766049439686981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10.8</v>
      </c>
      <c r="N37" s="14">
        <f>IF('Données projet'!$A$36&gt;35,N36+M37-V36,IF(A37&lt;'Données projet'!$A$36,$K$205^A37,IF(A37='Données projet'!$A$36,'Données projet'!$B$36,N36+M37-V36)))</f>
        <v>136.20000000000002</v>
      </c>
      <c r="O37" s="14">
        <f>N37*VLOOKUP('Données projet'!$B$9,Paramètres!$A$1:$I$89,3,0)*VLOOKUP('Données projet'!$B$9,Paramètres!$A$1:$I$89,5,0)</f>
        <v>123.23376000000002</v>
      </c>
      <c r="P37" s="14">
        <f t="shared" si="33"/>
        <v>32.428049504876491</v>
      </c>
      <c r="Q37" s="22">
        <f t="shared" si="53"/>
        <v>271.11098488765992</v>
      </c>
      <c r="R37" s="62">
        <f t="shared" si="0"/>
        <v>523.25316616651219</v>
      </c>
      <c r="S37" s="62">
        <f ca="1">AVERAGE(OFFSET($R$3,0,0,'Données projet'!$E$9+1,1))-AVERAGE(OFFSET($H$3,0,0,'Données projet'!$E$9+1,1))</f>
        <v>546.11281471711925</v>
      </c>
      <c r="T37" s="62">
        <f t="shared" si="34"/>
        <v>348.18069831447099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58.766049439686981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12.8</v>
      </c>
      <c r="AI37" s="14">
        <f>IF('Données projet'!$A$62&gt;35,AI36+AH37-AQ36,IF(A37&lt;'Données projet'!$A$62,$AF$205^A37,IF(A37='Données projet'!$A$62,'Données projet'!$B$62,AI36+AH37-AQ36)))</f>
        <v>197.20000000000005</v>
      </c>
      <c r="AJ37" s="14">
        <f>AI37*VLOOKUP('Données projet'!$B$10,Paramètres!$A$1:$I$89,3,0)*VLOOKUP('Données projet'!$B$10,Paramètres!$A$1:$I$89,5,0)</f>
        <v>169.19760000000005</v>
      </c>
      <c r="AK37" s="14">
        <f t="shared" si="35"/>
        <v>42.910263223432885</v>
      </c>
      <c r="AL37" s="22">
        <f t="shared" si="4"/>
        <v>369.42119511414563</v>
      </c>
      <c r="AM37" s="62">
        <f t="shared" si="5"/>
        <v>621.56337639299795</v>
      </c>
      <c r="AN37" s="62">
        <f ca="1">AVERAGE(OFFSET($AM$3,0,0,'Données projet'!$E$10+1,1))-AVERAGE(OFFSET($H$3,0,0,'Données projet'!$E$10+1,1))</f>
        <v>693.87994318348024</v>
      </c>
      <c r="AO37" s="62">
        <f t="shared" si="36"/>
        <v>327.71043739333641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58.766049439686981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10.8</v>
      </c>
      <c r="BD37" s="13">
        <f>IF('Données projet'!$A$88&gt;35,BD36+BC37-BL36,IF(A37&lt;'Données projet'!$A$88,$BA$205^A37,IF(A37='Données projet'!$A$88,'Données projet'!$B$88,BD36+BC37-BL36)))</f>
        <v>136.20000000000002</v>
      </c>
      <c r="BE37" s="14">
        <f>BD37*VLOOKUP('Données projet'!$B$11,Paramètres!$A$1:$I$89,3,0)*VLOOKUP('Données projet'!$B$11,Paramètres!$A$1:$I$89,5,0)</f>
        <v>114.73488000000003</v>
      </c>
      <c r="BF37" s="14">
        <f t="shared" si="37"/>
        <v>30.443808287231871</v>
      </c>
      <c r="BG37" s="22">
        <f t="shared" si="7"/>
        <v>252.85288210026224</v>
      </c>
      <c r="BH37" s="62">
        <f t="shared" si="8"/>
        <v>504.99506337911453</v>
      </c>
      <c r="BI37" s="62">
        <f ca="1">AVERAGE(OFFSET($BH$3,0,0,'Données projet'!$E$11+1,1))-AVERAGE(OFFSET($H$3,0,0,'Données projet'!$E$11+1,1))</f>
        <v>513.7388209355762</v>
      </c>
      <c r="BJ37" s="62">
        <f t="shared" si="38"/>
        <v>328.24603121433927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58.766049439686981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15.160000000000002</v>
      </c>
      <c r="BY37" s="13">
        <f>IF('Données projet'!$A$114&gt;35,BY36+BX37-CG36,IF(A37&lt;'Données projet'!$A$114,$BV$205^A37,IF(A37='Données projet'!$A$114,'Données projet'!$B$114,BY36+BX37-CG36)))</f>
        <v>223.83999999999995</v>
      </c>
      <c r="BZ37" s="14">
        <f>BY37*VLOOKUP('Données projet'!$B$12,Paramètres!$A$1:$I$89,3,0)*VLOOKUP('Données projet'!$B$12,Paramètres!$A$1:$I$89,5,0)</f>
        <v>178.08710399999995</v>
      </c>
      <c r="CA37" s="14">
        <f t="shared" si="39"/>
        <v>44.896337777633669</v>
      </c>
      <c r="CB37" s="22">
        <f t="shared" si="10"/>
        <v>388.3628277627119</v>
      </c>
      <c r="CC37" s="62">
        <f t="shared" si="11"/>
        <v>640.50500904156411</v>
      </c>
      <c r="CD37" s="62">
        <f ca="1">AVERAGE(OFFSET($CC$3,0,0,'Données projet'!$E$12+1,1))-AVERAGE(OFFSET($H$3,0,0,'Données projet'!$E$12+1,1))</f>
        <v>447.25854887589878</v>
      </c>
      <c r="CE37" s="62">
        <f t="shared" si="40"/>
        <v>480.13390593590157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58.766049439686981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11.5</v>
      </c>
      <c r="CT37" s="13">
        <f>IF('Données projet'!$A$140&gt;35,CT36+CS37-DB36,IF(A37&lt;'Données projet'!$A$140,$CQ$205^A37,IF(A37='Données projet'!$A$140,'Données projet'!$B$140,CT36+CS37-DB36)))</f>
        <v>153.49999999999997</v>
      </c>
      <c r="CU37" s="18">
        <f>CT37*VLOOKUP('Données projet'!$B$13,Paramètres!$A$1:$I$89,3,0)*VLOOKUP('Données projet'!$B$13,Paramètres!$A$1:$I$89,5,0)</f>
        <v>119.72999999999998</v>
      </c>
      <c r="CV37" s="14">
        <f t="shared" si="41"/>
        <v>31.612017974790529</v>
      </c>
      <c r="CW37" s="22">
        <f t="shared" si="13"/>
        <v>263.58734797276014</v>
      </c>
      <c r="CX37" s="62">
        <f t="shared" si="14"/>
        <v>515.72952925161235</v>
      </c>
      <c r="CY37" s="62">
        <f ca="1">AVERAGE(OFFSET($CX$3,0,0,'Données projet'!$E$13+1,1))-AVERAGE(OFFSET($H$3,0,0,'Données projet'!$E$13+1,1))</f>
        <v>308.52515801950324</v>
      </c>
      <c r="CZ37" s="62">
        <f t="shared" si="42"/>
        <v>299.05420638408953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58.766049439686981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15.160000000000002</v>
      </c>
      <c r="DO37" s="13">
        <f>IF('Données projet'!$A$166&gt;35,DO36+DN37-DW36,IF(A37&lt;'Données projet'!$A$166,$DL$205^A37,IF(A37='Données projet'!$A$166,'Données projet'!$B$166,DO36+DN37-DW36)))</f>
        <v>223.83999999999995</v>
      </c>
      <c r="DP37" s="18">
        <f>DO37*VLOOKUP('Données projet'!$B$14,Paramètres!$A$1:$I$89,3,0)*VLOOKUP('Données projet'!$B$14,Paramètres!$A$1:$I$89,5,0)</f>
        <v>164.11948799999996</v>
      </c>
      <c r="DQ37" s="14">
        <f t="shared" si="43"/>
        <v>41.7702982696023</v>
      </c>
      <c r="DR37" s="22">
        <f t="shared" si="16"/>
        <v>358.59137775289059</v>
      </c>
      <c r="DS37" s="62">
        <f t="shared" si="17"/>
        <v>610.73355903174286</v>
      </c>
      <c r="DT37" s="62">
        <f ca="1">AVERAGE(OFFSET($DS$3,0,0,'Données projet'!$E$14+1,1))-AVERAGE(OFFSET($H$3,0,0,'Données projet'!$E$14+1,1))</f>
        <v>416.72317068678774</v>
      </c>
      <c r="DU37" s="62">
        <f t="shared" si="44"/>
        <v>447.32457429495537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58.766049439686981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7.5641025641025639</v>
      </c>
      <c r="EJ37" s="13">
        <f>IF('Données projet'!$A$192&gt;35,EJ36+EI37-ER36,IF(A37&lt;'Données projet'!$A$192,$EG$205^A37,IF(A37='Données projet'!$A$192,'Données projet'!$B$192,EJ36+EI37-ER36)))</f>
        <v>146.92307692307696</v>
      </c>
      <c r="EK37" s="18">
        <f>EJ37*VLOOKUP('Données projet'!$B$15,Paramètres!$A$1:$I$89,3,0)*VLOOKUP('Données projet'!$B$15,Paramètres!$A$1:$I$89,5,0)</f>
        <v>139.81200000000004</v>
      </c>
      <c r="EL37" s="14">
        <f t="shared" si="45"/>
        <v>36.253933967346235</v>
      </c>
      <c r="EM37" s="22">
        <f t="shared" si="19"/>
        <v>306.64816832646142</v>
      </c>
      <c r="EN37" s="62">
        <f t="shared" si="20"/>
        <v>558.79034960531362</v>
      </c>
      <c r="EO37" s="62">
        <f ca="1">AVERAGE(OFFSET($EN$3,0,0,'Données projet'!$E$15+1,1))-AVERAGE(OFFSET($H$3,0,0,'Données projet'!$E$15+1,1))</f>
        <v>454.78867027701426</v>
      </c>
      <c r="EP37" s="62">
        <f t="shared" si="46"/>
        <v>366.45346303927056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58.766049439686981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8.717948717948719</v>
      </c>
      <c r="FE37" s="13">
        <f>IF('Données projet'!$A$218&gt;35,FE36+FD37-FM36,IF(A37&lt;'Données projet'!$A$218,$FB$205^A37,IF(A37='Données projet'!$A$218,'Données projet'!$B$218,FE36+FD37-FM36)))</f>
        <v>179.74358974358978</v>
      </c>
      <c r="FF37" s="18">
        <f>FE37*VLOOKUP('Données projet'!$B$16,Paramètres!$A$1:$I$89,3,0)*VLOOKUP('Données projet'!$B$16,Paramètres!$A$1:$I$89,5,0)</f>
        <v>120.57200000000003</v>
      </c>
      <c r="FG37" s="14">
        <f t="shared" si="47"/>
        <v>31.808371955809051</v>
      </c>
      <c r="FH37" s="22">
        <f t="shared" si="22"/>
        <v>265.3958144897008</v>
      </c>
      <c r="FI37" s="62">
        <f t="shared" si="23"/>
        <v>517.53799576855306</v>
      </c>
      <c r="FJ37" s="62">
        <f ca="1">AVERAGE(OFFSET($FI$3,0,0,'Données projet'!$E$16+1,1))-AVERAGE(OFFSET($H$3,0,0,'Données projet'!$E$16+1,1))</f>
        <v>390.05579539539576</v>
      </c>
      <c r="FK37" s="62">
        <f t="shared" si="48"/>
        <v>323.72278615226139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projet'!$B$16,Paramètres!$A$1:$I$89,3,0)*0.475*44/12</f>
        <v>0</v>
      </c>
      <c r="FR37" s="23">
        <f>EXP(-LN(2)/25)*FR36+(1-EXP(-LN(2)/25))/(LN(2)/25)*Calculateur!FM37*Calculateur!FO37*VLOOKUP('Données projet'!$B$16,Paramètres!$A$1:$I$89,3,0)*0.475*44/12</f>
        <v>0</v>
      </c>
      <c r="FS37" s="23">
        <f>EXP(-LN(2)/2)*FS36+(1-EXP(-LN(2)/2))/(LN(2)/2)*FM37*FP37*VLOOKUP('Données projet'!$B$16,Paramètres!$A$1:$I$89,3,0)*0.475*44/12</f>
        <v>0</v>
      </c>
      <c r="FT37" s="24">
        <f t="shared" si="24"/>
        <v>0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58.766049439686981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10.8</v>
      </c>
      <c r="FZ37" s="13">
        <f>IF('Données projet'!$A$244&gt;35,FZ36+FY37-GH36,IF(A37&lt;'Données projet'!$A$244,$FW$205^A37,IF(A37='Données projet'!$A$244,'Données projet'!$B$244,FZ36+FY37-GH36)))</f>
        <v>136.20000000000002</v>
      </c>
      <c r="GA37" s="18">
        <f>FZ37*VLOOKUP('Données projet'!$B$17,Paramètres!$A$1:$I$89,3,0)*VLOOKUP('Données projet'!$B$17,Paramètres!$A$1:$I$89,5,0)</f>
        <v>131.73264000000003</v>
      </c>
      <c r="GB37" s="14">
        <f t="shared" si="49"/>
        <v>34.396412537492502</v>
      </c>
      <c r="GC37" s="22">
        <f t="shared" si="25"/>
        <v>289.34143316946614</v>
      </c>
      <c r="GD37" s="62">
        <f t="shared" si="26"/>
        <v>541.48361444831835</v>
      </c>
      <c r="GE37" s="62">
        <f ca="1">AVERAGE(OFFSET($GD$3,0,0,'Données projet'!$E$17+1,1))-AVERAGE(OFFSET($H$3,0,0,'Données projet'!$E$17+1,1))</f>
        <v>578.44111602076555</v>
      </c>
      <c r="GF37" s="62">
        <f t="shared" si="50"/>
        <v>368.08542661432784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>
        <f>EXP(-LN(2)/35)*GL36+(1-EXP(-LN(2)/35))/(LN(2)/35)*GH37*GI37*VLOOKUP('Données projet'!$B$17,Paramètres!$A$1:$I$89,3,0)*0.475*44/12</f>
        <v>0</v>
      </c>
      <c r="GM37" s="23">
        <f>EXP(-LN(2)/25)*GM36+(1-EXP(-LN(2)/25))/(LN(2)/25)*Calculateur!GH37*Calculateur!GJ37*VLOOKUP('Données projet'!$B$17,Paramètres!$A$1:$I$89,3,0)*0.475*44/12</f>
        <v>0</v>
      </c>
      <c r="GN37" s="23">
        <f>EXP(-LN(2)/2)*GN36+(1-EXP(-LN(2)/2))/(LN(2)/2)*GH37*GK37*VLOOKUP('Données projet'!$B$17,Paramètres!$A$1:$I$89,3,0)*0.475*44/12</f>
        <v>0</v>
      </c>
      <c r="GO37" s="23">
        <f t="shared" si="27"/>
        <v>0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58.766049439686981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4.0735000000000001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14.936166666666667</v>
      </c>
      <c r="H38" s="70">
        <f t="shared" si="1"/>
        <v>196.922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58.960933366557498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147</v>
      </c>
      <c r="L38" s="13">
        <f>VLOOKUP(A38,'Données projet'!$A$35:$I$55,9,0)</f>
        <v>10.8</v>
      </c>
      <c r="M38" s="13">
        <f t="array" ref="M38">INDEX(L:L,MIN(IF(ISNUMBER(L38:L234),ROW(L38:L234),"")))</f>
        <v>10.8</v>
      </c>
      <c r="N38" s="14">
        <f>IF('Données projet'!$A$36&gt;35,N37+M38-V37,IF(A38&lt;'Données projet'!$A$36,$K$205^A38,IF(A38='Données projet'!$A$36,'Données projet'!$B$36,N37+M38-V37)))</f>
        <v>147.00000000000003</v>
      </c>
      <c r="O38" s="14">
        <f>N38*VLOOKUP('Données projet'!$B$9,Paramètres!$A$1:$I$89,3,0)*VLOOKUP('Données projet'!$B$9,Paramètres!$A$1:$I$89,5,0)</f>
        <v>133.00560000000002</v>
      </c>
      <c r="P38" s="14">
        <f t="shared" si="33"/>
        <v>34.689938673073549</v>
      </c>
      <c r="Q38" s="22">
        <f t="shared" si="53"/>
        <v>292.06972985560316</v>
      </c>
      <c r="R38" s="62">
        <f t="shared" si="0"/>
        <v>544.92648553298068</v>
      </c>
      <c r="S38" s="62">
        <f ca="1">AVERAGE(OFFSET($R$3,0,0,'Données projet'!$E$9+1,1))-AVERAGE(OFFSET($H$3,0,0,'Données projet'!$E$9+1,1))</f>
        <v>546.11281471711925</v>
      </c>
      <c r="T38" s="62">
        <f t="shared" si="34"/>
        <v>348.18069831447099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58.960933366557498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210</v>
      </c>
      <c r="AG38" s="13">
        <f>VLOOKUP(A38,'Données projet'!$A$61:$I$81,9,0)</f>
        <v>12.8</v>
      </c>
      <c r="AH38" s="13">
        <f t="array" ref="AH38">INDEX(AG:AG,MIN(IF(ISNUMBER(AG38:AG234),ROW(AG38:AG234),"")))</f>
        <v>12.8</v>
      </c>
      <c r="AI38" s="14">
        <f>IF('Données projet'!$A$62&gt;35,AI37+AH38-AQ37,IF(A38&lt;'Données projet'!$A$62,$AF$205^A38,IF(A38='Données projet'!$A$62,'Données projet'!$B$62,AI37+AH38-AQ37)))</f>
        <v>210.00000000000006</v>
      </c>
      <c r="AJ38" s="14">
        <f>AI38*VLOOKUP('Données projet'!$B$10,Paramètres!$A$1:$I$89,3,0)*VLOOKUP('Données projet'!$B$10,Paramètres!$A$1:$I$89,5,0)</f>
        <v>180.18000000000006</v>
      </c>
      <c r="AK38" s="14">
        <f t="shared" si="35"/>
        <v>45.362230520410691</v>
      </c>
      <c r="AL38" s="22">
        <f t="shared" si="4"/>
        <v>392.81938482304872</v>
      </c>
      <c r="AM38" s="62">
        <f t="shared" si="5"/>
        <v>645.67614050042619</v>
      </c>
      <c r="AN38" s="62">
        <f ca="1">AVERAGE(OFFSET($AM$3,0,0,'Données projet'!$E$10+1,1))-AVERAGE(OFFSET($H$3,0,0,'Données projet'!$E$10+1,1))</f>
        <v>693.87994318348024</v>
      </c>
      <c r="AO38" s="62">
        <f t="shared" si="36"/>
        <v>327.71043739333641</v>
      </c>
      <c r="AP38" s="16">
        <f>IF(ISNA(VLOOKUP(A38,'Données projet'!$A$61:$I$81,3,0)),0,VLOOKUP(A38,'Données projet'!$A$61:$I$81,3,0))</f>
        <v>2</v>
      </c>
      <c r="AQ38" s="16">
        <f>IF(ISNA(VLOOKUP(A38,'Données projet'!$A$61:$I$81,4,0)),0,VLOOKUP(A38,'Données projet'!$A$61:$I$81,4,0))</f>
        <v>70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58.960933366557498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147</v>
      </c>
      <c r="BB38" s="13">
        <f>VLOOKUP(A38,'Données projet'!$A$87:$I$107,9,0)</f>
        <v>10.8</v>
      </c>
      <c r="BC38" s="13">
        <f t="array" ref="BC38">INDEX(BB:BB,MIN(IF(ISNUMBER(BB38:BB234),ROW(BB38:BB234),"")))</f>
        <v>10.8</v>
      </c>
      <c r="BD38" s="13">
        <f>IF('Données projet'!$A$88&gt;35,BD37+BC38-BL37,IF(A38&lt;'Données projet'!$A$88,$BA$205^A38,IF(A38='Données projet'!$A$88,'Données projet'!$B$88,BD37+BC38-BL37)))</f>
        <v>147.00000000000003</v>
      </c>
      <c r="BE38" s="14">
        <f>BD38*VLOOKUP('Données projet'!$B$11,Paramètres!$A$1:$I$89,3,0)*VLOOKUP('Données projet'!$B$11,Paramètres!$A$1:$I$89,5,0)</f>
        <v>123.83280000000003</v>
      </c>
      <c r="BF38" s="14">
        <f t="shared" si="37"/>
        <v>32.567294628684579</v>
      </c>
      <c r="BG38" s="22">
        <f t="shared" si="7"/>
        <v>272.39683147829231</v>
      </c>
      <c r="BH38" s="62">
        <f t="shared" si="8"/>
        <v>525.25358715566983</v>
      </c>
      <c r="BI38" s="62">
        <f ca="1">AVERAGE(OFFSET($BH$3,0,0,'Données projet'!$E$11+1,1))-AVERAGE(OFFSET($H$3,0,0,'Données projet'!$E$11+1,1))</f>
        <v>513.7388209355762</v>
      </c>
      <c r="BJ38" s="62">
        <f t="shared" si="38"/>
        <v>328.24603121433927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58.960933366557498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239</v>
      </c>
      <c r="BW38" s="13">
        <f>VLOOKUP(A38,'Données projet'!$A$113:$I$133,9,0)</f>
        <v>15.160000000000002</v>
      </c>
      <c r="BX38" s="13">
        <f t="array" ref="BX38">INDEX(BW:BW,MIN(IF(ISNUMBER(BW38:BW234),ROW(BW38:BW234),"")))</f>
        <v>15.160000000000002</v>
      </c>
      <c r="BY38" s="13">
        <f>IF('Données projet'!$A$114&gt;35,BY37+BX38-CG37,IF(A38&lt;'Données projet'!$A$114,$BV$205^A38,IF(A38='Données projet'!$A$114,'Données projet'!$B$114,BY37+BX38-CG37)))</f>
        <v>238.99999999999994</v>
      </c>
      <c r="BZ38" s="14">
        <f>BY38*VLOOKUP('Données projet'!$B$12,Paramètres!$A$1:$I$89,3,0)*VLOOKUP('Données projet'!$B$12,Paramètres!$A$1:$I$89,5,0)</f>
        <v>190.14839999999995</v>
      </c>
      <c r="CA38" s="14">
        <f t="shared" si="39"/>
        <v>47.572760493232991</v>
      </c>
      <c r="CB38" s="22">
        <f t="shared" si="10"/>
        <v>414.03102119238071</v>
      </c>
      <c r="CC38" s="62">
        <f t="shared" si="11"/>
        <v>666.88777686975823</v>
      </c>
      <c r="CD38" s="62">
        <f ca="1">AVERAGE(OFFSET($CC$3,0,0,'Données projet'!$E$12+1,1))-AVERAGE(OFFSET($H$3,0,0,'Données projet'!$E$12+1,1))</f>
        <v>447.25854887589878</v>
      </c>
      <c r="CE38" s="62">
        <f t="shared" si="40"/>
        <v>480.13390593590157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58.960933366557498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11.5</v>
      </c>
      <c r="CT38" s="13">
        <f>IF('Données projet'!$A$140&gt;35,CT37+CS38-DB37,IF(A38&lt;'Données projet'!$A$140,$CQ$205^A38,IF(A38='Données projet'!$A$140,'Données projet'!$B$140,CT37+CS38-DB37)))</f>
        <v>164.99999999999997</v>
      </c>
      <c r="CU38" s="18">
        <f>CT38*VLOOKUP('Données projet'!$B$13,Paramètres!$A$1:$I$89,3,0)*VLOOKUP('Données projet'!$B$13,Paramètres!$A$1:$I$89,5,0)</f>
        <v>128.69999999999999</v>
      </c>
      <c r="CV38" s="14">
        <f t="shared" si="41"/>
        <v>33.695792019186115</v>
      </c>
      <c r="CW38" s="22">
        <f t="shared" si="13"/>
        <v>282.83933776674911</v>
      </c>
      <c r="CX38" s="62">
        <f t="shared" si="14"/>
        <v>535.69609344412663</v>
      </c>
      <c r="CY38" s="62">
        <f ca="1">AVERAGE(OFFSET($CX$3,0,0,'Données projet'!$E$13+1,1))-AVERAGE(OFFSET($H$3,0,0,'Données projet'!$E$13+1,1))</f>
        <v>308.52515801950324</v>
      </c>
      <c r="CZ38" s="62">
        <f t="shared" si="42"/>
        <v>299.05420638408953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58.960933366557498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239</v>
      </c>
      <c r="DM38" s="13">
        <f>VLOOKUP(A38,'Données projet'!$A$165:$I$185,9,0)</f>
        <v>15.160000000000002</v>
      </c>
      <c r="DN38" s="13">
        <f t="array" ref="DN38">INDEX(DM:DM,MIN(IF(ISNUMBER(DM38:DM234),ROW(DM38:DM234),"")))</f>
        <v>15.160000000000002</v>
      </c>
      <c r="DO38" s="13">
        <f>IF('Données projet'!$A$166&gt;35,DO37+DN38-DW37,IF(A38&lt;'Données projet'!$A$166,$DL$205^A38,IF(A38='Données projet'!$A$166,'Données projet'!$B$166,DO37+DN38-DW37)))</f>
        <v>238.99999999999994</v>
      </c>
      <c r="DP38" s="18">
        <f>DO38*VLOOKUP('Données projet'!$B$14,Paramètres!$A$1:$I$89,3,0)*VLOOKUP('Données projet'!$B$14,Paramètres!$A$1:$I$89,5,0)</f>
        <v>175.23479999999995</v>
      </c>
      <c r="DQ38" s="14">
        <f t="shared" si="43"/>
        <v>44.260367185241478</v>
      </c>
      <c r="DR38" s="22">
        <f t="shared" si="16"/>
        <v>382.28741618096211</v>
      </c>
      <c r="DS38" s="62">
        <f t="shared" si="17"/>
        <v>635.14417185833963</v>
      </c>
      <c r="DT38" s="62">
        <f ca="1">AVERAGE(OFFSET($DS$3,0,0,'Données projet'!$E$14+1,1))-AVERAGE(OFFSET($H$3,0,0,'Données projet'!$E$14+1,1))</f>
        <v>416.72317068678774</v>
      </c>
      <c r="DU38" s="62">
        <f t="shared" si="44"/>
        <v>447.32457429495537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58.960933366557498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154.48717948717947</v>
      </c>
      <c r="EH38" s="13">
        <f>VLOOKUP(A38,'Données projet'!$A$191:$I$211,9,0)</f>
        <v>7.5641025641025639</v>
      </c>
      <c r="EI38" s="13">
        <f t="array" ref="EI38">INDEX(EH:EH,MIN(IF(ISNUMBER(EH38:EH234),ROW(EH38:EH234),"")))</f>
        <v>7.5641025641025639</v>
      </c>
      <c r="EJ38" s="13">
        <f>IF('Données projet'!$A$192&gt;35,EJ37+EI38-ER37,IF(A38&lt;'Données projet'!$A$192,$EG$205^A38,IF(A38='Données projet'!$A$192,'Données projet'!$B$192,EJ37+EI38-ER37)))</f>
        <v>154.48717948717953</v>
      </c>
      <c r="EK38" s="18">
        <f>EJ38*VLOOKUP('Données projet'!$B$15,Paramètres!$A$1:$I$89,3,0)*VLOOKUP('Données projet'!$B$15,Paramètres!$A$1:$I$89,5,0)</f>
        <v>147.01000000000005</v>
      </c>
      <c r="EL38" s="14">
        <f t="shared" si="45"/>
        <v>37.898303193905868</v>
      </c>
      <c r="EM38" s="22">
        <f t="shared" si="19"/>
        <v>322.04862806271944</v>
      </c>
      <c r="EN38" s="62">
        <f t="shared" si="20"/>
        <v>574.90538374009691</v>
      </c>
      <c r="EO38" s="62">
        <f ca="1">AVERAGE(OFFSET($EN$3,0,0,'Données projet'!$E$15+1,1))-AVERAGE(OFFSET($H$3,0,0,'Données projet'!$E$15+1,1))</f>
        <v>454.78867027701426</v>
      </c>
      <c r="EP38" s="62">
        <f t="shared" si="46"/>
        <v>366.45346303927056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58.960933366557498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>
        <f>VLOOKUP(A38,'Données projet'!$A$217:$I$237,2,0)</f>
        <v>188.46153846153845</v>
      </c>
      <c r="FC38" s="13">
        <f>VLOOKUP(A38,'Données projet'!$A$217:$I$237,9,0)</f>
        <v>8.717948717948719</v>
      </c>
      <c r="FD38" s="13">
        <f t="array" ref="FD38">INDEX(FC:FC,MIN(IF(ISNUMBER(FC38:FC234),ROW(FC38:FC234),"")))</f>
        <v>8.717948717948719</v>
      </c>
      <c r="FE38" s="13">
        <f>IF('Données projet'!$A$218&gt;35,FE37+FD38-FM37,IF(A38&lt;'Données projet'!$A$218,$FB$205^A38,IF(A38='Données projet'!$A$218,'Données projet'!$B$218,FE37+FD38-FM37)))</f>
        <v>188.46153846153851</v>
      </c>
      <c r="FF38" s="18">
        <f>FE38*VLOOKUP('Données projet'!$B$16,Paramètres!$A$1:$I$89,3,0)*VLOOKUP('Données projet'!$B$16,Paramètres!$A$1:$I$89,5,0)</f>
        <v>126.42000000000004</v>
      </c>
      <c r="FG38" s="14">
        <f t="shared" si="47"/>
        <v>33.167786817172477</v>
      </c>
      <c r="FH38" s="22">
        <f t="shared" si="22"/>
        <v>277.94872870657542</v>
      </c>
      <c r="FI38" s="62">
        <f t="shared" si="23"/>
        <v>530.80548438395294</v>
      </c>
      <c r="FJ38" s="62">
        <f ca="1">AVERAGE(OFFSET($FI$3,0,0,'Données projet'!$E$16+1,1))-AVERAGE(OFFSET($H$3,0,0,'Données projet'!$E$16+1,1))</f>
        <v>390.05579539539576</v>
      </c>
      <c r="FK38" s="62">
        <f t="shared" si="48"/>
        <v>323.72278615226139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projet'!$B$16,Paramètres!$A$1:$I$89,3,0)*0.475*44/12</f>
        <v>0</v>
      </c>
      <c r="FR38" s="23">
        <f>EXP(-LN(2)/25)*FR37+(1-EXP(-LN(2)/25))/(LN(2)/25)*Calculateur!FM38*Calculateur!FO38*VLOOKUP('Données projet'!$B$16,Paramètres!$A$1:$I$89,3,0)*0.475*44/12</f>
        <v>0</v>
      </c>
      <c r="FS38" s="23">
        <f>EXP(-LN(2)/2)*FS37+(1-EXP(-LN(2)/2))/(LN(2)/2)*FM38*FP38*VLOOKUP('Données projet'!$B$16,Paramètres!$A$1:$I$89,3,0)*0.475*44/12</f>
        <v>0</v>
      </c>
      <c r="FT38" s="24">
        <f t="shared" si="24"/>
        <v>0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58.960933366557498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>
        <f>VLOOKUP(A38,'Données projet'!$A$243:$I$263,2,0)</f>
        <v>147</v>
      </c>
      <c r="FX38" s="13">
        <f>VLOOKUP(A38,'Données projet'!$A$243:$I$263,9,0)</f>
        <v>10.8</v>
      </c>
      <c r="FY38" s="13">
        <f t="array" ref="FY38">INDEX(FX:FX,MIN(IF(ISNUMBER(FX38:FX234),ROW(FX38:FX234),"")))</f>
        <v>10.8</v>
      </c>
      <c r="FZ38" s="13">
        <f>IF('Données projet'!$A$244&gt;35,FZ37+FY38-GH37,IF(A38&lt;'Données projet'!$A$244,$FW$205^A38,IF(A38='Données projet'!$A$244,'Données projet'!$B$244,FZ37+FY38-GH37)))</f>
        <v>147.00000000000003</v>
      </c>
      <c r="GA38" s="18">
        <f>FZ38*VLOOKUP('Données projet'!$B$17,Paramètres!$A$1:$I$89,3,0)*VLOOKUP('Données projet'!$B$17,Paramètres!$A$1:$I$89,5,0)</f>
        <v>142.17840000000004</v>
      </c>
      <c r="GB38" s="14">
        <f t="shared" si="49"/>
        <v>36.795597013009356</v>
      </c>
      <c r="GC38" s="22">
        <f t="shared" si="25"/>
        <v>311.71304479765803</v>
      </c>
      <c r="GD38" s="62">
        <f t="shared" si="26"/>
        <v>564.56980047503555</v>
      </c>
      <c r="GE38" s="62">
        <f ca="1">AVERAGE(OFFSET($GD$3,0,0,'Données projet'!$E$17+1,1))-AVERAGE(OFFSET($H$3,0,0,'Données projet'!$E$17+1,1))</f>
        <v>578.44111602076555</v>
      </c>
      <c r="GF38" s="62">
        <f t="shared" si="50"/>
        <v>368.08542661432784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>
        <f>EXP(-LN(2)/35)*GL37+(1-EXP(-LN(2)/35))/(LN(2)/35)*GH38*GI38*VLOOKUP('Données projet'!$B$17,Paramètres!$A$1:$I$89,3,0)*0.475*44/12</f>
        <v>0</v>
      </c>
      <c r="GM38" s="23">
        <f>EXP(-LN(2)/25)*GM37+(1-EXP(-LN(2)/25))/(LN(2)/25)*Calculateur!GH38*Calculateur!GJ38*VLOOKUP('Données projet'!$B$17,Paramètres!$A$1:$I$89,3,0)*0.475*44/12</f>
        <v>0</v>
      </c>
      <c r="GN38" s="23">
        <f>EXP(-LN(2)/2)*GN37+(1-EXP(-LN(2)/2))/(LN(2)/2)*GH38*GK38*VLOOKUP('Données projet'!$B$17,Paramètres!$A$1:$I$89,3,0)*0.475*44/12</f>
        <v>0</v>
      </c>
      <c r="GO38" s="23">
        <f t="shared" si="27"/>
        <v>0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58.960933366557498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4.0735000000000001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14.936166666666667</v>
      </c>
      <c r="H39" s="70">
        <f t="shared" si="1"/>
        <v>196.922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59.152436492992024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11.2</v>
      </c>
      <c r="N39" s="14">
        <f>IF('Données projet'!$A$36&gt;35,N38+M39-V38,IF(A39&lt;'Données projet'!$A$36,$K$205^A39,IF(A39='Données projet'!$A$36,'Données projet'!$B$36,N38+M39-V38)))</f>
        <v>158.20000000000002</v>
      </c>
      <c r="O39" s="14">
        <f>N39*VLOOKUP('Données projet'!$B$9,Paramètres!$A$1:$I$89,3,0)*VLOOKUP('Données projet'!$B$9,Paramètres!$A$1:$I$89,5,0)</f>
        <v>143.13936000000001</v>
      </c>
      <c r="P39" s="14">
        <f t="shared" si="33"/>
        <v>37.015257937854066</v>
      </c>
      <c r="Q39" s="22">
        <f t="shared" si="53"/>
        <v>313.76929290842918</v>
      </c>
      <c r="R39" s="62">
        <f t="shared" si="0"/>
        <v>567.32822671606664</v>
      </c>
      <c r="S39" s="62">
        <f ca="1">AVERAGE(OFFSET($R$3,0,0,'Données projet'!$E$9+1,1))-AVERAGE(OFFSET($H$3,0,0,'Données projet'!$E$9+1,1))</f>
        <v>546.11281471711925</v>
      </c>
      <c r="T39" s="62">
        <f t="shared" si="34"/>
        <v>348.18069831447099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59.152436492992024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13.4</v>
      </c>
      <c r="AI39" s="14">
        <f>IF('Données projet'!$A$62&gt;35,AI38+AH39-AQ38,IF(A39&lt;'Données projet'!$A$62,$AF$205^A39,IF(A39='Données projet'!$A$62,'Données projet'!$B$62,AI38+AH39-AQ38)))</f>
        <v>153.40000000000006</v>
      </c>
      <c r="AJ39" s="14">
        <f>AI39*VLOOKUP('Données projet'!$B$10,Paramètres!$A$1:$I$89,3,0)*VLOOKUP('Données projet'!$B$10,Paramètres!$A$1:$I$89,5,0)</f>
        <v>131.61720000000008</v>
      </c>
      <c r="AK39" s="14">
        <f t="shared" si="35"/>
        <v>34.369777461794328</v>
      </c>
      <c r="AL39" s="22">
        <f t="shared" si="4"/>
        <v>289.09398574595861</v>
      </c>
      <c r="AM39" s="62">
        <f t="shared" si="5"/>
        <v>542.65291955359601</v>
      </c>
      <c r="AN39" s="62">
        <f ca="1">AVERAGE(OFFSET($AM$3,0,0,'Données projet'!$E$10+1,1))-AVERAGE(OFFSET($H$3,0,0,'Données projet'!$E$10+1,1))</f>
        <v>693.87994318348024</v>
      </c>
      <c r="AO39" s="62">
        <f t="shared" si="36"/>
        <v>327.71043739333641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59.152436492992024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11.2</v>
      </c>
      <c r="BD39" s="13">
        <f>IF('Données projet'!$A$88&gt;35,BD38+BC39-BL38,IF(A39&lt;'Données projet'!$A$88,$BA$205^A39,IF(A39='Données projet'!$A$88,'Données projet'!$B$88,BD38+BC39-BL38)))</f>
        <v>158.20000000000002</v>
      </c>
      <c r="BE39" s="14">
        <f>BD39*VLOOKUP('Données projet'!$B$11,Paramètres!$A$1:$I$89,3,0)*VLOOKUP('Données projet'!$B$11,Paramètres!$A$1:$I$89,5,0)</f>
        <v>133.26768000000001</v>
      </c>
      <c r="BF39" s="14">
        <f t="shared" si="37"/>
        <v>34.750329840004937</v>
      </c>
      <c r="BG39" s="22">
        <f t="shared" si="7"/>
        <v>292.63136713800856</v>
      </c>
      <c r="BH39" s="62">
        <f t="shared" si="8"/>
        <v>546.19030094564596</v>
      </c>
      <c r="BI39" s="62">
        <f ca="1">AVERAGE(OFFSET($BH$3,0,0,'Données projet'!$E$11+1,1))-AVERAGE(OFFSET($H$3,0,0,'Données projet'!$E$11+1,1))</f>
        <v>513.7388209355762</v>
      </c>
      <c r="BJ39" s="62">
        <f t="shared" si="38"/>
        <v>328.24603121433927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59.152436492992024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13.280000000000006</v>
      </c>
      <c r="BY39" s="13">
        <f>IF('Données projet'!$A$114&gt;35,BY38+BX39-CG38,IF(A39&lt;'Données projet'!$A$114,$BV$205^A39,IF(A39='Données projet'!$A$114,'Données projet'!$B$114,BY38+BX39-CG38)))</f>
        <v>252.27999999999994</v>
      </c>
      <c r="BZ39" s="14">
        <f>BY39*VLOOKUP('Données projet'!$B$12,Paramètres!$A$1:$I$89,3,0)*VLOOKUP('Données projet'!$B$12,Paramètres!$A$1:$I$89,5,0)</f>
        <v>200.71396799999997</v>
      </c>
      <c r="CA39" s="14">
        <f t="shared" si="39"/>
        <v>49.901043725290201</v>
      </c>
      <c r="CB39" s="22">
        <f t="shared" si="10"/>
        <v>436.48781208821373</v>
      </c>
      <c r="CC39" s="62">
        <f t="shared" si="11"/>
        <v>690.04674589585113</v>
      </c>
      <c r="CD39" s="62">
        <f ca="1">AVERAGE(OFFSET($CC$3,0,0,'Données projet'!$E$12+1,1))-AVERAGE(OFFSET($H$3,0,0,'Données projet'!$E$12+1,1))</f>
        <v>447.25854887589878</v>
      </c>
      <c r="CE39" s="62">
        <f t="shared" si="40"/>
        <v>480.13390593590157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59.152436492992024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11.5</v>
      </c>
      <c r="CT39" s="13">
        <f>IF('Données projet'!$A$140&gt;35,CT38+CS39-DB38,IF(A39&lt;'Données projet'!$A$140,$CQ$205^A39,IF(A39='Données projet'!$A$140,'Données projet'!$B$140,CT38+CS39-DB38)))</f>
        <v>176.49999999999997</v>
      </c>
      <c r="CU39" s="18">
        <f>CT39*VLOOKUP('Données projet'!$B$13,Paramètres!$A$1:$I$89,3,0)*VLOOKUP('Données projet'!$B$13,Paramètres!$A$1:$I$89,5,0)</f>
        <v>137.66999999999999</v>
      </c>
      <c r="CV39" s="14">
        <f t="shared" si="41"/>
        <v>35.762714965854656</v>
      </c>
      <c r="CW39" s="22">
        <f t="shared" si="13"/>
        <v>302.06197856553018</v>
      </c>
      <c r="CX39" s="62">
        <f t="shared" si="14"/>
        <v>555.62091237316758</v>
      </c>
      <c r="CY39" s="62">
        <f ca="1">AVERAGE(OFFSET($CX$3,0,0,'Données projet'!$E$13+1,1))-AVERAGE(OFFSET($H$3,0,0,'Données projet'!$E$13+1,1))</f>
        <v>308.52515801950324</v>
      </c>
      <c r="CZ39" s="62">
        <f t="shared" si="42"/>
        <v>299.05420638408953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59.152436492992024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13.280000000000006</v>
      </c>
      <c r="DO39" s="13">
        <f>IF('Données projet'!$A$166&gt;35,DO38+DN39-DW38,IF(A39&lt;'Données projet'!$A$166,$DL$205^A39,IF(A39='Données projet'!$A$166,'Données projet'!$B$166,DO38+DN39-DW38)))</f>
        <v>252.27999999999994</v>
      </c>
      <c r="DP39" s="18">
        <f>DO39*VLOOKUP('Données projet'!$B$14,Paramètres!$A$1:$I$89,3,0)*VLOOKUP('Données projet'!$B$14,Paramètres!$A$1:$I$89,5,0)</f>
        <v>184.97169599999995</v>
      </c>
      <c r="DQ39" s="14">
        <f t="shared" si="43"/>
        <v>46.426536852371711</v>
      </c>
      <c r="DR39" s="22">
        <f t="shared" si="16"/>
        <v>403.01858888454734</v>
      </c>
      <c r="DS39" s="62">
        <f t="shared" si="17"/>
        <v>656.57752269218474</v>
      </c>
      <c r="DT39" s="62">
        <f ca="1">AVERAGE(OFFSET($DS$3,0,0,'Données projet'!$E$14+1,1))-AVERAGE(OFFSET($H$3,0,0,'Données projet'!$E$14+1,1))</f>
        <v>416.72317068678774</v>
      </c>
      <c r="DU39" s="62">
        <f t="shared" si="44"/>
        <v>447.32457429495537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59.152436492992024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7.1794871794871824</v>
      </c>
      <c r="EJ39" s="13">
        <f>IF('Données projet'!$A$192&gt;35,EJ38+EI39-ER38,IF(A39&lt;'Données projet'!$A$192,$EG$205^A39,IF(A39='Données projet'!$A$192,'Données projet'!$B$192,EJ38+EI39-ER38)))</f>
        <v>161.66666666666671</v>
      </c>
      <c r="EK39" s="18">
        <f>EJ39*VLOOKUP('Données projet'!$B$15,Paramètres!$A$1:$I$89,3,0)*VLOOKUP('Données projet'!$B$15,Paramètres!$A$1:$I$89,5,0)</f>
        <v>153.84200000000004</v>
      </c>
      <c r="EL39" s="14">
        <f t="shared" si="45"/>
        <v>39.450404608549789</v>
      </c>
      <c r="EM39" s="22">
        <f t="shared" si="19"/>
        <v>336.65093802655764</v>
      </c>
      <c r="EN39" s="62">
        <f t="shared" si="20"/>
        <v>590.20987183419504</v>
      </c>
      <c r="EO39" s="62">
        <f ca="1">AVERAGE(OFFSET($EN$3,0,0,'Données projet'!$E$15+1,1))-AVERAGE(OFFSET($H$3,0,0,'Données projet'!$E$15+1,1))</f>
        <v>454.78867027701426</v>
      </c>
      <c r="EP39" s="62">
        <f t="shared" si="46"/>
        <v>366.45346303927056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59.152436492992024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7.9487179487179507</v>
      </c>
      <c r="FE39" s="13">
        <f>IF('Données projet'!$A$218&gt;35,FE38+FD39-FM38,IF(A39&lt;'Données projet'!$A$218,$FB$205^A39,IF(A39='Données projet'!$A$218,'Données projet'!$B$218,FE38+FD39-FM38)))</f>
        <v>196.41025641025647</v>
      </c>
      <c r="FF39" s="18">
        <f>FE39*VLOOKUP('Données projet'!$B$16,Paramètres!$A$1:$I$89,3,0)*VLOOKUP('Données projet'!$B$16,Paramètres!$A$1:$I$89,5,0)</f>
        <v>131.75200000000004</v>
      </c>
      <c r="FG39" s="14">
        <f t="shared" si="47"/>
        <v>34.400879137880764</v>
      </c>
      <c r="FH39" s="22">
        <f t="shared" si="22"/>
        <v>289.38293116514234</v>
      </c>
      <c r="FI39" s="62">
        <f t="shared" si="23"/>
        <v>542.94186497277974</v>
      </c>
      <c r="FJ39" s="62">
        <f ca="1">AVERAGE(OFFSET($FI$3,0,0,'Données projet'!$E$16+1,1))-AVERAGE(OFFSET($H$3,0,0,'Données projet'!$E$16+1,1))</f>
        <v>390.05579539539576</v>
      </c>
      <c r="FK39" s="62">
        <f t="shared" si="48"/>
        <v>323.72278615226139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projet'!$B$16,Paramètres!$A$1:$I$89,3,0)*0.475*44/12</f>
        <v>0</v>
      </c>
      <c r="FR39" s="23">
        <f>EXP(-LN(2)/25)*FR38+(1-EXP(-LN(2)/25))/(LN(2)/25)*Calculateur!FM39*Calculateur!FO39*VLOOKUP('Données projet'!$B$16,Paramètres!$A$1:$I$89,3,0)*0.475*44/12</f>
        <v>0</v>
      </c>
      <c r="FS39" s="23">
        <f>EXP(-LN(2)/2)*FS38+(1-EXP(-LN(2)/2))/(LN(2)/2)*FM39*FP39*VLOOKUP('Données projet'!$B$16,Paramètres!$A$1:$I$89,3,0)*0.475*44/12</f>
        <v>0</v>
      </c>
      <c r="FT39" s="24">
        <f t="shared" si="24"/>
        <v>0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59.152436492992024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11.2</v>
      </c>
      <c r="FZ39" s="13">
        <f>IF('Données projet'!$A$244&gt;35,FZ38+FY39-GH38,IF(A39&lt;'Données projet'!$A$244,$FW$205^A39,IF(A39='Données projet'!$A$244,'Données projet'!$B$244,FZ38+FY39-GH38)))</f>
        <v>158.20000000000002</v>
      </c>
      <c r="GA39" s="18">
        <f>FZ39*VLOOKUP('Données projet'!$B$17,Paramètres!$A$1:$I$89,3,0)*VLOOKUP('Données projet'!$B$17,Paramètres!$A$1:$I$89,5,0)</f>
        <v>153.01104000000001</v>
      </c>
      <c r="GB39" s="14">
        <f t="shared" si="49"/>
        <v>39.262061753688307</v>
      </c>
      <c r="GC39" s="22">
        <f t="shared" si="25"/>
        <v>334.8756522210071</v>
      </c>
      <c r="GD39" s="62">
        <f t="shared" si="26"/>
        <v>588.4345860286445</v>
      </c>
      <c r="GE39" s="62">
        <f ca="1">AVERAGE(OFFSET($GD$3,0,0,'Données projet'!$E$17+1,1))-AVERAGE(OFFSET($H$3,0,0,'Données projet'!$E$17+1,1))</f>
        <v>578.44111602076555</v>
      </c>
      <c r="GF39" s="62">
        <f t="shared" si="50"/>
        <v>368.08542661432784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>
        <f>EXP(-LN(2)/35)*GL38+(1-EXP(-LN(2)/35))/(LN(2)/35)*GH39*GI39*VLOOKUP('Données projet'!$B$17,Paramètres!$A$1:$I$89,3,0)*0.475*44/12</f>
        <v>0</v>
      </c>
      <c r="GM39" s="23">
        <f>EXP(-LN(2)/25)*GM38+(1-EXP(-LN(2)/25))/(LN(2)/25)*Calculateur!GH39*Calculateur!GJ39*VLOOKUP('Données projet'!$B$17,Paramètres!$A$1:$I$89,3,0)*0.475*44/12</f>
        <v>0</v>
      </c>
      <c r="GN39" s="23">
        <f>EXP(-LN(2)/2)*GN38+(1-EXP(-LN(2)/2))/(LN(2)/2)*GH39*GK39*VLOOKUP('Données projet'!$B$17,Paramètres!$A$1:$I$89,3,0)*0.475*44/12</f>
        <v>0</v>
      </c>
      <c r="GO39" s="23">
        <f t="shared" si="27"/>
        <v>0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59.152436492992024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4.0735000000000001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14.936166666666667</v>
      </c>
      <c r="H40" s="70">
        <f t="shared" si="1"/>
        <v>196.922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59.340617468319749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11.2</v>
      </c>
      <c r="N40" s="14">
        <f>IF('Données projet'!$A$36&gt;35,N39+M40-V39,IF(A40&lt;'Données projet'!$A$36,$K$205^A40,IF(A40='Données projet'!$A$36,'Données projet'!$B$36,N39+M40-V39)))</f>
        <v>169.4</v>
      </c>
      <c r="O40" s="14">
        <f>N40*VLOOKUP('Données projet'!$B$9,Paramètres!$A$1:$I$89,3,0)*VLOOKUP('Données projet'!$B$9,Paramètres!$A$1:$I$89,5,0)</f>
        <v>153.27312000000001</v>
      </c>
      <c r="P40" s="14">
        <f t="shared" si="33"/>
        <v>39.321476829336504</v>
      </c>
      <c r="Q40" s="22">
        <f t="shared" si="53"/>
        <v>335.43558947776108</v>
      </c>
      <c r="R40" s="62">
        <f t="shared" si="0"/>
        <v>589.6845201949335</v>
      </c>
      <c r="S40" s="62">
        <f ca="1">AVERAGE(OFFSET($R$3,0,0,'Données projet'!$E$9+1,1))-AVERAGE(OFFSET($H$3,0,0,'Données projet'!$E$9+1,1))</f>
        <v>546.11281471711925</v>
      </c>
      <c r="T40" s="62">
        <f t="shared" si="34"/>
        <v>348.18069831447099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59.340617468319749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13.4</v>
      </c>
      <c r="AI40" s="14">
        <f>IF('Données projet'!$A$62&gt;35,AI39+AH40-AQ39,IF(A40&lt;'Données projet'!$A$62,$AF$205^A40,IF(A40='Données projet'!$A$62,'Données projet'!$B$62,AI39+AH40-AQ39)))</f>
        <v>166.80000000000007</v>
      </c>
      <c r="AJ40" s="14">
        <f>AI40*VLOOKUP('Données projet'!$B$10,Paramètres!$A$1:$I$89,3,0)*VLOOKUP('Données projet'!$B$10,Paramètres!$A$1:$I$89,5,0)</f>
        <v>143.11440000000007</v>
      </c>
      <c r="AK40" s="14">
        <f t="shared" si="35"/>
        <v>37.009554635379814</v>
      </c>
      <c r="AL40" s="22">
        <f t="shared" si="4"/>
        <v>313.71588765662</v>
      </c>
      <c r="AM40" s="62">
        <f t="shared" si="5"/>
        <v>567.96481837379235</v>
      </c>
      <c r="AN40" s="62">
        <f ca="1">AVERAGE(OFFSET($AM$3,0,0,'Données projet'!$E$10+1,1))-AVERAGE(OFFSET($H$3,0,0,'Données projet'!$E$10+1,1))</f>
        <v>693.87994318348024</v>
      </c>
      <c r="AO40" s="62">
        <f t="shared" si="36"/>
        <v>327.71043739333641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59.340617468319749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11.2</v>
      </c>
      <c r="BD40" s="13">
        <f>IF('Données projet'!$A$88&gt;35,BD39+BC40-BL39,IF(A40&lt;'Données projet'!$A$88,$BA$205^A40,IF(A40='Données projet'!$A$88,'Données projet'!$B$88,BD39+BC40-BL39)))</f>
        <v>169.4</v>
      </c>
      <c r="BE40" s="14">
        <f>BD40*VLOOKUP('Données projet'!$B$11,Paramètres!$A$1:$I$89,3,0)*VLOOKUP('Données projet'!$B$11,Paramètres!$A$1:$I$89,5,0)</f>
        <v>142.70256000000003</v>
      </c>
      <c r="BF40" s="14">
        <f t="shared" si="37"/>
        <v>36.91543341153259</v>
      </c>
      <c r="BG40" s="22">
        <f t="shared" si="7"/>
        <v>312.83467185841931</v>
      </c>
      <c r="BH40" s="62">
        <f t="shared" si="8"/>
        <v>567.08360257559173</v>
      </c>
      <c r="BI40" s="62">
        <f ca="1">AVERAGE(OFFSET($BH$3,0,0,'Données projet'!$E$11+1,1))-AVERAGE(OFFSET($H$3,0,0,'Données projet'!$E$11+1,1))</f>
        <v>513.7388209355762</v>
      </c>
      <c r="BJ40" s="62">
        <f t="shared" si="38"/>
        <v>328.24603121433927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59.340617468319749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13.280000000000006</v>
      </c>
      <c r="BY40" s="13">
        <f>IF('Données projet'!$A$114&gt;35,BY39+BX40-CG39,IF(A40&lt;'Données projet'!$A$114,$BV$205^A40,IF(A40='Données projet'!$A$114,'Données projet'!$B$114,BY39+BX40-CG39)))</f>
        <v>265.55999999999995</v>
      </c>
      <c r="BZ40" s="14">
        <f>BY40*VLOOKUP('Données projet'!$B$12,Paramètres!$A$1:$I$89,3,0)*VLOOKUP('Données projet'!$B$12,Paramètres!$A$1:$I$89,5,0)</f>
        <v>211.27953599999995</v>
      </c>
      <c r="CA40" s="14">
        <f t="shared" si="39"/>
        <v>52.215097577078403</v>
      </c>
      <c r="CB40" s="22">
        <f t="shared" si="10"/>
        <v>458.91982014674477</v>
      </c>
      <c r="CC40" s="62">
        <f t="shared" si="11"/>
        <v>713.16875086391713</v>
      </c>
      <c r="CD40" s="62">
        <f ca="1">AVERAGE(OFFSET($CC$3,0,0,'Données projet'!$E$12+1,1))-AVERAGE(OFFSET($H$3,0,0,'Données projet'!$E$12+1,1))</f>
        <v>447.25854887589878</v>
      </c>
      <c r="CE40" s="62">
        <f t="shared" si="40"/>
        <v>480.13390593590157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59.340617468319749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>
        <f>VLOOKUP(A40,'Données projet'!$A$139:$I$159,2,0)</f>
        <v>188</v>
      </c>
      <c r="CR40" s="13">
        <f>VLOOKUP(A40,'Données projet'!$A$139:$I$159,9,0)</f>
        <v>11.5</v>
      </c>
      <c r="CS40" s="13">
        <f t="array" ref="CS40">INDEX(CR:CR,MIN(IF(ISNUMBER(CR40:CR236),ROW(CR40:CR236),"")))</f>
        <v>11.5</v>
      </c>
      <c r="CT40" s="13">
        <f>IF('Données projet'!$A$140&gt;35,CT39+CS40-DB39,IF(A40&lt;'Données projet'!$A$140,$CQ$205^A40,IF(A40='Données projet'!$A$140,'Données projet'!$B$140,CT39+CS40-DB39)))</f>
        <v>187.99999999999997</v>
      </c>
      <c r="CU40" s="18">
        <f>CT40*VLOOKUP('Données projet'!$B$13,Paramètres!$A$1:$I$89,3,0)*VLOOKUP('Données projet'!$B$13,Paramètres!$A$1:$I$89,5,0)</f>
        <v>146.63999999999999</v>
      </c>
      <c r="CV40" s="14">
        <f t="shared" si="41"/>
        <v>37.814009712703026</v>
      </c>
      <c r="CW40" s="22">
        <f t="shared" si="13"/>
        <v>321.25740024962437</v>
      </c>
      <c r="CX40" s="62">
        <f t="shared" si="14"/>
        <v>575.50633096679678</v>
      </c>
      <c r="CY40" s="62">
        <f ca="1">AVERAGE(OFFSET($CX$3,0,0,'Données projet'!$E$13+1,1))-AVERAGE(OFFSET($H$3,0,0,'Données projet'!$E$13+1,1))</f>
        <v>308.52515801950324</v>
      </c>
      <c r="CZ40" s="62">
        <f t="shared" si="42"/>
        <v>299.05420638408953</v>
      </c>
      <c r="DA40" s="16">
        <f>IF(ISNA(VLOOKUP(A40,'Données projet'!$A$139:$I$159,3,0)),0,VLOOKUP(A40,'Données projet'!$A$139:$I$159,3,0))</f>
        <v>4</v>
      </c>
      <c r="DB40" s="16">
        <f>IF(ISNA(VLOOKUP(A40,'Données projet'!$A$139:$I$159,4,0)),0,VLOOKUP(A40,'Données projet'!$A$139:$I$159,4,0))</f>
        <v>36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59.340617468319749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13.280000000000006</v>
      </c>
      <c r="DO40" s="13">
        <f>IF('Données projet'!$A$166&gt;35,DO39+DN40-DW39,IF(A40&lt;'Données projet'!$A$166,$DL$205^A40,IF(A40='Données projet'!$A$166,'Données projet'!$B$166,DO39+DN40-DW39)))</f>
        <v>265.55999999999995</v>
      </c>
      <c r="DP40" s="18">
        <f>DO40*VLOOKUP('Données projet'!$B$14,Paramètres!$A$1:$I$89,3,0)*VLOOKUP('Données projet'!$B$14,Paramètres!$A$1:$I$89,5,0)</f>
        <v>194.70859199999995</v>
      </c>
      <c r="DQ40" s="14">
        <f t="shared" si="43"/>
        <v>48.579467901667009</v>
      </c>
      <c r="DR40" s="22">
        <f t="shared" si="16"/>
        <v>423.72670432873662</v>
      </c>
      <c r="DS40" s="62">
        <f t="shared" si="17"/>
        <v>677.97563504590903</v>
      </c>
      <c r="DT40" s="62">
        <f ca="1">AVERAGE(OFFSET($DS$3,0,0,'Données projet'!$E$14+1,1))-AVERAGE(OFFSET($H$3,0,0,'Données projet'!$E$14+1,1))</f>
        <v>416.72317068678774</v>
      </c>
      <c r="DU40" s="62">
        <f t="shared" si="44"/>
        <v>447.32457429495537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59.340617468319749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7.1794871794871824</v>
      </c>
      <c r="EJ40" s="13">
        <f>IF('Données projet'!$A$192&gt;35,EJ39+EI40-ER39,IF(A40&lt;'Données projet'!$A$192,$EG$205^A40,IF(A40='Données projet'!$A$192,'Données projet'!$B$192,EJ39+EI40-ER39)))</f>
        <v>168.8461538461539</v>
      </c>
      <c r="EK40" s="18">
        <f>EJ40*VLOOKUP('Données projet'!$B$15,Paramètres!$A$1:$I$89,3,0)*VLOOKUP('Données projet'!$B$15,Paramètres!$A$1:$I$89,5,0)</f>
        <v>160.67400000000004</v>
      </c>
      <c r="EL40" s="14">
        <f t="shared" si="45"/>
        <v>40.994500775354958</v>
      </c>
      <c r="EM40" s="22">
        <f t="shared" si="19"/>
        <v>351.23930551707662</v>
      </c>
      <c r="EN40" s="62">
        <f t="shared" si="20"/>
        <v>605.48823623424903</v>
      </c>
      <c r="EO40" s="62">
        <f ca="1">AVERAGE(OFFSET($EN$3,0,0,'Données projet'!$E$15+1,1))-AVERAGE(OFFSET($H$3,0,0,'Données projet'!$E$15+1,1))</f>
        <v>454.78867027701426</v>
      </c>
      <c r="EP40" s="62">
        <f t="shared" si="46"/>
        <v>366.45346303927056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59.340617468319749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7.9487179487179507</v>
      </c>
      <c r="FE40" s="13">
        <f>IF('Données projet'!$A$218&gt;35,FE39+FD40-FM39,IF(A40&lt;'Données projet'!$A$218,$FB$205^A40,IF(A40='Données projet'!$A$218,'Données projet'!$B$218,FE39+FD40-FM39)))</f>
        <v>204.35897435897442</v>
      </c>
      <c r="FF40" s="18">
        <f>FE40*VLOOKUP('Données projet'!$B$16,Paramètres!$A$1:$I$89,3,0)*VLOOKUP('Données projet'!$B$16,Paramètres!$A$1:$I$89,5,0)</f>
        <v>137.08400000000003</v>
      </c>
      <c r="FG40" s="14">
        <f t="shared" si="47"/>
        <v>35.628174713483716</v>
      </c>
      <c r="FH40" s="22">
        <f t="shared" si="22"/>
        <v>300.80703762598421</v>
      </c>
      <c r="FI40" s="62">
        <f t="shared" si="23"/>
        <v>555.05596834315656</v>
      </c>
      <c r="FJ40" s="62">
        <f ca="1">AVERAGE(OFFSET($FI$3,0,0,'Données projet'!$E$16+1,1))-AVERAGE(OFFSET($H$3,0,0,'Données projet'!$E$16+1,1))</f>
        <v>390.05579539539576</v>
      </c>
      <c r="FK40" s="62">
        <f t="shared" si="48"/>
        <v>323.72278615226139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projet'!$B$16,Paramètres!$A$1:$I$89,3,0)*0.475*44/12</f>
        <v>0</v>
      </c>
      <c r="FR40" s="23">
        <f>EXP(-LN(2)/25)*FR39+(1-EXP(-LN(2)/25))/(LN(2)/25)*Calculateur!FM40*Calculateur!FO40*VLOOKUP('Données projet'!$B$16,Paramètres!$A$1:$I$89,3,0)*0.475*44/12</f>
        <v>0</v>
      </c>
      <c r="FS40" s="23">
        <f>EXP(-LN(2)/2)*FS39+(1-EXP(-LN(2)/2))/(LN(2)/2)*FM40*FP40*VLOOKUP('Données projet'!$B$16,Paramètres!$A$1:$I$89,3,0)*0.475*44/12</f>
        <v>0</v>
      </c>
      <c r="FT40" s="24">
        <f t="shared" si="24"/>
        <v>0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59.340617468319749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11.2</v>
      </c>
      <c r="FZ40" s="13">
        <f>IF('Données projet'!$A$244&gt;35,FZ39+FY40-GH39,IF(A40&lt;'Données projet'!$A$244,$FW$205^A40,IF(A40='Données projet'!$A$244,'Données projet'!$B$244,FZ39+FY40-GH39)))</f>
        <v>169.4</v>
      </c>
      <c r="GA40" s="18">
        <f>FZ40*VLOOKUP('Données projet'!$B$17,Paramètres!$A$1:$I$89,3,0)*VLOOKUP('Données projet'!$B$17,Paramètres!$A$1:$I$89,5,0)</f>
        <v>163.84368000000001</v>
      </c>
      <c r="GB40" s="14">
        <f t="shared" si="49"/>
        <v>41.708266739938274</v>
      </c>
      <c r="GC40" s="22">
        <f t="shared" si="25"/>
        <v>358.00297390539248</v>
      </c>
      <c r="GD40" s="62">
        <f t="shared" si="26"/>
        <v>612.25190462256489</v>
      </c>
      <c r="GE40" s="62">
        <f ca="1">AVERAGE(OFFSET($GD$3,0,0,'Données projet'!$E$17+1,1))-AVERAGE(OFFSET($H$3,0,0,'Données projet'!$E$17+1,1))</f>
        <v>578.44111602076555</v>
      </c>
      <c r="GF40" s="62">
        <f t="shared" si="50"/>
        <v>368.08542661432784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>
        <f>EXP(-LN(2)/35)*GL39+(1-EXP(-LN(2)/35))/(LN(2)/35)*GH40*GI40*VLOOKUP('Données projet'!$B$17,Paramètres!$A$1:$I$89,3,0)*0.475*44/12</f>
        <v>0</v>
      </c>
      <c r="GM40" s="23">
        <f>EXP(-LN(2)/25)*GM39+(1-EXP(-LN(2)/25))/(LN(2)/25)*Calculateur!GH40*Calculateur!GJ40*VLOOKUP('Données projet'!$B$17,Paramètres!$A$1:$I$89,3,0)*0.475*44/12</f>
        <v>0</v>
      </c>
      <c r="GN40" s="23">
        <f>EXP(-LN(2)/2)*GN39+(1-EXP(-LN(2)/2))/(LN(2)/2)*GH40*GK40*VLOOKUP('Données projet'!$B$17,Paramètres!$A$1:$I$89,3,0)*0.475*44/12</f>
        <v>0</v>
      </c>
      <c r="GO40" s="23">
        <f t="shared" si="27"/>
        <v>0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59.340617468319749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4.0735000000000001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14.936166666666667</v>
      </c>
      <c r="H41" s="70">
        <f t="shared" si="1"/>
        <v>196.922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59.52553392443518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11.2</v>
      </c>
      <c r="N41" s="14">
        <f>IF('Données projet'!$A$36&gt;35,N40+M41-V40,IF(A41&lt;'Données projet'!$A$36,$K$205^A41,IF(A41='Données projet'!$A$36,'Données projet'!$B$36,N40+M41-V40)))</f>
        <v>180.6</v>
      </c>
      <c r="O41" s="14">
        <f>N41*VLOOKUP('Données projet'!$B$9,Paramètres!$A$1:$I$89,3,0)*VLOOKUP('Données projet'!$B$9,Paramètres!$A$1:$I$89,5,0)</f>
        <v>163.40688</v>
      </c>
      <c r="P41" s="14">
        <f t="shared" si="33"/>
        <v>41.610001881769797</v>
      </c>
      <c r="Q41" s="22">
        <f t="shared" si="53"/>
        <v>357.07106927741569</v>
      </c>
      <c r="R41" s="62">
        <f t="shared" si="0"/>
        <v>611.99802700034468</v>
      </c>
      <c r="S41" s="62">
        <f ca="1">AVERAGE(OFFSET($R$3,0,0,'Données projet'!$E$9+1,1))-AVERAGE(OFFSET($H$3,0,0,'Données projet'!$E$9+1,1))</f>
        <v>546.11281471711925</v>
      </c>
      <c r="T41" s="62">
        <f t="shared" si="34"/>
        <v>348.18069831447099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59.52553392443518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13.4</v>
      </c>
      <c r="AI41" s="14">
        <f>IF('Données projet'!$A$62&gt;35,AI40+AH41-AQ40,IF(A41&lt;'Données projet'!$A$62,$AF$205^A41,IF(A41='Données projet'!$A$62,'Données projet'!$B$62,AI40+AH41-AQ40)))</f>
        <v>180.20000000000007</v>
      </c>
      <c r="AJ41" s="14">
        <f>AI41*VLOOKUP('Données projet'!$B$10,Paramètres!$A$1:$I$89,3,0)*VLOOKUP('Données projet'!$B$10,Paramètres!$A$1:$I$89,5,0)</f>
        <v>154.61160000000007</v>
      </c>
      <c r="AK41" s="14">
        <f t="shared" si="35"/>
        <v>39.624734188365885</v>
      </c>
      <c r="AL41" s="22">
        <f t="shared" si="4"/>
        <v>338.294948711404</v>
      </c>
      <c r="AM41" s="62">
        <f t="shared" si="5"/>
        <v>593.22190643433305</v>
      </c>
      <c r="AN41" s="62">
        <f ca="1">AVERAGE(OFFSET($AM$3,0,0,'Données projet'!$E$10+1,1))-AVERAGE(OFFSET($H$3,0,0,'Données projet'!$E$10+1,1))</f>
        <v>693.87994318348024</v>
      </c>
      <c r="AO41" s="62">
        <f t="shared" si="36"/>
        <v>327.71043739333641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59.52553392443518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11.2</v>
      </c>
      <c r="BD41" s="13">
        <f>IF('Données projet'!$A$88&gt;35,BD40+BC41-BL40,IF(A41&lt;'Données projet'!$A$88,$BA$205^A41,IF(A41='Données projet'!$A$88,'Données projet'!$B$88,BD40+BC41-BL40)))</f>
        <v>180.6</v>
      </c>
      <c r="BE41" s="14">
        <f>BD41*VLOOKUP('Données projet'!$B$11,Paramètres!$A$1:$I$89,3,0)*VLOOKUP('Données projet'!$B$11,Paramètres!$A$1:$I$89,5,0)</f>
        <v>152.13744</v>
      </c>
      <c r="BF41" s="14">
        <f t="shared" si="37"/>
        <v>39.063925813036093</v>
      </c>
      <c r="BG41" s="22">
        <f t="shared" si="7"/>
        <v>333.00904545770453</v>
      </c>
      <c r="BH41" s="62">
        <f t="shared" si="8"/>
        <v>587.93600318063352</v>
      </c>
      <c r="BI41" s="62">
        <f ca="1">AVERAGE(OFFSET($BH$3,0,0,'Données projet'!$E$11+1,1))-AVERAGE(OFFSET($H$3,0,0,'Données projet'!$E$11+1,1))</f>
        <v>513.7388209355762</v>
      </c>
      <c r="BJ41" s="62">
        <f t="shared" si="38"/>
        <v>328.24603121433927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59.52553392443518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13.280000000000006</v>
      </c>
      <c r="BY41" s="13">
        <f>IF('Données projet'!$A$114&gt;35,BY40+BX41-CG40,IF(A41&lt;'Données projet'!$A$114,$BV$205^A41,IF(A41='Données projet'!$A$114,'Données projet'!$B$114,BY40+BX41-CG40)))</f>
        <v>278.83999999999997</v>
      </c>
      <c r="BZ41" s="14">
        <f>BY41*VLOOKUP('Données projet'!$B$12,Paramètres!$A$1:$I$89,3,0)*VLOOKUP('Données projet'!$B$12,Paramètres!$A$1:$I$89,5,0)</f>
        <v>221.84510399999999</v>
      </c>
      <c r="CA41" s="14">
        <f t="shared" si="39"/>
        <v>54.515714821429043</v>
      </c>
      <c r="CB41" s="22">
        <f t="shared" si="10"/>
        <v>481.32842611398883</v>
      </c>
      <c r="CC41" s="62">
        <f t="shared" si="11"/>
        <v>736.25538383691787</v>
      </c>
      <c r="CD41" s="62">
        <f ca="1">AVERAGE(OFFSET($CC$3,0,0,'Données projet'!$E$12+1,1))-AVERAGE(OFFSET($H$3,0,0,'Données projet'!$E$12+1,1))</f>
        <v>447.25854887589878</v>
      </c>
      <c r="CE41" s="62">
        <f t="shared" si="40"/>
        <v>480.13390593590157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59.52553392443518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11.142857142857142</v>
      </c>
      <c r="CT41" s="13">
        <f>IF('Données projet'!$A$140&gt;35,CT40+CS41-DB40,IF(A41&lt;'Données projet'!$A$140,$CQ$205^A41,IF(A41='Données projet'!$A$140,'Données projet'!$B$140,CT40+CS41-DB40)))</f>
        <v>163.14285714285711</v>
      </c>
      <c r="CU41" s="18">
        <f>CT41*VLOOKUP('Données projet'!$B$13,Paramètres!$A$1:$I$89,3,0)*VLOOKUP('Données projet'!$B$13,Paramètres!$A$1:$I$89,5,0)</f>
        <v>127.25142857142855</v>
      </c>
      <c r="CV41" s="14">
        <f t="shared" si="41"/>
        <v>33.360457439554281</v>
      </c>
      <c r="CW41" s="22">
        <f t="shared" si="13"/>
        <v>279.73236813579507</v>
      </c>
      <c r="CX41" s="62">
        <f t="shared" si="14"/>
        <v>534.65932585872406</v>
      </c>
      <c r="CY41" s="62">
        <f ca="1">AVERAGE(OFFSET($CX$3,0,0,'Données projet'!$E$13+1,1))-AVERAGE(OFFSET($H$3,0,0,'Données projet'!$E$13+1,1))</f>
        <v>308.52515801950324</v>
      </c>
      <c r="CZ41" s="62">
        <f t="shared" si="42"/>
        <v>299.05420638408953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59.52553392443518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13.280000000000006</v>
      </c>
      <c r="DO41" s="13">
        <f>IF('Données projet'!$A$166&gt;35,DO40+DN41-DW40,IF(A41&lt;'Données projet'!$A$166,$DL$205^A41,IF(A41='Données projet'!$A$166,'Données projet'!$B$166,DO40+DN41-DW40)))</f>
        <v>278.83999999999997</v>
      </c>
      <c r="DP41" s="18">
        <f>DO41*VLOOKUP('Données projet'!$B$14,Paramètres!$A$1:$I$89,3,0)*VLOOKUP('Données projet'!$B$14,Paramètres!$A$1:$I$89,5,0)</f>
        <v>204.44548799999995</v>
      </c>
      <c r="DQ41" s="14">
        <f t="shared" si="43"/>
        <v>50.719897906819689</v>
      </c>
      <c r="DR41" s="22">
        <f t="shared" si="16"/>
        <v>444.4130471210442</v>
      </c>
      <c r="DS41" s="62">
        <f t="shared" si="17"/>
        <v>699.34000484397325</v>
      </c>
      <c r="DT41" s="62">
        <f ca="1">AVERAGE(OFFSET($DS$3,0,0,'Données projet'!$E$14+1,1))-AVERAGE(OFFSET($H$3,0,0,'Données projet'!$E$14+1,1))</f>
        <v>416.72317068678774</v>
      </c>
      <c r="DU41" s="62">
        <f t="shared" si="44"/>
        <v>447.32457429495537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59.52553392443518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7.1794871794871824</v>
      </c>
      <c r="EJ41" s="13">
        <f>IF('Données projet'!$A$192&gt;35,EJ40+EI41-ER40,IF(A41&lt;'Données projet'!$A$192,$EG$205^A41,IF(A41='Données projet'!$A$192,'Données projet'!$B$192,EJ40+EI41-ER40)))</f>
        <v>176.02564102564108</v>
      </c>
      <c r="EK41" s="18">
        <f>EJ41*VLOOKUP('Données projet'!$B$15,Paramètres!$A$1:$I$89,3,0)*VLOOKUP('Données projet'!$B$15,Paramètres!$A$1:$I$89,5,0)</f>
        <v>167.50600000000006</v>
      </c>
      <c r="EL41" s="14">
        <f t="shared" si="45"/>
        <v>42.530971000275791</v>
      </c>
      <c r="EM41" s="22">
        <f t="shared" si="19"/>
        <v>365.81439115881381</v>
      </c>
      <c r="EN41" s="62">
        <f t="shared" si="20"/>
        <v>620.74134888174285</v>
      </c>
      <c r="EO41" s="62">
        <f ca="1">AVERAGE(OFFSET($EN$3,0,0,'Données projet'!$E$15+1,1))-AVERAGE(OFFSET($H$3,0,0,'Données projet'!$E$15+1,1))</f>
        <v>454.78867027701426</v>
      </c>
      <c r="EP41" s="62">
        <f t="shared" si="46"/>
        <v>366.45346303927056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59.52553392443518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7.9487179487179507</v>
      </c>
      <c r="FE41" s="13">
        <f>IF('Données projet'!$A$218&gt;35,FE40+FD41-FM40,IF(A41&lt;'Données projet'!$A$218,$FB$205^A41,IF(A41='Données projet'!$A$218,'Données projet'!$B$218,FE40+FD41-FM40)))</f>
        <v>212.30769230769238</v>
      </c>
      <c r="FF41" s="18">
        <f>FE41*VLOOKUP('Données projet'!$B$16,Paramètres!$A$1:$I$89,3,0)*VLOOKUP('Données projet'!$B$16,Paramètres!$A$1:$I$89,5,0)</f>
        <v>142.41600000000005</v>
      </c>
      <c r="FG41" s="14">
        <f t="shared" si="47"/>
        <v>36.849924818088418</v>
      </c>
      <c r="FH41" s="22">
        <f t="shared" si="22"/>
        <v>312.22148572483741</v>
      </c>
      <c r="FI41" s="62">
        <f t="shared" si="23"/>
        <v>567.14844344776645</v>
      </c>
      <c r="FJ41" s="62">
        <f ca="1">AVERAGE(OFFSET($FI$3,0,0,'Données projet'!$E$16+1,1))-AVERAGE(OFFSET($H$3,0,0,'Données projet'!$E$16+1,1))</f>
        <v>390.05579539539576</v>
      </c>
      <c r="FK41" s="62">
        <f t="shared" si="48"/>
        <v>323.72278615226139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projet'!$B$16,Paramètres!$A$1:$I$89,3,0)*0.475*44/12</f>
        <v>0</v>
      </c>
      <c r="FR41" s="23">
        <f>EXP(-LN(2)/25)*FR40+(1-EXP(-LN(2)/25))/(LN(2)/25)*Calculateur!FM41*Calculateur!FO41*VLOOKUP('Données projet'!$B$16,Paramètres!$A$1:$I$89,3,0)*0.475*44/12</f>
        <v>0</v>
      </c>
      <c r="FS41" s="23">
        <f>EXP(-LN(2)/2)*FS40+(1-EXP(-LN(2)/2))/(LN(2)/2)*FM41*FP41*VLOOKUP('Données projet'!$B$16,Paramètres!$A$1:$I$89,3,0)*0.475*44/12</f>
        <v>0</v>
      </c>
      <c r="FT41" s="24">
        <f t="shared" si="24"/>
        <v>0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59.52553392443518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11.2</v>
      </c>
      <c r="FZ41" s="13">
        <f>IF('Données projet'!$A$244&gt;35,FZ40+FY41-GH40,IF(A41&lt;'Données projet'!$A$244,$FW$205^A41,IF(A41='Données projet'!$A$244,'Données projet'!$B$244,FZ40+FY41-GH40)))</f>
        <v>180.6</v>
      </c>
      <c r="GA41" s="18">
        <f>FZ41*VLOOKUP('Données projet'!$B$17,Paramètres!$A$1:$I$89,3,0)*VLOOKUP('Données projet'!$B$17,Paramètres!$A$1:$I$89,5,0)</f>
        <v>174.67632</v>
      </c>
      <c r="GB41" s="14">
        <f t="shared" si="49"/>
        <v>44.13570388178811</v>
      </c>
      <c r="GC41" s="22">
        <f t="shared" si="25"/>
        <v>381.09760826078099</v>
      </c>
      <c r="GD41" s="62">
        <f t="shared" si="26"/>
        <v>636.02456598370998</v>
      </c>
      <c r="GE41" s="62">
        <f ca="1">AVERAGE(OFFSET($GD$3,0,0,'Données projet'!$E$17+1,1))-AVERAGE(OFFSET($H$3,0,0,'Données projet'!$E$17+1,1))</f>
        <v>578.44111602076555</v>
      </c>
      <c r="GF41" s="62">
        <f t="shared" si="50"/>
        <v>368.08542661432784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>
        <f>EXP(-LN(2)/35)*GL40+(1-EXP(-LN(2)/35))/(LN(2)/35)*GH41*GI41*VLOOKUP('Données projet'!$B$17,Paramètres!$A$1:$I$89,3,0)*0.475*44/12</f>
        <v>0</v>
      </c>
      <c r="GM41" s="23">
        <f>EXP(-LN(2)/25)*GM40+(1-EXP(-LN(2)/25))/(LN(2)/25)*Calculateur!GH41*Calculateur!GJ41*VLOOKUP('Données projet'!$B$17,Paramètres!$A$1:$I$89,3,0)*0.475*44/12</f>
        <v>0</v>
      </c>
      <c r="GN41" s="23">
        <f>EXP(-LN(2)/2)*GN40+(1-EXP(-LN(2)/2))/(LN(2)/2)*GH41*GK41*VLOOKUP('Données projet'!$B$17,Paramètres!$A$1:$I$89,3,0)*0.475*44/12</f>
        <v>0</v>
      </c>
      <c r="GO41" s="23">
        <f t="shared" si="27"/>
        <v>0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59.52553392443518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4.0735000000000001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14.936166666666667</v>
      </c>
      <c r="H42" s="70">
        <f t="shared" si="1"/>
        <v>196.922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59.707242493448263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11.2</v>
      </c>
      <c r="N42" s="14">
        <f>IF('Données projet'!$A$36&gt;35,N41+M42-V41,IF(A42&lt;'Données projet'!$A$36,$K$205^A42,IF(A42='Données projet'!$A$36,'Données projet'!$B$36,N41+M42-V41)))</f>
        <v>191.79999999999998</v>
      </c>
      <c r="O42" s="14">
        <f>N42*VLOOKUP('Données projet'!$B$9,Paramètres!$A$1:$I$89,3,0)*VLOOKUP('Données projet'!$B$9,Paramètres!$A$1:$I$89,5,0)</f>
        <v>173.54064</v>
      </c>
      <c r="P42" s="14">
        <f t="shared" si="33"/>
        <v>43.882055316228445</v>
      </c>
      <c r="Q42" s="22">
        <f t="shared" si="53"/>
        <v>378.67786100909785</v>
      </c>
      <c r="R42" s="62">
        <f t="shared" si="0"/>
        <v>634.27108348507477</v>
      </c>
      <c r="S42" s="62">
        <f ca="1">AVERAGE(OFFSET($R$3,0,0,'Données projet'!$E$9+1,1))-AVERAGE(OFFSET($H$3,0,0,'Données projet'!$E$9+1,1))</f>
        <v>546.11281471711925</v>
      </c>
      <c r="T42" s="62">
        <f t="shared" si="34"/>
        <v>348.18069831447099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59.707242493448263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13.4</v>
      </c>
      <c r="AI42" s="14">
        <f>IF('Données projet'!$A$62&gt;35,AI41+AH42-AQ41,IF(A42&lt;'Données projet'!$A$62,$AF$205^A42,IF(A42='Données projet'!$A$62,'Données projet'!$B$62,AI41+AH42-AQ41)))</f>
        <v>193.60000000000008</v>
      </c>
      <c r="AJ42" s="14">
        <f>AI42*VLOOKUP('Données projet'!$B$10,Paramètres!$A$1:$I$89,3,0)*VLOOKUP('Données projet'!$B$10,Paramètres!$A$1:$I$89,5,0)</f>
        <v>166.10880000000009</v>
      </c>
      <c r="AK42" s="14">
        <f t="shared" si="35"/>
        <v>42.217353238107833</v>
      </c>
      <c r="AL42" s="22">
        <f t="shared" si="4"/>
        <v>362.83471688970462</v>
      </c>
      <c r="AM42" s="62">
        <f t="shared" si="5"/>
        <v>618.4279393656816</v>
      </c>
      <c r="AN42" s="62">
        <f ca="1">AVERAGE(OFFSET($AM$3,0,0,'Données projet'!$E$10+1,1))-AVERAGE(OFFSET($H$3,0,0,'Données projet'!$E$10+1,1))</f>
        <v>693.87994318348024</v>
      </c>
      <c r="AO42" s="62">
        <f t="shared" si="36"/>
        <v>327.71043739333641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59.707242493448263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11.2</v>
      </c>
      <c r="BD42" s="13">
        <f>IF('Données projet'!$A$88&gt;35,BD41+BC42-BL41,IF(A42&lt;'Données projet'!$A$88,$BA$205^A42,IF(A42='Données projet'!$A$88,'Données projet'!$B$88,BD41+BC42-BL41)))</f>
        <v>191.79999999999998</v>
      </c>
      <c r="BE42" s="14">
        <f>BD42*VLOOKUP('Données projet'!$B$11,Paramètres!$A$1:$I$89,3,0)*VLOOKUP('Données projet'!$B$11,Paramètres!$A$1:$I$89,5,0)</f>
        <v>161.57232000000002</v>
      </c>
      <c r="BF42" s="14">
        <f t="shared" si="37"/>
        <v>41.196954479055741</v>
      </c>
      <c r="BG42" s="22">
        <f t="shared" si="7"/>
        <v>353.15648638435545</v>
      </c>
      <c r="BH42" s="62">
        <f t="shared" si="8"/>
        <v>608.74970886033248</v>
      </c>
      <c r="BI42" s="62">
        <f ca="1">AVERAGE(OFFSET($BH$3,0,0,'Données projet'!$E$11+1,1))-AVERAGE(OFFSET($H$3,0,0,'Données projet'!$E$11+1,1))</f>
        <v>513.7388209355762</v>
      </c>
      <c r="BJ42" s="62">
        <f t="shared" si="38"/>
        <v>328.24603121433927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59.707242493448263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13.280000000000006</v>
      </c>
      <c r="BY42" s="13">
        <f>IF('Données projet'!$A$114&gt;35,BY41+BX42-CG41,IF(A42&lt;'Données projet'!$A$114,$BV$205^A42,IF(A42='Données projet'!$A$114,'Données projet'!$B$114,BY41+BX42-CG41)))</f>
        <v>292.12</v>
      </c>
      <c r="BZ42" s="14">
        <f>BY42*VLOOKUP('Données projet'!$B$12,Paramètres!$A$1:$I$89,3,0)*VLOOKUP('Données projet'!$B$12,Paramètres!$A$1:$I$89,5,0)</f>
        <v>232.41067200000001</v>
      </c>
      <c r="CA42" s="14">
        <f t="shared" si="39"/>
        <v>56.803608451262164</v>
      </c>
      <c r="CB42" s="22">
        <f t="shared" si="10"/>
        <v>503.71487178594833</v>
      </c>
      <c r="CC42" s="62">
        <f t="shared" si="11"/>
        <v>759.30809426192536</v>
      </c>
      <c r="CD42" s="62">
        <f ca="1">AVERAGE(OFFSET($CC$3,0,0,'Données projet'!$E$12+1,1))-AVERAGE(OFFSET($H$3,0,0,'Données projet'!$E$12+1,1))</f>
        <v>447.25854887589878</v>
      </c>
      <c r="CE42" s="62">
        <f t="shared" si="40"/>
        <v>480.13390593590157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59.707242493448263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11.142857142857142</v>
      </c>
      <c r="CT42" s="13">
        <f>IF('Données projet'!$A$140&gt;35,CT41+CS42-DB41,IF(A42&lt;'Données projet'!$A$140,$CQ$205^A42,IF(A42='Données projet'!$A$140,'Données projet'!$B$140,CT41+CS42-DB41)))</f>
        <v>174.28571428571425</v>
      </c>
      <c r="CU42" s="18">
        <f>CT42*VLOOKUP('Données projet'!$B$13,Paramètres!$A$1:$I$89,3,0)*VLOOKUP('Données projet'!$B$13,Paramètres!$A$1:$I$89,5,0)</f>
        <v>135.94285714285712</v>
      </c>
      <c r="CV42" s="14">
        <f t="shared" si="41"/>
        <v>35.365986273808367</v>
      </c>
      <c r="CW42" s="22">
        <f t="shared" si="13"/>
        <v>298.36290228402572</v>
      </c>
      <c r="CX42" s="62">
        <f t="shared" si="14"/>
        <v>553.95612476000269</v>
      </c>
      <c r="CY42" s="62">
        <f ca="1">AVERAGE(OFFSET($CX$3,0,0,'Données projet'!$E$13+1,1))-AVERAGE(OFFSET($H$3,0,0,'Données projet'!$E$13+1,1))</f>
        <v>308.52515801950324</v>
      </c>
      <c r="CZ42" s="62">
        <f t="shared" si="42"/>
        <v>299.05420638408953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59.707242493448263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13.280000000000006</v>
      </c>
      <c r="DO42" s="13">
        <f>IF('Données projet'!$A$166&gt;35,DO41+DN42-DW41,IF(A42&lt;'Données projet'!$A$166,$DL$205^A42,IF(A42='Données projet'!$A$166,'Données projet'!$B$166,DO41+DN42-DW41)))</f>
        <v>292.12</v>
      </c>
      <c r="DP42" s="18">
        <f>DO42*VLOOKUP('Données projet'!$B$14,Paramètres!$A$1:$I$89,3,0)*VLOOKUP('Données projet'!$B$14,Paramètres!$A$1:$I$89,5,0)</f>
        <v>214.18238400000001</v>
      </c>
      <c r="DQ42" s="14">
        <f t="shared" si="43"/>
        <v>52.848490216521647</v>
      </c>
      <c r="DR42" s="22">
        <f t="shared" si="16"/>
        <v>465.07877259377528</v>
      </c>
      <c r="DS42" s="62">
        <f t="shared" si="17"/>
        <v>720.67199506975226</v>
      </c>
      <c r="DT42" s="62">
        <f ca="1">AVERAGE(OFFSET($DS$3,0,0,'Données projet'!$E$14+1,1))-AVERAGE(OFFSET($H$3,0,0,'Données projet'!$E$14+1,1))</f>
        <v>416.72317068678774</v>
      </c>
      <c r="DU42" s="62">
        <f t="shared" si="44"/>
        <v>447.32457429495537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59.707242493448263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7.1794871794871824</v>
      </c>
      <c r="EJ42" s="13">
        <f>IF('Données projet'!$A$192&gt;35,EJ41+EI42-ER41,IF(A42&lt;'Données projet'!$A$192,$EG$205^A42,IF(A42='Données projet'!$A$192,'Données projet'!$B$192,EJ41+EI42-ER41)))</f>
        <v>183.20512820512826</v>
      </c>
      <c r="EK42" s="18">
        <f>EJ42*VLOOKUP('Données projet'!$B$15,Paramètres!$A$1:$I$89,3,0)*VLOOKUP('Données projet'!$B$15,Paramètres!$A$1:$I$89,5,0)</f>
        <v>174.33800000000005</v>
      </c>
      <c r="EL42" s="14">
        <f t="shared" si="45"/>
        <v>44.060161897107399</v>
      </c>
      <c r="EM42" s="22">
        <f t="shared" si="19"/>
        <v>380.37679863746217</v>
      </c>
      <c r="EN42" s="62">
        <f t="shared" si="20"/>
        <v>635.97002111343909</v>
      </c>
      <c r="EO42" s="62">
        <f ca="1">AVERAGE(OFFSET($EN$3,0,0,'Données projet'!$E$15+1,1))-AVERAGE(OFFSET($H$3,0,0,'Données projet'!$E$15+1,1))</f>
        <v>454.78867027701426</v>
      </c>
      <c r="EP42" s="62">
        <f t="shared" si="46"/>
        <v>366.45346303927056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59.707242493448263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7.9487179487179507</v>
      </c>
      <c r="FE42" s="13">
        <f>IF('Données projet'!$A$218&gt;35,FE41+FD42-FM41,IF(A42&lt;'Données projet'!$A$218,$FB$205^A42,IF(A42='Données projet'!$A$218,'Données projet'!$B$218,FE41+FD42-FM41)))</f>
        <v>220.25641025641033</v>
      </c>
      <c r="FF42" s="18">
        <f>FE42*VLOOKUP('Données projet'!$B$16,Paramètres!$A$1:$I$89,3,0)*VLOOKUP('Données projet'!$B$16,Paramètres!$A$1:$I$89,5,0)</f>
        <v>147.74800000000008</v>
      </c>
      <c r="FG42" s="14">
        <f t="shared" si="47"/>
        <v>38.066360844681896</v>
      </c>
      <c r="FH42" s="22">
        <f t="shared" si="22"/>
        <v>323.62667847115443</v>
      </c>
      <c r="FI42" s="62">
        <f t="shared" si="23"/>
        <v>579.21990094713146</v>
      </c>
      <c r="FJ42" s="62">
        <f ca="1">AVERAGE(OFFSET($FI$3,0,0,'Données projet'!$E$16+1,1))-AVERAGE(OFFSET($H$3,0,0,'Données projet'!$E$16+1,1))</f>
        <v>390.05579539539576</v>
      </c>
      <c r="FK42" s="62">
        <f t="shared" si="48"/>
        <v>323.72278615226139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projet'!$B$16,Paramètres!$A$1:$I$89,3,0)*0.475*44/12</f>
        <v>0</v>
      </c>
      <c r="FR42" s="23">
        <f>EXP(-LN(2)/25)*FR41+(1-EXP(-LN(2)/25))/(LN(2)/25)*Calculateur!FM42*Calculateur!FO42*VLOOKUP('Données projet'!$B$16,Paramètres!$A$1:$I$89,3,0)*0.475*44/12</f>
        <v>0</v>
      </c>
      <c r="FS42" s="23">
        <f>EXP(-LN(2)/2)*FS41+(1-EXP(-LN(2)/2))/(LN(2)/2)*FM42*FP42*VLOOKUP('Données projet'!$B$16,Paramètres!$A$1:$I$89,3,0)*0.475*44/12</f>
        <v>0</v>
      </c>
      <c r="FT42" s="24">
        <f t="shared" si="24"/>
        <v>0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59.707242493448263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11.2</v>
      </c>
      <c r="FZ42" s="13">
        <f>IF('Données projet'!$A$244&gt;35,FZ41+FY42-GH41,IF(A42&lt;'Données projet'!$A$244,$FW$205^A42,IF(A42='Données projet'!$A$244,'Données projet'!$B$244,FZ41+FY42-GH41)))</f>
        <v>191.79999999999998</v>
      </c>
      <c r="GA42" s="18">
        <f>FZ42*VLOOKUP('Données projet'!$B$17,Paramètres!$A$1:$I$89,3,0)*VLOOKUP('Données projet'!$B$17,Paramètres!$A$1:$I$89,5,0)</f>
        <v>185.50895999999997</v>
      </c>
      <c r="GB42" s="14">
        <f t="shared" si="49"/>
        <v>46.545669588393835</v>
      </c>
      <c r="GC42" s="22">
        <f t="shared" si="25"/>
        <v>404.16181319978591</v>
      </c>
      <c r="GD42" s="62">
        <f t="shared" si="26"/>
        <v>659.75503567576288</v>
      </c>
      <c r="GE42" s="62">
        <f ca="1">AVERAGE(OFFSET($GD$3,0,0,'Données projet'!$E$17+1,1))-AVERAGE(OFFSET($H$3,0,0,'Données projet'!$E$17+1,1))</f>
        <v>578.44111602076555</v>
      </c>
      <c r="GF42" s="62">
        <f t="shared" si="50"/>
        <v>368.08542661432784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>
        <f>EXP(-LN(2)/35)*GL41+(1-EXP(-LN(2)/35))/(LN(2)/35)*GH42*GI42*VLOOKUP('Données projet'!$B$17,Paramètres!$A$1:$I$89,3,0)*0.475*44/12</f>
        <v>0</v>
      </c>
      <c r="GM42" s="23">
        <f>EXP(-LN(2)/25)*GM41+(1-EXP(-LN(2)/25))/(LN(2)/25)*Calculateur!GH42*Calculateur!GJ42*VLOOKUP('Données projet'!$B$17,Paramètres!$A$1:$I$89,3,0)*0.475*44/12</f>
        <v>0</v>
      </c>
      <c r="GN42" s="23">
        <f>EXP(-LN(2)/2)*GN41+(1-EXP(-LN(2)/2))/(LN(2)/2)*GH42*GK42*VLOOKUP('Données projet'!$B$17,Paramètres!$A$1:$I$89,3,0)*0.475*44/12</f>
        <v>0</v>
      </c>
      <c r="GO42" s="23">
        <f t="shared" si="27"/>
        <v>0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59.707242493448263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4.0735000000000001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14.936166666666667</v>
      </c>
      <c r="H43" s="70">
        <f t="shared" si="1"/>
        <v>196.922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59.885798825028473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203</v>
      </c>
      <c r="L43" s="13">
        <f>VLOOKUP(A43,'Données projet'!$A$35:$I$55,9,0)</f>
        <v>11.2</v>
      </c>
      <c r="M43" s="13">
        <f t="array" ref="M43">INDEX(L:L,MIN(IF(ISNUMBER(L43:L239),ROW(L43:L239),"")))</f>
        <v>11.2</v>
      </c>
      <c r="N43" s="14">
        <f>IF('Données projet'!$A$36&gt;35,N42+M43-V42,IF(A43&lt;'Données projet'!$A$36,$K$205^A43,IF(A43='Données projet'!$A$36,'Données projet'!$B$36,N42+M43-V42)))</f>
        <v>202.99999999999997</v>
      </c>
      <c r="O43" s="14">
        <f>N43*VLOOKUP('Données projet'!$B$9,Paramètres!$A$1:$I$89,3,0)*VLOOKUP('Données projet'!$B$9,Paramètres!$A$1:$I$89,5,0)</f>
        <v>183.67439999999996</v>
      </c>
      <c r="P43" s="14">
        <f t="shared" si="33"/>
        <v>46.138708549418673</v>
      </c>
      <c r="Q43" s="22">
        <f t="shared" si="53"/>
        <v>400.25783072357075</v>
      </c>
      <c r="R43" s="62">
        <f t="shared" si="0"/>
        <v>656.50575974867513</v>
      </c>
      <c r="S43" s="62">
        <f ca="1">AVERAGE(OFFSET($R$3,0,0,'Données projet'!$E$9+1,1))-AVERAGE(OFFSET($H$3,0,0,'Données projet'!$E$9+1,1))</f>
        <v>546.11281471711925</v>
      </c>
      <c r="T43" s="62">
        <f t="shared" si="34"/>
        <v>348.18069831447099</v>
      </c>
      <c r="U43" s="16">
        <f>IF(ISNA(VLOOKUP(A43,'Données projet'!$A$35:$I$55,3,0)),0,VLOOKUP(A43,'Données projet'!$A$35:$I$55,3,0))</f>
        <v>3</v>
      </c>
      <c r="V43" s="16">
        <f>IF(ISNA(VLOOKUP(A43,'Données projet'!$A$35:$I$55,4,0)),0,VLOOKUP(A43,'Données projet'!$A$35:$I$55,4,0))</f>
        <v>56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59.885798825028473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207</v>
      </c>
      <c r="AG43" s="13">
        <f>VLOOKUP(A43,'Données projet'!$A$61:$I$81,9,0)</f>
        <v>13.4</v>
      </c>
      <c r="AH43" s="13">
        <f t="array" ref="AH43">INDEX(AG:AG,MIN(IF(ISNUMBER(AG43:AG239),ROW(AG43:AG239),"")))</f>
        <v>13.4</v>
      </c>
      <c r="AI43" s="14">
        <f>IF('Données projet'!$A$62&gt;35,AI42+AH43-AQ42,IF(A43&lt;'Données projet'!$A$62,$AF$205^A43,IF(A43='Données projet'!$A$62,'Données projet'!$B$62,AI42+AH43-AQ42)))</f>
        <v>207.00000000000009</v>
      </c>
      <c r="AJ43" s="14">
        <f>AI43*VLOOKUP('Données projet'!$B$10,Paramètres!$A$1:$I$89,3,0)*VLOOKUP('Données projet'!$B$10,Paramètres!$A$1:$I$89,5,0)</f>
        <v>177.60600000000008</v>
      </c>
      <c r="AK43" s="14">
        <f t="shared" si="35"/>
        <v>44.789150937858665</v>
      </c>
      <c r="AL43" s="22">
        <f t="shared" si="4"/>
        <v>387.33822121677059</v>
      </c>
      <c r="AM43" s="62">
        <f t="shared" si="5"/>
        <v>643.58615024187498</v>
      </c>
      <c r="AN43" s="62">
        <f ca="1">AVERAGE(OFFSET($AM$3,0,0,'Données projet'!$E$10+1,1))-AVERAGE(OFFSET($H$3,0,0,'Données projet'!$E$10+1,1))</f>
        <v>693.87994318348024</v>
      </c>
      <c r="AO43" s="62">
        <f t="shared" si="36"/>
        <v>327.71043739333641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59.885798825028473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203</v>
      </c>
      <c r="BB43" s="13">
        <f>VLOOKUP(A43,'Données projet'!$A$87:$I$107,9,0)</f>
        <v>11.2</v>
      </c>
      <c r="BC43" s="13">
        <f t="array" ref="BC43">INDEX(BB:BB,MIN(IF(ISNUMBER(BB43:BB239),ROW(BB43:BB239),"")))</f>
        <v>11.2</v>
      </c>
      <c r="BD43" s="13">
        <f>IF('Données projet'!$A$88&gt;35,BD42+BC43-BL42,IF(A43&lt;'Données projet'!$A$88,$BA$205^A43,IF(A43='Données projet'!$A$88,'Données projet'!$B$88,BD42+BC43-BL42)))</f>
        <v>202.99999999999997</v>
      </c>
      <c r="BE43" s="14">
        <f>BD43*VLOOKUP('Données projet'!$B$11,Paramètres!$A$1:$I$89,3,0)*VLOOKUP('Données projet'!$B$11,Paramètres!$A$1:$I$89,5,0)</f>
        <v>171.00719999999998</v>
      </c>
      <c r="BF43" s="14">
        <f t="shared" si="37"/>
        <v>43.315525267338089</v>
      </c>
      <c r="BG43" s="22">
        <f t="shared" si="7"/>
        <v>373.27874650728046</v>
      </c>
      <c r="BH43" s="62">
        <f t="shared" si="8"/>
        <v>629.52667553238484</v>
      </c>
      <c r="BI43" s="62">
        <f ca="1">AVERAGE(OFFSET($BH$3,0,0,'Données projet'!$E$11+1,1))-AVERAGE(OFFSET($H$3,0,0,'Données projet'!$E$11+1,1))</f>
        <v>513.7388209355762</v>
      </c>
      <c r="BJ43" s="62">
        <f t="shared" si="38"/>
        <v>328.24603121433927</v>
      </c>
      <c r="BK43" s="16">
        <f>IF(ISNA(VLOOKUP(A43,'Données projet'!$A$87:$I$107,3,0)),0,VLOOKUP(A43,'Données projet'!$A$87:$I$107,3,0))</f>
        <v>3</v>
      </c>
      <c r="BL43" s="16">
        <f>IF(ISNA(VLOOKUP(A43,'Données projet'!$A$87:$I$107,4,0)),0,VLOOKUP(A43,'Données projet'!$A$87:$I$107,4,0))</f>
        <v>56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59.885798825028473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305.40000000000003</v>
      </c>
      <c r="BW43" s="13">
        <f>VLOOKUP(A43,'Données projet'!$A$113:$I$133,9,0)</f>
        <v>13.280000000000006</v>
      </c>
      <c r="BX43" s="13">
        <f t="array" ref="BX43">INDEX(BW:BW,MIN(IF(ISNUMBER(BW43:BW239),ROW(BW43:BW239),"")))</f>
        <v>13.280000000000006</v>
      </c>
      <c r="BY43" s="13">
        <f>IF('Données projet'!$A$114&gt;35,BY42+BX43-CG42,IF(A43&lt;'Données projet'!$A$114,$BV$205^A43,IF(A43='Données projet'!$A$114,'Données projet'!$B$114,BY42+BX43-CG42)))</f>
        <v>305.40000000000003</v>
      </c>
      <c r="BZ43" s="14">
        <f>BY43*VLOOKUP('Données projet'!$B$12,Paramètres!$A$1:$I$89,3,0)*VLOOKUP('Données projet'!$B$12,Paramètres!$A$1:$I$89,5,0)</f>
        <v>242.97624000000005</v>
      </c>
      <c r="CA43" s="14">
        <f t="shared" si="39"/>
        <v>59.079422968693287</v>
      </c>
      <c r="CB43" s="22">
        <f t="shared" si="10"/>
        <v>526.08027967047417</v>
      </c>
      <c r="CC43" s="62">
        <f t="shared" si="11"/>
        <v>782.3282086955785</v>
      </c>
      <c r="CD43" s="62">
        <f ca="1">AVERAGE(OFFSET($CC$3,0,0,'Données projet'!$E$12+1,1))-AVERAGE(OFFSET($H$3,0,0,'Données projet'!$E$12+1,1))</f>
        <v>447.25854887589878</v>
      </c>
      <c r="CE43" s="62">
        <f t="shared" si="40"/>
        <v>480.13390593590157</v>
      </c>
      <c r="CF43" s="16">
        <f>IF(ISNA(VLOOKUP(A43,'Données projet'!$A$113:$I$133,3,0)),0,VLOOKUP(A43,'Données projet'!$A$113:$I$133,3,0))</f>
        <v>3</v>
      </c>
      <c r="CG43" s="16">
        <f>IF(ISNA(VLOOKUP(A43,'Données projet'!$A$113:$I$133,4,0)),0,VLOOKUP(A43,'Données projet'!$A$113:$I$133,4,0))</f>
        <v>82.1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59.885798825028473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11.142857142857142</v>
      </c>
      <c r="CT43" s="13">
        <f>IF('Données projet'!$A$140&gt;35,CT42+CS43-DB42,IF(A43&lt;'Données projet'!$A$140,$CQ$205^A43,IF(A43='Données projet'!$A$140,'Données projet'!$B$140,CT42+CS43-DB42)))</f>
        <v>185.42857142857139</v>
      </c>
      <c r="CU43" s="18">
        <f>CT43*VLOOKUP('Données projet'!$B$13,Paramètres!$A$1:$I$89,3,0)*VLOOKUP('Données projet'!$B$13,Paramètres!$A$1:$I$89,5,0)</f>
        <v>144.63428571428568</v>
      </c>
      <c r="CV43" s="14">
        <f t="shared" si="41"/>
        <v>37.356634728420524</v>
      </c>
      <c r="CW43" s="22">
        <f t="shared" si="13"/>
        <v>316.96751977104663</v>
      </c>
      <c r="CX43" s="62">
        <f t="shared" si="14"/>
        <v>573.21544879615101</v>
      </c>
      <c r="CY43" s="62">
        <f ca="1">AVERAGE(OFFSET($CX$3,0,0,'Données projet'!$E$13+1,1))-AVERAGE(OFFSET($H$3,0,0,'Données projet'!$E$13+1,1))</f>
        <v>308.52515801950324</v>
      </c>
      <c r="CZ43" s="62">
        <f t="shared" si="42"/>
        <v>299.05420638408953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59.885798825028473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305.40000000000003</v>
      </c>
      <c r="DM43" s="13">
        <f>VLOOKUP(A43,'Données projet'!$A$165:$I$185,9,0)</f>
        <v>13.280000000000006</v>
      </c>
      <c r="DN43" s="13">
        <f t="array" ref="DN43">INDEX(DM:DM,MIN(IF(ISNUMBER(DM43:DM239),ROW(DM43:DM239),"")))</f>
        <v>13.280000000000006</v>
      </c>
      <c r="DO43" s="13">
        <f>IF('Données projet'!$A$166&gt;35,DO42+DN43-DW42,IF(A43&lt;'Données projet'!$A$166,$DL$205^A43,IF(A43='Données projet'!$A$166,'Données projet'!$B$166,DO42+DN43-DW42)))</f>
        <v>305.40000000000003</v>
      </c>
      <c r="DP43" s="18">
        <f>DO43*VLOOKUP('Données projet'!$B$14,Paramètres!$A$1:$I$89,3,0)*VLOOKUP('Données projet'!$B$14,Paramètres!$A$1:$I$89,5,0)</f>
        <v>223.91928000000001</v>
      </c>
      <c r="DQ43" s="14">
        <f t="shared" si="43"/>
        <v>54.965844457533855</v>
      </c>
      <c r="DR43" s="22">
        <f t="shared" si="16"/>
        <v>485.72492509687146</v>
      </c>
      <c r="DS43" s="62">
        <f t="shared" si="17"/>
        <v>741.97285412197584</v>
      </c>
      <c r="DT43" s="62">
        <f ca="1">AVERAGE(OFFSET($DS$3,0,0,'Données projet'!$E$14+1,1))-AVERAGE(OFFSET($H$3,0,0,'Données projet'!$E$14+1,1))</f>
        <v>416.72317068678774</v>
      </c>
      <c r="DU43" s="62">
        <f t="shared" si="44"/>
        <v>447.32457429495537</v>
      </c>
      <c r="DV43" s="16">
        <f>IF(ISNA(VLOOKUP(A43,'Données projet'!$A$165:$I$185,3,0)),0,VLOOKUP(A43,'Données projet'!$A$165:$I$185,3,0))</f>
        <v>3</v>
      </c>
      <c r="DW43" s="16">
        <f>IF(ISNA(VLOOKUP(A43,'Données projet'!$A$165:$I$185,4,0)),0,VLOOKUP(A43,'Données projet'!$A$165:$I$185,4,0))</f>
        <v>82.1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59.885798825028473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190.38461538461539</v>
      </c>
      <c r="EH43" s="13">
        <f>VLOOKUP(A43,'Données projet'!$A$191:$I$211,9,0)</f>
        <v>7.1794871794871824</v>
      </c>
      <c r="EI43" s="13">
        <f t="array" ref="EI43">INDEX(EH:EH,MIN(IF(ISNUMBER(EH43:EH239),ROW(EH43:EH239),"")))</f>
        <v>7.1794871794871824</v>
      </c>
      <c r="EJ43" s="13">
        <f>IF('Données projet'!$A$192&gt;35,EJ42+EI43-ER42,IF(A43&lt;'Données projet'!$A$192,$EG$205^A43,IF(A43='Données projet'!$A$192,'Données projet'!$B$192,EJ42+EI43-ER42)))</f>
        <v>190.38461538461544</v>
      </c>
      <c r="EK43" s="18">
        <f>EJ43*VLOOKUP('Données projet'!$B$15,Paramètres!$A$1:$I$89,3,0)*VLOOKUP('Données projet'!$B$15,Paramètres!$A$1:$I$89,5,0)</f>
        <v>181.17000000000004</v>
      </c>
      <c r="EL43" s="14">
        <f t="shared" si="45"/>
        <v>45.58239137517684</v>
      </c>
      <c r="EM43" s="22">
        <f t="shared" si="19"/>
        <v>394.92708164509969</v>
      </c>
      <c r="EN43" s="62">
        <f t="shared" si="20"/>
        <v>651.17501067020407</v>
      </c>
      <c r="EO43" s="62">
        <f ca="1">AVERAGE(OFFSET($EN$3,0,0,'Données projet'!$E$15+1,1))-AVERAGE(OFFSET($H$3,0,0,'Données projet'!$E$15+1,1))</f>
        <v>454.78867027701426</v>
      </c>
      <c r="EP43" s="62">
        <f t="shared" si="46"/>
        <v>366.45346303927056</v>
      </c>
      <c r="EQ43" s="16">
        <f>IF(ISNA(VLOOKUP(A43,'Données projet'!$A$191:$I$211,3,0)),0,VLOOKUP(A43,'Données projet'!$A$191:$I$211,3,0))</f>
        <v>3</v>
      </c>
      <c r="ER43" s="16">
        <f>IF(ISNA(VLOOKUP(A43,'Données projet'!$A$191:$I$211,4,0)),0,VLOOKUP(A43,'Données projet'!$A$191:$I$211,4,0))</f>
        <v>37.179487179487175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0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59.885798825028473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>
        <f>VLOOKUP(A43,'Données projet'!$A$217:$I$237,2,0)</f>
        <v>228.2051282051282</v>
      </c>
      <c r="FC43" s="13">
        <f>VLOOKUP(A43,'Données projet'!$A$217:$I$237,9,0)</f>
        <v>7.9487179487179507</v>
      </c>
      <c r="FD43" s="13">
        <f t="array" ref="FD43">INDEX(FC:FC,MIN(IF(ISNUMBER(FC43:FC239),ROW(FC43:FC239),"")))</f>
        <v>7.9487179487179507</v>
      </c>
      <c r="FE43" s="13">
        <f>IF('Données projet'!$A$218&gt;35,FE42+FD43-FM42,IF(A43&lt;'Données projet'!$A$218,$FB$205^A43,IF(A43='Données projet'!$A$218,'Données projet'!$B$218,FE42+FD43-FM42)))</f>
        <v>228.20512820512829</v>
      </c>
      <c r="FF43" s="18">
        <f>FE43*VLOOKUP('Données projet'!$B$16,Paramètres!$A$1:$I$89,3,0)*VLOOKUP('Données projet'!$B$16,Paramètres!$A$1:$I$89,5,0)</f>
        <v>153.08000000000007</v>
      </c>
      <c r="FG43" s="14">
        <f t="shared" si="47"/>
        <v>39.277696538385037</v>
      </c>
      <c r="FH43" s="22">
        <f t="shared" si="22"/>
        <v>335.02298813768738</v>
      </c>
      <c r="FI43" s="62">
        <f t="shared" si="23"/>
        <v>591.27091716279176</v>
      </c>
      <c r="FJ43" s="62">
        <f ca="1">AVERAGE(OFFSET($FI$3,0,0,'Données projet'!$E$16+1,1))-AVERAGE(OFFSET($H$3,0,0,'Données projet'!$E$16+1,1))</f>
        <v>390.05579539539576</v>
      </c>
      <c r="FK43" s="62">
        <f t="shared" si="48"/>
        <v>323.72278615226139</v>
      </c>
      <c r="FL43" s="16">
        <f>IF(ISNA(VLOOKUP(A43,'Données projet'!$A$217:$I$237,3,0)),0,VLOOKUP(A43,'Données projet'!$A$217:$I$237,3,0))</f>
        <v>3</v>
      </c>
      <c r="FM43" s="16">
        <f>IF(ISNA(VLOOKUP(A43,'Données projet'!$A$217:$I$237,4,0)),0,VLOOKUP(A43,'Données projet'!$A$217:$I$237,4,0))</f>
        <v>39.743589743589745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projet'!$B$16,Paramètres!$A$1:$I$89,3,0)*0.475*44/12</f>
        <v>0</v>
      </c>
      <c r="FR43" s="23">
        <f>EXP(-LN(2)/25)*FR42+(1-EXP(-LN(2)/25))/(LN(2)/25)*Calculateur!FM43*Calculateur!FO43*VLOOKUP('Données projet'!$B$16,Paramètres!$A$1:$I$89,3,0)*0.475*44/12</f>
        <v>0</v>
      </c>
      <c r="FS43" s="23">
        <f>EXP(-LN(2)/2)*FS42+(1-EXP(-LN(2)/2))/(LN(2)/2)*FM43*FP43*VLOOKUP('Données projet'!$B$16,Paramètres!$A$1:$I$89,3,0)*0.475*44/12</f>
        <v>0</v>
      </c>
      <c r="FT43" s="24">
        <f t="shared" si="24"/>
        <v>0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59.885798825028473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>
        <f>VLOOKUP(A43,'Données projet'!$A$243:$I$263,2,0)</f>
        <v>203</v>
      </c>
      <c r="FX43" s="13">
        <f>VLOOKUP(A43,'Données projet'!$A$243:$I$263,9,0)</f>
        <v>11.2</v>
      </c>
      <c r="FY43" s="13">
        <f t="array" ref="FY43">INDEX(FX:FX,MIN(IF(ISNUMBER(FX43:FX239),ROW(FX43:FX239),"")))</f>
        <v>11.2</v>
      </c>
      <c r="FZ43" s="13">
        <f>IF('Données projet'!$A$244&gt;35,FZ42+FY43-GH42,IF(A43&lt;'Données projet'!$A$244,$FW$205^A43,IF(A43='Données projet'!$A$244,'Données projet'!$B$244,FZ42+FY43-GH42)))</f>
        <v>202.99999999999997</v>
      </c>
      <c r="GA43" s="18">
        <f>FZ43*VLOOKUP('Données projet'!$B$17,Paramètres!$A$1:$I$89,3,0)*VLOOKUP('Données projet'!$B$17,Paramètres!$A$1:$I$89,5,0)</f>
        <v>196.34159999999997</v>
      </c>
      <c r="GB43" s="14">
        <f t="shared" si="49"/>
        <v>48.939300310809159</v>
      </c>
      <c r="GC43" s="22">
        <f t="shared" si="25"/>
        <v>427.19756804132589</v>
      </c>
      <c r="GD43" s="62">
        <f t="shared" si="26"/>
        <v>683.44549706643033</v>
      </c>
      <c r="GE43" s="62">
        <f ca="1">AVERAGE(OFFSET($GD$3,0,0,'Données projet'!$E$17+1,1))-AVERAGE(OFFSET($H$3,0,0,'Données projet'!$E$17+1,1))</f>
        <v>578.44111602076555</v>
      </c>
      <c r="GF43" s="62">
        <f t="shared" si="50"/>
        <v>368.08542661432784</v>
      </c>
      <c r="GG43" s="16">
        <f>IF(ISNA(VLOOKUP(A43,'Données projet'!$A$243:$I$263,3,0)),0,VLOOKUP(A43,'Données projet'!$A$243:$I$263,3,0))</f>
        <v>3</v>
      </c>
      <c r="GH43" s="16">
        <f>IF(ISNA(VLOOKUP(A43,'Données projet'!$A$243:$I$263,4,0)),0,VLOOKUP(A43,'Données projet'!$A$243:$I$263,4,0))</f>
        <v>56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>
        <f>EXP(-LN(2)/35)*GL42+(1-EXP(-LN(2)/35))/(LN(2)/35)*GH43*GI43*VLOOKUP('Données projet'!$B$17,Paramètres!$A$1:$I$89,3,0)*0.475*44/12</f>
        <v>0</v>
      </c>
      <c r="GM43" s="23">
        <f>EXP(-LN(2)/25)*GM42+(1-EXP(-LN(2)/25))/(LN(2)/25)*Calculateur!GH43*Calculateur!GJ43*VLOOKUP('Données projet'!$B$17,Paramètres!$A$1:$I$89,3,0)*0.475*44/12</f>
        <v>0</v>
      </c>
      <c r="GN43" s="23">
        <f>EXP(-LN(2)/2)*GN42+(1-EXP(-LN(2)/2))/(LN(2)/2)*GH43*GK43*VLOOKUP('Données projet'!$B$17,Paramètres!$A$1:$I$89,3,0)*0.475*44/12</f>
        <v>0</v>
      </c>
      <c r="GO43" s="23">
        <f t="shared" si="27"/>
        <v>0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59.885798825028473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4.0735000000000001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14.936166666666667</v>
      </c>
      <c r="H44" s="70">
        <f t="shared" si="1"/>
        <v>196.922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60.061257603447913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11.4</v>
      </c>
      <c r="N44" s="14">
        <f>IF('Données projet'!$A$36&gt;35,N43+M44-V43,IF(A44&lt;'Données projet'!$A$36,$K$205^A44,IF(A44='Données projet'!$A$36,'Données projet'!$B$36,N43+M44-V43)))</f>
        <v>158.39999999999998</v>
      </c>
      <c r="O44" s="14">
        <f>N44*VLOOKUP('Données projet'!$B$9,Paramètres!$A$1:$I$89,3,0)*VLOOKUP('Données projet'!$B$9,Paramètres!$A$1:$I$89,5,0)</f>
        <v>143.32031999999998</v>
      </c>
      <c r="P44" s="14">
        <f t="shared" si="33"/>
        <v>37.056603420232349</v>
      </c>
      <c r="Q44" s="22">
        <f t="shared" si="53"/>
        <v>314.15647495690467</v>
      </c>
      <c r="R44" s="62">
        <f t="shared" si="0"/>
        <v>571.0477528362137</v>
      </c>
      <c r="S44" s="62">
        <f ca="1">AVERAGE(OFFSET($R$3,0,0,'Données projet'!$E$9+1,1))-AVERAGE(OFFSET($H$3,0,0,'Données projet'!$E$9+1,1))</f>
        <v>546.11281471711925</v>
      </c>
      <c r="T44" s="62">
        <f t="shared" si="34"/>
        <v>348.18069831447099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60.061257603447913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13.8</v>
      </c>
      <c r="AI44" s="14">
        <f>IF('Données projet'!$A$62&gt;35,AI43+AH44-AQ43,IF(A44&lt;'Données projet'!$A$62,$AF$205^A44,IF(A44='Données projet'!$A$62,'Données projet'!$B$62,AI43+AH44-AQ43)))</f>
        <v>220.8000000000001</v>
      </c>
      <c r="AJ44" s="14">
        <f>AI44*VLOOKUP('Données projet'!$B$10,Paramètres!$A$1:$I$89,3,0)*VLOOKUP('Données projet'!$B$10,Paramètres!$A$1:$I$89,5,0)</f>
        <v>189.44640000000012</v>
      </c>
      <c r="AK44" s="14">
        <f t="shared" si="35"/>
        <v>47.417538973836557</v>
      </c>
      <c r="AL44" s="22">
        <f t="shared" si="4"/>
        <v>412.53802704609888</v>
      </c>
      <c r="AM44" s="62">
        <f t="shared" si="5"/>
        <v>669.42930492540791</v>
      </c>
      <c r="AN44" s="62">
        <f ca="1">AVERAGE(OFFSET($AM$3,0,0,'Données projet'!$E$10+1,1))-AVERAGE(OFFSET($H$3,0,0,'Données projet'!$E$10+1,1))</f>
        <v>693.87994318348024</v>
      </c>
      <c r="AO44" s="62">
        <f t="shared" si="36"/>
        <v>327.71043739333641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60.061257603447913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11.4</v>
      </c>
      <c r="BD44" s="13">
        <f>IF('Données projet'!$A$88&gt;35,BD43+BC44-BL43,IF(A44&lt;'Données projet'!$A$88,$BA$205^A44,IF(A44='Données projet'!$A$88,'Données projet'!$B$88,BD43+BC44-BL43)))</f>
        <v>158.39999999999998</v>
      </c>
      <c r="BE44" s="14">
        <f>BD44*VLOOKUP('Données projet'!$B$11,Paramètres!$A$1:$I$89,3,0)*VLOOKUP('Données projet'!$B$11,Paramètres!$A$1:$I$89,5,0)</f>
        <v>133.43615999999997</v>
      </c>
      <c r="BF44" s="14">
        <f t="shared" si="37"/>
        <v>34.789145432008958</v>
      </c>
      <c r="BG44" s="22">
        <f t="shared" si="7"/>
        <v>292.99240696074884</v>
      </c>
      <c r="BH44" s="62">
        <f t="shared" si="8"/>
        <v>549.88368484005787</v>
      </c>
      <c r="BI44" s="62">
        <f ca="1">AVERAGE(OFFSET($BH$3,0,0,'Données projet'!$E$11+1,1))-AVERAGE(OFFSET($H$3,0,0,'Données projet'!$E$11+1,1))</f>
        <v>513.7388209355762</v>
      </c>
      <c r="BJ44" s="62">
        <f t="shared" si="38"/>
        <v>328.24603121433927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60.061257603447913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11.37999999999999</v>
      </c>
      <c r="BY44" s="13">
        <f>IF('Données projet'!$A$114&gt;35,BY43+BX44-CG43,IF(A44&lt;'Données projet'!$A$114,$BV$205^A44,IF(A44='Données projet'!$A$114,'Données projet'!$B$114,BY43+BX44-CG43)))</f>
        <v>234.68000000000004</v>
      </c>
      <c r="BZ44" s="14">
        <f>BY44*VLOOKUP('Données projet'!$B$12,Paramètres!$A$1:$I$89,3,0)*VLOOKUP('Données projet'!$B$12,Paramètres!$A$1:$I$89,5,0)</f>
        <v>186.71140800000003</v>
      </c>
      <c r="CA44" s="14">
        <f t="shared" si="39"/>
        <v>46.812154687868365</v>
      </c>
      <c r="CB44" s="22">
        <f t="shared" si="10"/>
        <v>406.72020501470411</v>
      </c>
      <c r="CC44" s="62">
        <f t="shared" si="11"/>
        <v>663.61148289401308</v>
      </c>
      <c r="CD44" s="62">
        <f ca="1">AVERAGE(OFFSET($CC$3,0,0,'Données projet'!$E$12+1,1))-AVERAGE(OFFSET($H$3,0,0,'Données projet'!$E$12+1,1))</f>
        <v>447.25854887589878</v>
      </c>
      <c r="CE44" s="62">
        <f t="shared" si="40"/>
        <v>480.13390593590157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60.061257603447913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11.142857142857142</v>
      </c>
      <c r="CT44" s="13">
        <f>IF('Données projet'!$A$140&gt;35,CT43+CS44-DB43,IF(A44&lt;'Données projet'!$A$140,$CQ$205^A44,IF(A44='Données projet'!$A$140,'Données projet'!$B$140,CT43+CS44-DB43)))</f>
        <v>196.57142857142853</v>
      </c>
      <c r="CU44" s="18">
        <f>CT44*VLOOKUP('Données projet'!$B$13,Paramètres!$A$1:$I$89,3,0)*VLOOKUP('Données projet'!$B$13,Paramètres!$A$1:$I$89,5,0)</f>
        <v>153.32571428571427</v>
      </c>
      <c r="CV44" s="14">
        <f t="shared" si="41"/>
        <v>39.33339883761419</v>
      </c>
      <c r="CW44" s="22">
        <f t="shared" si="13"/>
        <v>335.54795535646372</v>
      </c>
      <c r="CX44" s="62">
        <f t="shared" si="14"/>
        <v>592.43923323577269</v>
      </c>
      <c r="CY44" s="62">
        <f ca="1">AVERAGE(OFFSET($CX$3,0,0,'Données projet'!$E$13+1,1))-AVERAGE(OFFSET($H$3,0,0,'Données projet'!$E$13+1,1))</f>
        <v>308.52515801950324</v>
      </c>
      <c r="CZ44" s="62">
        <f t="shared" si="42"/>
        <v>299.05420638408953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60.061257603447913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11.37999999999999</v>
      </c>
      <c r="DO44" s="13">
        <f>IF('Données projet'!$A$166&gt;35,DO43+DN44-DW43,IF(A44&lt;'Données projet'!$A$166,$DL$205^A44,IF(A44='Données projet'!$A$166,'Données projet'!$B$166,DO43+DN44-DW43)))</f>
        <v>234.68000000000004</v>
      </c>
      <c r="DP44" s="18">
        <f>DO44*VLOOKUP('Données projet'!$B$14,Paramètres!$A$1:$I$89,3,0)*VLOOKUP('Données projet'!$B$14,Paramètres!$A$1:$I$89,5,0)</f>
        <v>172.06737600000002</v>
      </c>
      <c r="DQ44" s="14">
        <f t="shared" si="43"/>
        <v>43.552720795172242</v>
      </c>
      <c r="DR44" s="22">
        <f t="shared" si="16"/>
        <v>375.53833525159166</v>
      </c>
      <c r="DS44" s="62">
        <f t="shared" si="17"/>
        <v>632.42961313090063</v>
      </c>
      <c r="DT44" s="62">
        <f ca="1">AVERAGE(OFFSET($DS$3,0,0,'Données projet'!$E$14+1,1))-AVERAGE(OFFSET($H$3,0,0,'Données projet'!$E$14+1,1))</f>
        <v>416.72317068678774</v>
      </c>
      <c r="DU44" s="62">
        <f t="shared" si="44"/>
        <v>447.32457429495537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60.061257603447913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6.6666666666666625</v>
      </c>
      <c r="EJ44" s="13">
        <f>IF('Données projet'!$A$192&gt;35,EJ43+EI44-ER43,IF(A44&lt;'Données projet'!$A$192,$EG$205^A44,IF(A44='Données projet'!$A$192,'Données projet'!$B$192,EJ43+EI44-ER43)))</f>
        <v>159.87179487179492</v>
      </c>
      <c r="EK44" s="18">
        <f>EJ44*VLOOKUP('Données projet'!$B$15,Paramètres!$A$1:$I$89,3,0)*VLOOKUP('Données projet'!$B$15,Paramètres!$A$1:$I$89,5,0)</f>
        <v>152.13400000000004</v>
      </c>
      <c r="EL44" s="14">
        <f t="shared" si="45"/>
        <v>39.063145346110069</v>
      </c>
      <c r="EM44" s="22">
        <f t="shared" si="19"/>
        <v>333.00169481114176</v>
      </c>
      <c r="EN44" s="62">
        <f t="shared" si="20"/>
        <v>589.89297269045073</v>
      </c>
      <c r="EO44" s="62">
        <f ca="1">AVERAGE(OFFSET($EN$3,0,0,'Données projet'!$E$15+1,1))-AVERAGE(OFFSET($H$3,0,0,'Données projet'!$E$15+1,1))</f>
        <v>454.78867027701426</v>
      </c>
      <c r="EP44" s="62">
        <f t="shared" si="46"/>
        <v>366.45346303927056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0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60.061257603447913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7.5641025641025639</v>
      </c>
      <c r="FE44" s="13">
        <f>IF('Données projet'!$A$218&gt;35,FE43+FD44-FM43,IF(A44&lt;'Données projet'!$A$218,$FB$205^A44,IF(A44='Données projet'!$A$218,'Données projet'!$B$218,FE43+FD44-FM43)))</f>
        <v>196.02564102564111</v>
      </c>
      <c r="FF44" s="18">
        <f>FE44*VLOOKUP('Données projet'!$B$16,Paramètres!$A$1:$I$89,3,0)*VLOOKUP('Données projet'!$B$16,Paramètres!$A$1:$I$89,5,0)</f>
        <v>131.49400000000006</v>
      </c>
      <c r="FG44" s="14">
        <f t="shared" si="47"/>
        <v>34.341348948072792</v>
      </c>
      <c r="FH44" s="22">
        <f t="shared" si="22"/>
        <v>288.82989941789356</v>
      </c>
      <c r="FI44" s="62">
        <f t="shared" si="23"/>
        <v>545.72117729720253</v>
      </c>
      <c r="FJ44" s="62">
        <f ca="1">AVERAGE(OFFSET($FI$3,0,0,'Données projet'!$E$16+1,1))-AVERAGE(OFFSET($H$3,0,0,'Données projet'!$E$16+1,1))</f>
        <v>390.05579539539576</v>
      </c>
      <c r="FK44" s="62">
        <f t="shared" si="48"/>
        <v>323.72278615226139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projet'!$B$16,Paramètres!$A$1:$I$89,3,0)*0.475*44/12</f>
        <v>0</v>
      </c>
      <c r="FR44" s="23">
        <f>EXP(-LN(2)/25)*FR43+(1-EXP(-LN(2)/25))/(LN(2)/25)*Calculateur!FM44*Calculateur!FO44*VLOOKUP('Données projet'!$B$16,Paramètres!$A$1:$I$89,3,0)*0.475*44/12</f>
        <v>0</v>
      </c>
      <c r="FS44" s="23">
        <f>EXP(-LN(2)/2)*FS43+(1-EXP(-LN(2)/2))/(LN(2)/2)*FM44*FP44*VLOOKUP('Données projet'!$B$16,Paramètres!$A$1:$I$89,3,0)*0.475*44/12</f>
        <v>0</v>
      </c>
      <c r="FT44" s="24">
        <f t="shared" si="24"/>
        <v>0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60.061257603447913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11.4</v>
      </c>
      <c r="FZ44" s="13">
        <f>IF('Données projet'!$A$244&gt;35,FZ43+FY44-GH43,IF(A44&lt;'Données projet'!$A$244,$FW$205^A44,IF(A44='Données projet'!$A$244,'Données projet'!$B$244,FZ43+FY44-GH43)))</f>
        <v>158.39999999999998</v>
      </c>
      <c r="GA44" s="18">
        <f>FZ44*VLOOKUP('Données projet'!$B$17,Paramètres!$A$1:$I$89,3,0)*VLOOKUP('Données projet'!$B$17,Paramètres!$A$1:$I$89,5,0)</f>
        <v>153.20447999999999</v>
      </c>
      <c r="GB44" s="14">
        <f t="shared" si="49"/>
        <v>39.305916881892401</v>
      </c>
      <c r="GC44" s="22">
        <f t="shared" si="25"/>
        <v>335.28894123596257</v>
      </c>
      <c r="GD44" s="62">
        <f t="shared" si="26"/>
        <v>592.1802191152716</v>
      </c>
      <c r="GE44" s="62">
        <f ca="1">AVERAGE(OFFSET($GD$3,0,0,'Données projet'!$E$17+1,1))-AVERAGE(OFFSET($H$3,0,0,'Données projet'!$E$17+1,1))</f>
        <v>578.44111602076555</v>
      </c>
      <c r="GF44" s="62">
        <f t="shared" si="50"/>
        <v>368.08542661432784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>
        <f>EXP(-LN(2)/35)*GL43+(1-EXP(-LN(2)/35))/(LN(2)/35)*GH44*GI44*VLOOKUP('Données projet'!$B$17,Paramètres!$A$1:$I$89,3,0)*0.475*44/12</f>
        <v>0</v>
      </c>
      <c r="GM44" s="23">
        <f>EXP(-LN(2)/25)*GM43+(1-EXP(-LN(2)/25))/(LN(2)/25)*Calculateur!GH44*Calculateur!GJ44*VLOOKUP('Données projet'!$B$17,Paramètres!$A$1:$I$89,3,0)*0.475*44/12</f>
        <v>0</v>
      </c>
      <c r="GN44" s="23">
        <f>EXP(-LN(2)/2)*GN43+(1-EXP(-LN(2)/2))/(LN(2)/2)*GH44*GK44*VLOOKUP('Données projet'!$B$17,Paramètres!$A$1:$I$89,3,0)*0.475*44/12</f>
        <v>0</v>
      </c>
      <c r="GO44" s="23">
        <f t="shared" si="27"/>
        <v>0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60.061257603447913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4.0735000000000001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14.936166666666667</v>
      </c>
      <c r="H45" s="70">
        <f t="shared" si="1"/>
        <v>196.922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60.233672564328842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11.4</v>
      </c>
      <c r="N45" s="14">
        <f>IF('Données projet'!$A$36&gt;35,N44+M45-V44,IF(A45&lt;'Données projet'!$A$36,$K$205^A45,IF(A45='Données projet'!$A$36,'Données projet'!$B$36,N44+M45-V44)))</f>
        <v>169.79999999999998</v>
      </c>
      <c r="O45" s="14">
        <f>N45*VLOOKUP('Données projet'!$B$9,Paramètres!$A$1:$I$89,3,0)*VLOOKUP('Données projet'!$B$9,Paramètres!$A$1:$I$89,5,0)</f>
        <v>153.63503999999998</v>
      </c>
      <c r="P45" s="14">
        <f t="shared" si="33"/>
        <v>39.403506785222667</v>
      </c>
      <c r="Q45" s="22">
        <f t="shared" si="53"/>
        <v>336.20880231759611</v>
      </c>
      <c r="R45" s="62">
        <f t="shared" si="0"/>
        <v>593.73226838680193</v>
      </c>
      <c r="S45" s="62">
        <f ca="1">AVERAGE(OFFSET($R$3,0,0,'Données projet'!$E$9+1,1))-AVERAGE(OFFSET($H$3,0,0,'Données projet'!$E$9+1,1))</f>
        <v>546.11281471711925</v>
      </c>
      <c r="T45" s="62">
        <f t="shared" si="34"/>
        <v>348.18069831447099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60.233672564328842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13.8</v>
      </c>
      <c r="AI45" s="14">
        <f>IF('Données projet'!$A$62&gt;35,AI44+AH45-AQ44,IF(A45&lt;'Données projet'!$A$62,$AF$205^A45,IF(A45='Données projet'!$A$62,'Données projet'!$B$62,AI44+AH45-AQ44)))</f>
        <v>234.60000000000011</v>
      </c>
      <c r="AJ45" s="14">
        <f>AI45*VLOOKUP('Données projet'!$B$10,Paramètres!$A$1:$I$89,3,0)*VLOOKUP('Données projet'!$B$10,Paramètres!$A$1:$I$89,5,0)</f>
        <v>201.28680000000008</v>
      </c>
      <c r="AK45" s="14">
        <f t="shared" si="35"/>
        <v>50.026861773677666</v>
      </c>
      <c r="AL45" s="22">
        <f t="shared" si="4"/>
        <v>437.70462758915545</v>
      </c>
      <c r="AM45" s="62">
        <f t="shared" si="5"/>
        <v>695.22809365836122</v>
      </c>
      <c r="AN45" s="62">
        <f ca="1">AVERAGE(OFFSET($AM$3,0,0,'Données projet'!$E$10+1,1))-AVERAGE(OFFSET($H$3,0,0,'Données projet'!$E$10+1,1))</f>
        <v>693.87994318348024</v>
      </c>
      <c r="AO45" s="62">
        <f t="shared" si="36"/>
        <v>327.71043739333641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60.233672564328842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11.4</v>
      </c>
      <c r="BD45" s="13">
        <f>IF('Données projet'!$A$88&gt;35,BD44+BC45-BL44,IF(A45&lt;'Données projet'!$A$88,$BA$205^A45,IF(A45='Données projet'!$A$88,'Données projet'!$B$88,BD44+BC45-BL44)))</f>
        <v>169.79999999999998</v>
      </c>
      <c r="BE45" s="14">
        <f>BD45*VLOOKUP('Données projet'!$B$11,Paramètres!$A$1:$I$89,3,0)*VLOOKUP('Données projet'!$B$11,Paramètres!$A$1:$I$89,5,0)</f>
        <v>143.03951999999998</v>
      </c>
      <c r="BF45" s="14">
        <f t="shared" si="37"/>
        <v>36.992444033168404</v>
      </c>
      <c r="BG45" s="22">
        <f t="shared" si="7"/>
        <v>313.55567069110157</v>
      </c>
      <c r="BH45" s="62">
        <f t="shared" si="8"/>
        <v>571.07913676030739</v>
      </c>
      <c r="BI45" s="62">
        <f ca="1">AVERAGE(OFFSET($BH$3,0,0,'Données projet'!$E$11+1,1))-AVERAGE(OFFSET($H$3,0,0,'Données projet'!$E$11+1,1))</f>
        <v>513.7388209355762</v>
      </c>
      <c r="BJ45" s="62">
        <f t="shared" si="38"/>
        <v>328.24603121433927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60.233672564328842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11.37999999999999</v>
      </c>
      <c r="BY45" s="13">
        <f>IF('Données projet'!$A$114&gt;35,BY44+BX45-CG44,IF(A45&lt;'Données projet'!$A$114,$BV$205^A45,IF(A45='Données projet'!$A$114,'Données projet'!$B$114,BY44+BX45-CG44)))</f>
        <v>246.06000000000003</v>
      </c>
      <c r="BZ45" s="14">
        <f>BY45*VLOOKUP('Données projet'!$B$12,Paramètres!$A$1:$I$89,3,0)*VLOOKUP('Données projet'!$B$12,Paramètres!$A$1:$I$89,5,0)</f>
        <v>195.76533600000002</v>
      </c>
      <c r="CA45" s="14">
        <f t="shared" si="39"/>
        <v>48.812360780607854</v>
      </c>
      <c r="CB45" s="22">
        <f t="shared" si="10"/>
        <v>425.972821892892</v>
      </c>
      <c r="CC45" s="62">
        <f t="shared" si="11"/>
        <v>683.49628796209777</v>
      </c>
      <c r="CD45" s="62">
        <f ca="1">AVERAGE(OFFSET($CC$3,0,0,'Données projet'!$E$12+1,1))-AVERAGE(OFFSET($H$3,0,0,'Données projet'!$E$12+1,1))</f>
        <v>447.25854887589878</v>
      </c>
      <c r="CE45" s="62">
        <f t="shared" si="40"/>
        <v>480.13390593590157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60.233672564328842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11.142857142857142</v>
      </c>
      <c r="CT45" s="13">
        <f>IF('Données projet'!$A$140&gt;35,CT44+CS45-DB44,IF(A45&lt;'Données projet'!$A$140,$CQ$205^A45,IF(A45='Données projet'!$A$140,'Données projet'!$B$140,CT44+CS45-DB44)))</f>
        <v>207.71428571428567</v>
      </c>
      <c r="CU45" s="18">
        <f>CT45*VLOOKUP('Données projet'!$B$13,Paramètres!$A$1:$I$89,3,0)*VLOOKUP('Données projet'!$B$13,Paramètres!$A$1:$I$89,5,0)</f>
        <v>162.01714285714283</v>
      </c>
      <c r="CV45" s="14">
        <f t="shared" si="41"/>
        <v>41.297155335096676</v>
      </c>
      <c r="CW45" s="22">
        <f t="shared" si="13"/>
        <v>354.10573601815048</v>
      </c>
      <c r="CX45" s="62">
        <f t="shared" si="14"/>
        <v>611.62920208735625</v>
      </c>
      <c r="CY45" s="62">
        <f ca="1">AVERAGE(OFFSET($CX$3,0,0,'Données projet'!$E$13+1,1))-AVERAGE(OFFSET($H$3,0,0,'Données projet'!$E$13+1,1))</f>
        <v>308.52515801950324</v>
      </c>
      <c r="CZ45" s="62">
        <f t="shared" si="42"/>
        <v>299.05420638408953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60.233672564328842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11.37999999999999</v>
      </c>
      <c r="DO45" s="13">
        <f>IF('Données projet'!$A$166&gt;35,DO44+DN45-DW44,IF(A45&lt;'Données projet'!$A$166,$DL$205^A45,IF(A45='Données projet'!$A$166,'Données projet'!$B$166,DO44+DN45-DW44)))</f>
        <v>246.06000000000003</v>
      </c>
      <c r="DP45" s="18">
        <f>DO45*VLOOKUP('Données projet'!$B$14,Paramètres!$A$1:$I$89,3,0)*VLOOKUP('Données projet'!$B$14,Paramètres!$A$1:$I$89,5,0)</f>
        <v>180.411192</v>
      </c>
      <c r="DQ45" s="14">
        <f t="shared" si="43"/>
        <v>45.413656658320228</v>
      </c>
      <c r="DR45" s="22">
        <f t="shared" si="16"/>
        <v>393.31161141324105</v>
      </c>
      <c r="DS45" s="62">
        <f t="shared" si="17"/>
        <v>650.83507748244688</v>
      </c>
      <c r="DT45" s="62">
        <f ca="1">AVERAGE(OFFSET($DS$3,0,0,'Données projet'!$E$14+1,1))-AVERAGE(OFFSET($H$3,0,0,'Données projet'!$E$14+1,1))</f>
        <v>416.72317068678774</v>
      </c>
      <c r="DU45" s="62">
        <f t="shared" si="44"/>
        <v>447.32457429495537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60.233672564328842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6.6666666666666625</v>
      </c>
      <c r="EJ45" s="13">
        <f>IF('Données projet'!$A$192&gt;35,EJ44+EI45-ER44,IF(A45&lt;'Données projet'!$A$192,$EG$205^A45,IF(A45='Données projet'!$A$192,'Données projet'!$B$192,EJ44+EI45-ER44)))</f>
        <v>166.53846153846158</v>
      </c>
      <c r="EK45" s="18">
        <f>EJ45*VLOOKUP('Données projet'!$B$15,Paramètres!$A$1:$I$89,3,0)*VLOOKUP('Données projet'!$B$15,Paramètres!$A$1:$I$89,5,0)</f>
        <v>158.47800000000004</v>
      </c>
      <c r="EL45" s="14">
        <f t="shared" si="45"/>
        <v>40.499033326567876</v>
      </c>
      <c r="EM45" s="22">
        <f t="shared" si="19"/>
        <v>346.55166637710573</v>
      </c>
      <c r="EN45" s="62">
        <f t="shared" si="20"/>
        <v>604.0751324463115</v>
      </c>
      <c r="EO45" s="62">
        <f ca="1">AVERAGE(OFFSET($EN$3,0,0,'Données projet'!$E$15+1,1))-AVERAGE(OFFSET($H$3,0,0,'Données projet'!$E$15+1,1))</f>
        <v>454.78867027701426</v>
      </c>
      <c r="EP45" s="62">
        <f t="shared" si="46"/>
        <v>366.45346303927056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0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60.233672564328842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7.5641025641025639</v>
      </c>
      <c r="FE45" s="13">
        <f>IF('Données projet'!$A$218&gt;35,FE44+FD45-FM44,IF(A45&lt;'Données projet'!$A$218,$FB$205^A45,IF(A45='Données projet'!$A$218,'Données projet'!$B$218,FE44+FD45-FM44)))</f>
        <v>203.58974358974368</v>
      </c>
      <c r="FF45" s="18">
        <f>FE45*VLOOKUP('Données projet'!$B$16,Paramètres!$A$1:$I$89,3,0)*VLOOKUP('Données projet'!$B$16,Paramètres!$A$1:$I$89,5,0)</f>
        <v>136.56800000000007</v>
      </c>
      <c r="FG45" s="14">
        <f t="shared" si="47"/>
        <v>35.509650391805792</v>
      </c>
      <c r="FH45" s="22">
        <f t="shared" si="22"/>
        <v>299.70190776572849</v>
      </c>
      <c r="FI45" s="62">
        <f t="shared" si="23"/>
        <v>557.22537383493432</v>
      </c>
      <c r="FJ45" s="62">
        <f ca="1">AVERAGE(OFFSET($FI$3,0,0,'Données projet'!$E$16+1,1))-AVERAGE(OFFSET($H$3,0,0,'Données projet'!$E$16+1,1))</f>
        <v>390.05579539539576</v>
      </c>
      <c r="FK45" s="62">
        <f t="shared" si="48"/>
        <v>323.72278615226139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projet'!$B$16,Paramètres!$A$1:$I$89,3,0)*0.475*44/12</f>
        <v>0</v>
      </c>
      <c r="FR45" s="23">
        <f>EXP(-LN(2)/25)*FR44+(1-EXP(-LN(2)/25))/(LN(2)/25)*Calculateur!FM45*Calculateur!FO45*VLOOKUP('Données projet'!$B$16,Paramètres!$A$1:$I$89,3,0)*0.475*44/12</f>
        <v>0</v>
      </c>
      <c r="FS45" s="23">
        <f>EXP(-LN(2)/2)*FS44+(1-EXP(-LN(2)/2))/(LN(2)/2)*FM45*FP45*VLOOKUP('Données projet'!$B$16,Paramètres!$A$1:$I$89,3,0)*0.475*44/12</f>
        <v>0</v>
      </c>
      <c r="FT45" s="24">
        <f t="shared" si="24"/>
        <v>0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60.233672564328842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11.4</v>
      </c>
      <c r="FZ45" s="13">
        <f>IF('Données projet'!$A$244&gt;35,FZ44+FY45-GH44,IF(A45&lt;'Données projet'!$A$244,$FW$205^A45,IF(A45='Données projet'!$A$244,'Données projet'!$B$244,FZ44+FY45-GH44)))</f>
        <v>169.79999999999998</v>
      </c>
      <c r="GA45" s="18">
        <f>FZ45*VLOOKUP('Données projet'!$B$17,Paramètres!$A$1:$I$89,3,0)*VLOOKUP('Données projet'!$B$17,Paramètres!$A$1:$I$89,5,0)</f>
        <v>164.23055999999997</v>
      </c>
      <c r="GB45" s="14">
        <f t="shared" si="49"/>
        <v>41.795275864636515</v>
      </c>
      <c r="GC45" s="22">
        <f t="shared" si="25"/>
        <v>358.82833079757523</v>
      </c>
      <c r="GD45" s="62">
        <f t="shared" si="26"/>
        <v>616.351796866781</v>
      </c>
      <c r="GE45" s="62">
        <f ca="1">AVERAGE(OFFSET($GD$3,0,0,'Données projet'!$E$17+1,1))-AVERAGE(OFFSET($H$3,0,0,'Données projet'!$E$17+1,1))</f>
        <v>578.44111602076555</v>
      </c>
      <c r="GF45" s="62">
        <f t="shared" si="50"/>
        <v>368.08542661432784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>
        <f>EXP(-LN(2)/35)*GL44+(1-EXP(-LN(2)/35))/(LN(2)/35)*GH45*GI45*VLOOKUP('Données projet'!$B$17,Paramètres!$A$1:$I$89,3,0)*0.475*44/12</f>
        <v>0</v>
      </c>
      <c r="GM45" s="23">
        <f>EXP(-LN(2)/25)*GM44+(1-EXP(-LN(2)/25))/(LN(2)/25)*Calculateur!GH45*Calculateur!GJ45*VLOOKUP('Données projet'!$B$17,Paramètres!$A$1:$I$89,3,0)*0.475*44/12</f>
        <v>0</v>
      </c>
      <c r="GN45" s="23">
        <f>EXP(-LN(2)/2)*GN44+(1-EXP(-LN(2)/2))/(LN(2)/2)*GH45*GK45*VLOOKUP('Données projet'!$B$17,Paramètres!$A$1:$I$89,3,0)*0.475*44/12</f>
        <v>0</v>
      </c>
      <c r="GO45" s="23">
        <f t="shared" si="27"/>
        <v>0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60.233672564328842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4.0735000000000001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14.936166666666667</v>
      </c>
      <c r="H46" s="70">
        <f t="shared" si="1"/>
        <v>196.922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60.4030965111006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11.4</v>
      </c>
      <c r="N46" s="14">
        <f>IF('Données projet'!$A$36&gt;35,N45+M46-V45,IF(A46&lt;'Données projet'!$A$36,$K$205^A46,IF(A46='Données projet'!$A$36,'Données projet'!$B$36,N45+M46-V45)))</f>
        <v>181.2</v>
      </c>
      <c r="O46" s="14">
        <f>N46*VLOOKUP('Données projet'!$B$9,Paramètres!$A$1:$I$89,3,0)*VLOOKUP('Données projet'!$B$9,Paramètres!$A$1:$I$89,5,0)</f>
        <v>163.94976</v>
      </c>
      <c r="P46" s="14">
        <f t="shared" si="33"/>
        <v>41.732126457893308</v>
      </c>
      <c r="Q46" s="22">
        <f t="shared" si="53"/>
        <v>358.22928558083089</v>
      </c>
      <c r="R46" s="62">
        <f t="shared" si="0"/>
        <v>616.37397278819981</v>
      </c>
      <c r="S46" s="62">
        <f ca="1">AVERAGE(OFFSET($R$3,0,0,'Données projet'!$E$9+1,1))-AVERAGE(OFFSET($H$3,0,0,'Données projet'!$E$9+1,1))</f>
        <v>546.11281471711925</v>
      </c>
      <c r="T46" s="62">
        <f t="shared" si="34"/>
        <v>348.18069831447099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60.4030965111006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13.8</v>
      </c>
      <c r="AI46" s="14">
        <f>IF('Données projet'!$A$62&gt;35,AI45+AH46-AQ45,IF(A46&lt;'Données projet'!$A$62,$AF$205^A46,IF(A46='Données projet'!$A$62,'Données projet'!$B$62,AI45+AH46-AQ45)))</f>
        <v>248.40000000000012</v>
      </c>
      <c r="AJ46" s="14">
        <f>AI46*VLOOKUP('Données projet'!$B$10,Paramètres!$A$1:$I$89,3,0)*VLOOKUP('Données projet'!$B$10,Paramètres!$A$1:$I$89,5,0)</f>
        <v>213.12720000000016</v>
      </c>
      <c r="AK46" s="14">
        <f t="shared" si="35"/>
        <v>52.618368568459893</v>
      </c>
      <c r="AL46" s="22">
        <f t="shared" si="4"/>
        <v>462.84019859006793</v>
      </c>
      <c r="AM46" s="62">
        <f t="shared" si="5"/>
        <v>720.98488579743685</v>
      </c>
      <c r="AN46" s="62">
        <f ca="1">AVERAGE(OFFSET($AM$3,0,0,'Données projet'!$E$10+1,1))-AVERAGE(OFFSET($H$3,0,0,'Données projet'!$E$10+1,1))</f>
        <v>693.87994318348024</v>
      </c>
      <c r="AO46" s="62">
        <f t="shared" si="36"/>
        <v>327.71043739333641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60.4030965111006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11.4</v>
      </c>
      <c r="BD46" s="13">
        <f>IF('Données projet'!$A$88&gt;35,BD45+BC46-BL45,IF(A46&lt;'Données projet'!$A$88,$BA$205^A46,IF(A46='Données projet'!$A$88,'Données projet'!$B$88,BD45+BC46-BL45)))</f>
        <v>181.2</v>
      </c>
      <c r="BE46" s="14">
        <f>BD46*VLOOKUP('Données projet'!$B$11,Paramètres!$A$1:$I$89,3,0)*VLOOKUP('Données projet'!$B$11,Paramètres!$A$1:$I$89,5,0)</f>
        <v>152.64287999999999</v>
      </c>
      <c r="BF46" s="14">
        <f t="shared" si="37"/>
        <v>39.178577703588537</v>
      </c>
      <c r="BG46" s="22">
        <f t="shared" si="7"/>
        <v>334.08903883374995</v>
      </c>
      <c r="BH46" s="62">
        <f t="shared" si="8"/>
        <v>592.23372604111887</v>
      </c>
      <c r="BI46" s="62">
        <f ca="1">AVERAGE(OFFSET($BH$3,0,0,'Données projet'!$E$11+1,1))-AVERAGE(OFFSET($H$3,0,0,'Données projet'!$E$11+1,1))</f>
        <v>513.7388209355762</v>
      </c>
      <c r="BJ46" s="62">
        <f t="shared" si="38"/>
        <v>328.24603121433927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60.4030965111006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11.37999999999999</v>
      </c>
      <c r="BY46" s="13">
        <f>IF('Données projet'!$A$114&gt;35,BY45+BX46-CG45,IF(A46&lt;'Données projet'!$A$114,$BV$205^A46,IF(A46='Données projet'!$A$114,'Données projet'!$B$114,BY45+BX46-CG45)))</f>
        <v>257.44</v>
      </c>
      <c r="BZ46" s="14">
        <f>BY46*VLOOKUP('Données projet'!$B$12,Paramètres!$A$1:$I$89,3,0)*VLOOKUP('Données projet'!$B$12,Paramètres!$A$1:$I$89,5,0)</f>
        <v>204.819264</v>
      </c>
      <c r="CA46" s="14">
        <f t="shared" si="39"/>
        <v>50.801823911886949</v>
      </c>
      <c r="CB46" s="22">
        <f t="shared" si="10"/>
        <v>445.2067281132031</v>
      </c>
      <c r="CC46" s="62">
        <f t="shared" si="11"/>
        <v>703.35141532057196</v>
      </c>
      <c r="CD46" s="62">
        <f ca="1">AVERAGE(OFFSET($CC$3,0,0,'Données projet'!$E$12+1,1))-AVERAGE(OFFSET($H$3,0,0,'Données projet'!$E$12+1,1))</f>
        <v>447.25854887589878</v>
      </c>
      <c r="CE46" s="62">
        <f t="shared" si="40"/>
        <v>480.13390593590157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60.4030965111006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11.142857142857142</v>
      </c>
      <c r="CT46" s="13">
        <f>IF('Données projet'!$A$140&gt;35,CT45+CS46-DB45,IF(A46&lt;'Données projet'!$A$140,$CQ$205^A46,IF(A46='Données projet'!$A$140,'Données projet'!$B$140,CT45+CS46-DB45)))</f>
        <v>218.8571428571428</v>
      </c>
      <c r="CU46" s="18">
        <f>CT46*VLOOKUP('Données projet'!$B$13,Paramètres!$A$1:$I$89,3,0)*VLOOKUP('Données projet'!$B$13,Paramètres!$A$1:$I$89,5,0)</f>
        <v>170.70857142857139</v>
      </c>
      <c r="CV46" s="14">
        <f t="shared" si="41"/>
        <v>43.248681576985412</v>
      </c>
      <c r="CW46" s="22">
        <f t="shared" si="13"/>
        <v>372.64221565134471</v>
      </c>
      <c r="CX46" s="62">
        <f t="shared" si="14"/>
        <v>630.78690285871357</v>
      </c>
      <c r="CY46" s="62">
        <f ca="1">AVERAGE(OFFSET($CX$3,0,0,'Données projet'!$E$13+1,1))-AVERAGE(OFFSET($H$3,0,0,'Données projet'!$E$13+1,1))</f>
        <v>308.52515801950324</v>
      </c>
      <c r="CZ46" s="62">
        <f t="shared" si="42"/>
        <v>299.05420638408953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60.4030965111006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11.37999999999999</v>
      </c>
      <c r="DO46" s="13">
        <f>IF('Données projet'!$A$166&gt;35,DO45+DN46-DW45,IF(A46&lt;'Données projet'!$A$166,$DL$205^A46,IF(A46='Données projet'!$A$166,'Données projet'!$B$166,DO45+DN46-DW45)))</f>
        <v>257.44</v>
      </c>
      <c r="DP46" s="18">
        <f>DO46*VLOOKUP('Données projet'!$B$14,Paramètres!$A$1:$I$89,3,0)*VLOOKUP('Données projet'!$B$14,Paramètres!$A$1:$I$89,5,0)</f>
        <v>188.755008</v>
      </c>
      <c r="DQ46" s="14">
        <f t="shared" si="43"/>
        <v>47.264597570282653</v>
      </c>
      <c r="DR46" s="22">
        <f t="shared" si="16"/>
        <v>411.06747970157562</v>
      </c>
      <c r="DS46" s="62">
        <f t="shared" si="17"/>
        <v>669.21216690894448</v>
      </c>
      <c r="DT46" s="62">
        <f ca="1">AVERAGE(OFFSET($DS$3,0,0,'Données projet'!$E$14+1,1))-AVERAGE(OFFSET($H$3,0,0,'Données projet'!$E$14+1,1))</f>
        <v>416.72317068678774</v>
      </c>
      <c r="DU46" s="62">
        <f t="shared" si="44"/>
        <v>447.32457429495537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60.4030965111006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6.6666666666666625</v>
      </c>
      <c r="EJ46" s="13">
        <f>IF('Données projet'!$A$192&gt;35,EJ45+EI46-ER45,IF(A46&lt;'Données projet'!$A$192,$EG$205^A46,IF(A46='Données projet'!$A$192,'Données projet'!$B$192,EJ45+EI46-ER45)))</f>
        <v>173.20512820512823</v>
      </c>
      <c r="EK46" s="18">
        <f>EJ46*VLOOKUP('Données projet'!$B$15,Paramètres!$A$1:$I$89,3,0)*VLOOKUP('Données projet'!$B$15,Paramètres!$A$1:$I$89,5,0)</f>
        <v>164.82200000000003</v>
      </c>
      <c r="EL46" s="14">
        <f t="shared" si="45"/>
        <v>41.928244346171937</v>
      </c>
      <c r="EM46" s="22">
        <f t="shared" si="19"/>
        <v>360.09000890291617</v>
      </c>
      <c r="EN46" s="62">
        <f t="shared" si="20"/>
        <v>618.23469611028509</v>
      </c>
      <c r="EO46" s="62">
        <f ca="1">AVERAGE(OFFSET($EN$3,0,0,'Données projet'!$E$15+1,1))-AVERAGE(OFFSET($H$3,0,0,'Données projet'!$E$15+1,1))</f>
        <v>454.78867027701426</v>
      </c>
      <c r="EP46" s="62">
        <f t="shared" si="46"/>
        <v>366.45346303927056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0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60.4030965111006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7.5641025641025639</v>
      </c>
      <c r="FE46" s="13">
        <f>IF('Données projet'!$A$218&gt;35,FE45+FD46-FM45,IF(A46&lt;'Données projet'!$A$218,$FB$205^A46,IF(A46='Données projet'!$A$218,'Données projet'!$B$218,FE45+FD46-FM45)))</f>
        <v>211.15384615384625</v>
      </c>
      <c r="FF46" s="18">
        <f>FE46*VLOOKUP('Données projet'!$B$16,Paramètres!$A$1:$I$89,3,0)*VLOOKUP('Données projet'!$B$16,Paramètres!$A$1:$I$89,5,0)</f>
        <v>141.64200000000005</v>
      </c>
      <c r="FG46" s="14">
        <f t="shared" si="47"/>
        <v>36.672908983761502</v>
      </c>
      <c r="FH46" s="22">
        <f t="shared" si="22"/>
        <v>310.56513314671798</v>
      </c>
      <c r="FI46" s="62">
        <f t="shared" si="23"/>
        <v>568.70982035408679</v>
      </c>
      <c r="FJ46" s="62">
        <f ca="1">AVERAGE(OFFSET($FI$3,0,0,'Données projet'!$E$16+1,1))-AVERAGE(OFFSET($H$3,0,0,'Données projet'!$E$16+1,1))</f>
        <v>390.05579539539576</v>
      </c>
      <c r="FK46" s="62">
        <f t="shared" si="48"/>
        <v>323.72278615226139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projet'!$B$16,Paramètres!$A$1:$I$89,3,0)*0.475*44/12</f>
        <v>0</v>
      </c>
      <c r="FR46" s="23">
        <f>EXP(-LN(2)/25)*FR45+(1-EXP(-LN(2)/25))/(LN(2)/25)*Calculateur!FM46*Calculateur!FO46*VLOOKUP('Données projet'!$B$16,Paramètres!$A$1:$I$89,3,0)*0.475*44/12</f>
        <v>0</v>
      </c>
      <c r="FS46" s="23">
        <f>EXP(-LN(2)/2)*FS45+(1-EXP(-LN(2)/2))/(LN(2)/2)*FM46*FP46*VLOOKUP('Données projet'!$B$16,Paramètres!$A$1:$I$89,3,0)*0.475*44/12</f>
        <v>0</v>
      </c>
      <c r="FT46" s="24">
        <f t="shared" si="24"/>
        <v>0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60.4030965111006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11.4</v>
      </c>
      <c r="FZ46" s="13">
        <f>IF('Données projet'!$A$244&gt;35,FZ45+FY46-GH45,IF(A46&lt;'Données projet'!$A$244,$FW$205^A46,IF(A46='Données projet'!$A$244,'Données projet'!$B$244,FZ45+FY46-GH45)))</f>
        <v>181.2</v>
      </c>
      <c r="GA46" s="18">
        <f>FZ46*VLOOKUP('Données projet'!$B$17,Paramètres!$A$1:$I$89,3,0)*VLOOKUP('Données projet'!$B$17,Paramètres!$A$1:$I$89,5,0)</f>
        <v>175.25664</v>
      </c>
      <c r="GB46" s="14">
        <f t="shared" si="49"/>
        <v>44.265241345972555</v>
      </c>
      <c r="GC46" s="22">
        <f t="shared" si="25"/>
        <v>382.33394334423548</v>
      </c>
      <c r="GD46" s="62">
        <f t="shared" si="26"/>
        <v>640.47863055160428</v>
      </c>
      <c r="GE46" s="62">
        <f ca="1">AVERAGE(OFFSET($GD$3,0,0,'Données projet'!$E$17+1,1))-AVERAGE(OFFSET($H$3,0,0,'Données projet'!$E$17+1,1))</f>
        <v>578.44111602076555</v>
      </c>
      <c r="GF46" s="62">
        <f t="shared" si="50"/>
        <v>368.08542661432784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>
        <f>EXP(-LN(2)/35)*GL45+(1-EXP(-LN(2)/35))/(LN(2)/35)*GH46*GI46*VLOOKUP('Données projet'!$B$17,Paramètres!$A$1:$I$89,3,0)*0.475*44/12</f>
        <v>0</v>
      </c>
      <c r="GM46" s="23">
        <f>EXP(-LN(2)/25)*GM45+(1-EXP(-LN(2)/25))/(LN(2)/25)*Calculateur!GH46*Calculateur!GJ46*VLOOKUP('Données projet'!$B$17,Paramètres!$A$1:$I$89,3,0)*0.475*44/12</f>
        <v>0</v>
      </c>
      <c r="GN46" s="23">
        <f>EXP(-LN(2)/2)*GN45+(1-EXP(-LN(2)/2))/(LN(2)/2)*GH46*GK46*VLOOKUP('Données projet'!$B$17,Paramètres!$A$1:$I$89,3,0)*0.475*44/12</f>
        <v>0</v>
      </c>
      <c r="GO46" s="23">
        <f t="shared" si="27"/>
        <v>0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60.4030965111006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4.0735000000000001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14.936166666666667</v>
      </c>
      <c r="H47" s="70">
        <f t="shared" si="1"/>
        <v>196.922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60.569581331171065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11.4</v>
      </c>
      <c r="N47" s="14">
        <f>IF('Données projet'!$A$36&gt;35,N46+M47-V46,IF(A47&lt;'Données projet'!$A$36,$K$205^A47,IF(A47='Données projet'!$A$36,'Données projet'!$B$36,N46+M47-V46)))</f>
        <v>192.6</v>
      </c>
      <c r="O47" s="14">
        <f>N47*VLOOKUP('Données projet'!$B$9,Paramètres!$A$1:$I$89,3,0)*VLOOKUP('Données projet'!$B$9,Paramètres!$A$1:$I$89,5,0)</f>
        <v>174.26447999999999</v>
      </c>
      <c r="P47" s="14">
        <f t="shared" si="33"/>
        <v>44.043743683739521</v>
      </c>
      <c r="Q47" s="22">
        <f t="shared" si="53"/>
        <v>380.22015624917964</v>
      </c>
      <c r="R47" s="62">
        <f t="shared" si="0"/>
        <v>638.97528779680692</v>
      </c>
      <c r="S47" s="62">
        <f ca="1">AVERAGE(OFFSET($R$3,0,0,'Données projet'!$E$9+1,1))-AVERAGE(OFFSET($H$3,0,0,'Données projet'!$E$9+1,1))</f>
        <v>546.11281471711925</v>
      </c>
      <c r="T47" s="62">
        <f t="shared" si="34"/>
        <v>348.18069831447099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60.569581331171065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13.8</v>
      </c>
      <c r="AI47" s="14">
        <f>IF('Données projet'!$A$62&gt;35,AI46+AH47-AQ46,IF(A47&lt;'Données projet'!$A$62,$AF$205^A47,IF(A47='Données projet'!$A$62,'Données projet'!$B$62,AI46+AH47-AQ46)))</f>
        <v>262.2000000000001</v>
      </c>
      <c r="AJ47" s="14">
        <f>AI47*VLOOKUP('Données projet'!$B$10,Paramètres!$A$1:$I$89,3,0)*VLOOKUP('Données projet'!$B$10,Paramètres!$A$1:$I$89,5,0)</f>
        <v>224.96760000000012</v>
      </c>
      <c r="AK47" s="14">
        <f t="shared" si="35"/>
        <v>55.193161946335238</v>
      </c>
      <c r="AL47" s="22">
        <f t="shared" si="4"/>
        <v>487.94666038986742</v>
      </c>
      <c r="AM47" s="62">
        <f t="shared" si="5"/>
        <v>746.70179193749459</v>
      </c>
      <c r="AN47" s="62">
        <f ca="1">AVERAGE(OFFSET($AM$3,0,0,'Données projet'!$E$10+1,1))-AVERAGE(OFFSET($H$3,0,0,'Données projet'!$E$10+1,1))</f>
        <v>693.87994318348024</v>
      </c>
      <c r="AO47" s="62">
        <f t="shared" si="36"/>
        <v>327.71043739333641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60.569581331171065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11.4</v>
      </c>
      <c r="BD47" s="13">
        <f>IF('Données projet'!$A$88&gt;35,BD46+BC47-BL46,IF(A47&lt;'Données projet'!$A$88,$BA$205^A47,IF(A47='Données projet'!$A$88,'Données projet'!$B$88,BD46+BC47-BL46)))</f>
        <v>192.6</v>
      </c>
      <c r="BE47" s="14">
        <f>BD47*VLOOKUP('Données projet'!$B$11,Paramètres!$A$1:$I$89,3,0)*VLOOKUP('Données projet'!$B$11,Paramètres!$A$1:$I$89,5,0)</f>
        <v>162.24624</v>
      </c>
      <c r="BF47" s="14">
        <f t="shared" si="37"/>
        <v>41.348749290582795</v>
      </c>
      <c r="BG47" s="22">
        <f t="shared" si="7"/>
        <v>354.59460634776497</v>
      </c>
      <c r="BH47" s="62">
        <f t="shared" si="8"/>
        <v>613.3497378953922</v>
      </c>
      <c r="BI47" s="62">
        <f ca="1">AVERAGE(OFFSET($BH$3,0,0,'Données projet'!$E$11+1,1))-AVERAGE(OFFSET($H$3,0,0,'Données projet'!$E$11+1,1))</f>
        <v>513.7388209355762</v>
      </c>
      <c r="BJ47" s="62">
        <f t="shared" si="38"/>
        <v>328.24603121433927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60.569581331171065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11.37999999999999</v>
      </c>
      <c r="BY47" s="13">
        <f>IF('Données projet'!$A$114&gt;35,BY46+BX47-CG46,IF(A47&lt;'Données projet'!$A$114,$BV$205^A47,IF(A47='Données projet'!$A$114,'Données projet'!$B$114,BY46+BX47-CG46)))</f>
        <v>268.82</v>
      </c>
      <c r="BZ47" s="14">
        <f>BY47*VLOOKUP('Données projet'!$B$12,Paramètres!$A$1:$I$89,3,0)*VLOOKUP('Données projet'!$B$12,Paramètres!$A$1:$I$89,5,0)</f>
        <v>213.87319199999999</v>
      </c>
      <c r="CA47" s="14">
        <f t="shared" si="39"/>
        <v>52.781073235828195</v>
      </c>
      <c r="CB47" s="22">
        <f t="shared" si="10"/>
        <v>464.42284528573401</v>
      </c>
      <c r="CC47" s="62">
        <f t="shared" si="11"/>
        <v>723.1779768333613</v>
      </c>
      <c r="CD47" s="62">
        <f ca="1">AVERAGE(OFFSET($CC$3,0,0,'Données projet'!$E$12+1,1))-AVERAGE(OFFSET($H$3,0,0,'Données projet'!$E$12+1,1))</f>
        <v>447.25854887589878</v>
      </c>
      <c r="CE47" s="62">
        <f t="shared" si="40"/>
        <v>480.13390593590157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60.569581331171065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>
        <f>VLOOKUP(A47,'Données projet'!$A$139:$I$159,2,0)</f>
        <v>230</v>
      </c>
      <c r="CR47" s="13">
        <f>VLOOKUP(A47,'Données projet'!$A$139:$I$159,9,0)</f>
        <v>11.142857142857142</v>
      </c>
      <c r="CS47" s="13">
        <f t="array" ref="CS47">INDEX(CR:CR,MIN(IF(ISNUMBER(CR47:CR243),ROW(CR47:CR243),"")))</f>
        <v>11.142857142857142</v>
      </c>
      <c r="CT47" s="13">
        <f>IF('Données projet'!$A$140&gt;35,CT46+CS47-DB46,IF(A47&lt;'Données projet'!$A$140,$CQ$205^A47,IF(A47='Données projet'!$A$140,'Données projet'!$B$140,CT46+CS47-DB46)))</f>
        <v>229.99999999999994</v>
      </c>
      <c r="CU47" s="18">
        <f>CT47*VLOOKUP('Données projet'!$B$13,Paramètres!$A$1:$I$89,3,0)*VLOOKUP('Données projet'!$B$13,Paramètres!$A$1:$I$89,5,0)</f>
        <v>179.39999999999995</v>
      </c>
      <c r="CV47" s="14">
        <f t="shared" si="41"/>
        <v>45.188671291872232</v>
      </c>
      <c r="CW47" s="22">
        <f t="shared" si="13"/>
        <v>391.15860250001066</v>
      </c>
      <c r="CX47" s="62">
        <f t="shared" si="14"/>
        <v>649.91373404763794</v>
      </c>
      <c r="CY47" s="62">
        <f ca="1">AVERAGE(OFFSET($CX$3,0,0,'Données projet'!$E$13+1,1))-AVERAGE(OFFSET($H$3,0,0,'Données projet'!$E$13+1,1))</f>
        <v>308.52515801950324</v>
      </c>
      <c r="CZ47" s="62">
        <f t="shared" si="42"/>
        <v>299.05420638408953</v>
      </c>
      <c r="DA47" s="16">
        <f>IF(ISNA(VLOOKUP(A47,'Données projet'!$A$139:$I$159,3,0)),0,VLOOKUP(A47,'Données projet'!$A$139:$I$159,3,0))</f>
        <v>5</v>
      </c>
      <c r="DB47" s="16">
        <f>IF(ISNA(VLOOKUP(A47,'Données projet'!$A$139:$I$159,4,0)),0,VLOOKUP(A47,'Données projet'!$A$139:$I$159,4,0))</f>
        <v>43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60.569581331171065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11.37999999999999</v>
      </c>
      <c r="DO47" s="13">
        <f>IF('Données projet'!$A$166&gt;35,DO46+DN47-DW46,IF(A47&lt;'Données projet'!$A$166,$DL$205^A47,IF(A47='Données projet'!$A$166,'Données projet'!$B$166,DO46+DN47-DW46)))</f>
        <v>268.82</v>
      </c>
      <c r="DP47" s="18">
        <f>DO47*VLOOKUP('Données projet'!$B$14,Paramètres!$A$1:$I$89,3,0)*VLOOKUP('Données projet'!$B$14,Paramètres!$A$1:$I$89,5,0)</f>
        <v>197.09882399999998</v>
      </c>
      <c r="DQ47" s="14">
        <f t="shared" si="43"/>
        <v>49.106035841270518</v>
      </c>
      <c r="DR47" s="22">
        <f t="shared" si="16"/>
        <v>428.80679755687942</v>
      </c>
      <c r="DS47" s="62">
        <f t="shared" si="17"/>
        <v>687.56192910450659</v>
      </c>
      <c r="DT47" s="62">
        <f ca="1">AVERAGE(OFFSET($DS$3,0,0,'Données projet'!$E$14+1,1))-AVERAGE(OFFSET($H$3,0,0,'Données projet'!$E$14+1,1))</f>
        <v>416.72317068678774</v>
      </c>
      <c r="DU47" s="62">
        <f t="shared" si="44"/>
        <v>447.32457429495537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60.569581331171065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6.6666666666666625</v>
      </c>
      <c r="EJ47" s="13">
        <f>IF('Données projet'!$A$192&gt;35,EJ46+EI47-ER46,IF(A47&lt;'Données projet'!$A$192,$EG$205^A47,IF(A47='Données projet'!$A$192,'Données projet'!$B$192,EJ46+EI47-ER46)))</f>
        <v>179.87179487179489</v>
      </c>
      <c r="EK47" s="18">
        <f>EJ47*VLOOKUP('Données projet'!$B$15,Paramètres!$A$1:$I$89,3,0)*VLOOKUP('Données projet'!$B$15,Paramètres!$A$1:$I$89,5,0)</f>
        <v>171.16600000000003</v>
      </c>
      <c r="EL47" s="14">
        <f t="shared" si="45"/>
        <v>43.351064817812841</v>
      </c>
      <c r="EM47" s="22">
        <f t="shared" si="19"/>
        <v>373.61722122435737</v>
      </c>
      <c r="EN47" s="62">
        <f t="shared" si="20"/>
        <v>632.37235277198465</v>
      </c>
      <c r="EO47" s="62">
        <f ca="1">AVERAGE(OFFSET($EN$3,0,0,'Données projet'!$E$15+1,1))-AVERAGE(OFFSET($H$3,0,0,'Données projet'!$E$15+1,1))</f>
        <v>454.78867027701426</v>
      </c>
      <c r="EP47" s="62">
        <f t="shared" si="46"/>
        <v>366.45346303927056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0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60.569581331171065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7.5641025641025639</v>
      </c>
      <c r="FE47" s="13">
        <f>IF('Données projet'!$A$218&gt;35,FE46+FD47-FM46,IF(A47&lt;'Données projet'!$A$218,$FB$205^A47,IF(A47='Données projet'!$A$218,'Données projet'!$B$218,FE46+FD47-FM46)))</f>
        <v>218.71794871794881</v>
      </c>
      <c r="FF47" s="18">
        <f>FE47*VLOOKUP('Données projet'!$B$16,Paramètres!$A$1:$I$89,3,0)*VLOOKUP('Données projet'!$B$16,Paramètres!$A$1:$I$89,5,0)</f>
        <v>146.71600000000007</v>
      </c>
      <c r="FG47" s="14">
        <f t="shared" si="47"/>
        <v>37.831326067731702</v>
      </c>
      <c r="FH47" s="22">
        <f t="shared" si="22"/>
        <v>321.41992623463284</v>
      </c>
      <c r="FI47" s="62">
        <f t="shared" si="23"/>
        <v>580.17505778226007</v>
      </c>
      <c r="FJ47" s="62">
        <f ca="1">AVERAGE(OFFSET($FI$3,0,0,'Données projet'!$E$16+1,1))-AVERAGE(OFFSET($H$3,0,0,'Données projet'!$E$16+1,1))</f>
        <v>390.05579539539576</v>
      </c>
      <c r="FK47" s="62">
        <f t="shared" si="48"/>
        <v>323.72278615226139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projet'!$B$16,Paramètres!$A$1:$I$89,3,0)*0.475*44/12</f>
        <v>0</v>
      </c>
      <c r="FR47" s="23">
        <f>EXP(-LN(2)/25)*FR46+(1-EXP(-LN(2)/25))/(LN(2)/25)*Calculateur!FM47*Calculateur!FO47*VLOOKUP('Données projet'!$B$16,Paramètres!$A$1:$I$89,3,0)*0.475*44/12</f>
        <v>0</v>
      </c>
      <c r="FS47" s="23">
        <f>EXP(-LN(2)/2)*FS46+(1-EXP(-LN(2)/2))/(LN(2)/2)*FM47*FP47*VLOOKUP('Données projet'!$B$16,Paramètres!$A$1:$I$89,3,0)*0.475*44/12</f>
        <v>0</v>
      </c>
      <c r="FT47" s="24">
        <f t="shared" si="24"/>
        <v>0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60.569581331171065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11.4</v>
      </c>
      <c r="FZ47" s="13">
        <f>IF('Données projet'!$A$244&gt;35,FZ46+FY47-GH46,IF(A47&lt;'Données projet'!$A$244,$FW$205^A47,IF(A47='Données projet'!$A$244,'Données projet'!$B$244,FZ46+FY47-GH46)))</f>
        <v>192.6</v>
      </c>
      <c r="GA47" s="18">
        <f>FZ47*VLOOKUP('Données projet'!$B$17,Paramètres!$A$1:$I$89,3,0)*VLOOKUP('Données projet'!$B$17,Paramètres!$A$1:$I$89,5,0)</f>
        <v>186.28271999999998</v>
      </c>
      <c r="GB47" s="14">
        <f t="shared" si="49"/>
        <v>46.717172342223918</v>
      </c>
      <c r="GC47" s="22">
        <f t="shared" si="25"/>
        <v>405.80814582937325</v>
      </c>
      <c r="GD47" s="62">
        <f t="shared" si="26"/>
        <v>664.56327737700053</v>
      </c>
      <c r="GE47" s="62">
        <f ca="1">AVERAGE(OFFSET($GD$3,0,0,'Données projet'!$E$17+1,1))-AVERAGE(OFFSET($H$3,0,0,'Données projet'!$E$17+1,1))</f>
        <v>578.44111602076555</v>
      </c>
      <c r="GF47" s="62">
        <f t="shared" si="50"/>
        <v>368.08542661432784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>
        <f>EXP(-LN(2)/35)*GL46+(1-EXP(-LN(2)/35))/(LN(2)/35)*GH47*GI47*VLOOKUP('Données projet'!$B$17,Paramètres!$A$1:$I$89,3,0)*0.475*44/12</f>
        <v>0</v>
      </c>
      <c r="GM47" s="23">
        <f>EXP(-LN(2)/25)*GM46+(1-EXP(-LN(2)/25))/(LN(2)/25)*Calculateur!GH47*Calculateur!GJ47*VLOOKUP('Données projet'!$B$17,Paramètres!$A$1:$I$89,3,0)*0.475*44/12</f>
        <v>0</v>
      </c>
      <c r="GN47" s="23">
        <f>EXP(-LN(2)/2)*GN46+(1-EXP(-LN(2)/2))/(LN(2)/2)*GH47*GK47*VLOOKUP('Données projet'!$B$17,Paramètres!$A$1:$I$89,3,0)*0.475*44/12</f>
        <v>0</v>
      </c>
      <c r="GO47" s="23">
        <f t="shared" si="27"/>
        <v>0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60.569581331171065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4.0735000000000001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14.936166666666667</v>
      </c>
      <c r="H48" s="70">
        <f t="shared" si="1"/>
        <v>196.922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60.7331780118176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204</v>
      </c>
      <c r="L48" s="13">
        <f>VLOOKUP(A48,'Données projet'!$A$35:$I$55,9,0)</f>
        <v>11.4</v>
      </c>
      <c r="M48" s="13">
        <f t="array" ref="M48">INDEX(L:L,MIN(IF(ISNUMBER(L48:L244),ROW(L48:L244),"")))</f>
        <v>11.4</v>
      </c>
      <c r="N48" s="14">
        <f>IF('Données projet'!$A$36&gt;35,N47+M48-V47,IF(A48&lt;'Données projet'!$A$36,$K$205^A48,IF(A48='Données projet'!$A$36,'Données projet'!$B$36,N47+M48-V47)))</f>
        <v>204</v>
      </c>
      <c r="O48" s="14">
        <f>N48*VLOOKUP('Données projet'!$B$9,Paramètres!$A$1:$I$89,3,0)*VLOOKUP('Données projet'!$B$9,Paramètres!$A$1:$I$89,5,0)</f>
        <v>184.57919999999999</v>
      </c>
      <c r="P48" s="14">
        <f t="shared" si="33"/>
        <v>46.339479465836618</v>
      </c>
      <c r="Q48" s="22">
        <f t="shared" si="53"/>
        <v>402.18336673633206</v>
      </c>
      <c r="R48" s="62">
        <f t="shared" si="0"/>
        <v>661.53835277966323</v>
      </c>
      <c r="S48" s="62">
        <f ca="1">AVERAGE(OFFSET($R$3,0,0,'Données projet'!$E$9+1,1))-AVERAGE(OFFSET($H$3,0,0,'Données projet'!$E$9+1,1))</f>
        <v>546.11281471711925</v>
      </c>
      <c r="T48" s="62">
        <f t="shared" si="34"/>
        <v>348.18069831447099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60.7331780118176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276</v>
      </c>
      <c r="AG48" s="13">
        <f>VLOOKUP(A48,'Données projet'!$A$61:$I$81,9,0)</f>
        <v>13.8</v>
      </c>
      <c r="AH48" s="13">
        <f t="array" ref="AH48">INDEX(AG:AG,MIN(IF(ISNUMBER(AG48:AG244),ROW(AG48:AG244),"")))</f>
        <v>13.8</v>
      </c>
      <c r="AI48" s="14">
        <f>IF('Données projet'!$A$62&gt;35,AI47+AH48-AQ47,IF(A48&lt;'Données projet'!$A$62,$AF$205^A48,IF(A48='Données projet'!$A$62,'Données projet'!$B$62,AI47+AH48-AQ47)))</f>
        <v>276.00000000000011</v>
      </c>
      <c r="AJ48" s="14">
        <f>AI48*VLOOKUP('Données projet'!$B$10,Paramètres!$A$1:$I$89,3,0)*VLOOKUP('Données projet'!$B$10,Paramètres!$A$1:$I$89,5,0)</f>
        <v>236.80800000000011</v>
      </c>
      <c r="AK48" s="14">
        <f t="shared" si="35"/>
        <v>57.752221878398764</v>
      </c>
      <c r="AL48" s="22">
        <f t="shared" si="4"/>
        <v>513.02571977154469</v>
      </c>
      <c r="AM48" s="62">
        <f t="shared" si="5"/>
        <v>772.38070581487591</v>
      </c>
      <c r="AN48" s="62">
        <f ca="1">AVERAGE(OFFSET($AM$3,0,0,'Données projet'!$E$10+1,1))-AVERAGE(OFFSET($H$3,0,0,'Données projet'!$E$10+1,1))</f>
        <v>693.87994318348024</v>
      </c>
      <c r="AO48" s="62">
        <f t="shared" si="36"/>
        <v>327.71043739333641</v>
      </c>
      <c r="AP48" s="16">
        <f>IF(ISNA(VLOOKUP(A48,'Données projet'!$A$61:$I$81,3,0)),0,VLOOKUP(A48,'Données projet'!$A$61:$I$81,3,0))</f>
        <v>3</v>
      </c>
      <c r="AQ48" s="16">
        <f>IF(ISNA(VLOOKUP(A48,'Données projet'!$A$61:$I$81,4,0)),0,VLOOKUP(A48,'Données projet'!$A$61:$I$81,4,0))</f>
        <v>70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60.7331780118176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204</v>
      </c>
      <c r="BB48" s="13">
        <f>VLOOKUP(A48,'Données projet'!$A$87:$I$107,9,0)</f>
        <v>11.4</v>
      </c>
      <c r="BC48" s="13">
        <f t="array" ref="BC48">INDEX(BB:BB,MIN(IF(ISNUMBER(BB48:BB244),ROW(BB48:BB244),"")))</f>
        <v>11.4</v>
      </c>
      <c r="BD48" s="13">
        <f>IF('Données projet'!$A$88&gt;35,BD47+BC48-BL47,IF(A48&lt;'Données projet'!$A$88,$BA$205^A48,IF(A48='Données projet'!$A$88,'Données projet'!$B$88,BD47+BC48-BL47)))</f>
        <v>204</v>
      </c>
      <c r="BE48" s="14">
        <f>BD48*VLOOKUP('Données projet'!$B$11,Paramètres!$A$1:$I$89,3,0)*VLOOKUP('Données projet'!$B$11,Paramètres!$A$1:$I$89,5,0)</f>
        <v>171.84960000000001</v>
      </c>
      <c r="BF48" s="14">
        <f t="shared" si="37"/>
        <v>43.50401120412441</v>
      </c>
      <c r="BG48" s="22">
        <f t="shared" si="7"/>
        <v>375.07420618051674</v>
      </c>
      <c r="BH48" s="62">
        <f t="shared" si="8"/>
        <v>634.42919222384785</v>
      </c>
      <c r="BI48" s="62">
        <f ca="1">AVERAGE(OFFSET($BH$3,0,0,'Données projet'!$E$11+1,1))-AVERAGE(OFFSET($H$3,0,0,'Données projet'!$E$11+1,1))</f>
        <v>513.7388209355762</v>
      </c>
      <c r="BJ48" s="62">
        <f t="shared" si="38"/>
        <v>328.24603121433927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60.7331780118176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280.2</v>
      </c>
      <c r="BW48" s="13">
        <f>VLOOKUP(A48,'Données projet'!$A$113:$I$133,9,0)</f>
        <v>11.37999999999999</v>
      </c>
      <c r="BX48" s="13">
        <f t="array" ref="BX48">INDEX(BW:BW,MIN(IF(ISNUMBER(BW48:BW244),ROW(BW48:BW244),"")))</f>
        <v>11.37999999999999</v>
      </c>
      <c r="BY48" s="13">
        <f>IF('Données projet'!$A$114&gt;35,BY47+BX48-CG47,IF(A48&lt;'Données projet'!$A$114,$BV$205^A48,IF(A48='Données projet'!$A$114,'Données projet'!$B$114,BY47+BX48-CG47)))</f>
        <v>280.2</v>
      </c>
      <c r="BZ48" s="14">
        <f>BY48*VLOOKUP('Données projet'!$B$12,Paramètres!$A$1:$I$89,3,0)*VLOOKUP('Données projet'!$B$12,Paramètres!$A$1:$I$89,5,0)</f>
        <v>222.92711999999997</v>
      </c>
      <c r="CA48" s="14">
        <f t="shared" si="39"/>
        <v>54.750590570780574</v>
      </c>
      <c r="CB48" s="22">
        <f t="shared" si="10"/>
        <v>483.62201257744277</v>
      </c>
      <c r="CC48" s="62">
        <f t="shared" si="11"/>
        <v>742.97699862077388</v>
      </c>
      <c r="CD48" s="62">
        <f ca="1">AVERAGE(OFFSET($CC$3,0,0,'Données projet'!$E$12+1,1))-AVERAGE(OFFSET($H$3,0,0,'Données projet'!$E$12+1,1))</f>
        <v>447.25854887589878</v>
      </c>
      <c r="CE48" s="62">
        <f t="shared" si="40"/>
        <v>480.13390593590157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60.7331780118176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10.375</v>
      </c>
      <c r="CT48" s="13">
        <f>IF('Données projet'!$A$140&gt;35,CT47+CS48-DB47,IF(A48&lt;'Données projet'!$A$140,$CQ$205^A48,IF(A48='Données projet'!$A$140,'Données projet'!$B$140,CT47+CS48-DB47)))</f>
        <v>197.37499999999994</v>
      </c>
      <c r="CU48" s="18">
        <f>CT48*VLOOKUP('Données projet'!$B$13,Paramètres!$A$1:$I$89,3,0)*VLOOKUP('Données projet'!$B$13,Paramètres!$A$1:$I$89,5,0)</f>
        <v>153.95249999999996</v>
      </c>
      <c r="CV48" s="14">
        <f t="shared" si="41"/>
        <v>39.475441267837397</v>
      </c>
      <c r="CW48" s="22">
        <f t="shared" si="13"/>
        <v>336.88699770815003</v>
      </c>
      <c r="CX48" s="62">
        <f t="shared" si="14"/>
        <v>596.24198375148126</v>
      </c>
      <c r="CY48" s="62">
        <f ca="1">AVERAGE(OFFSET($CX$3,0,0,'Données projet'!$E$13+1,1))-AVERAGE(OFFSET($H$3,0,0,'Données projet'!$E$13+1,1))</f>
        <v>308.52515801950324</v>
      </c>
      <c r="CZ48" s="62">
        <f t="shared" si="42"/>
        <v>299.05420638408953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60.7331780118176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280.2</v>
      </c>
      <c r="DM48" s="13">
        <f>VLOOKUP(A48,'Données projet'!$A$165:$I$185,9,0)</f>
        <v>11.37999999999999</v>
      </c>
      <c r="DN48" s="13">
        <f t="array" ref="DN48">INDEX(DM:DM,MIN(IF(ISNUMBER(DM48:DM244),ROW(DM48:DM244),"")))</f>
        <v>11.37999999999999</v>
      </c>
      <c r="DO48" s="13">
        <f>IF('Données projet'!$A$166&gt;35,DO47+DN48-DW47,IF(A48&lt;'Données projet'!$A$166,$DL$205^A48,IF(A48='Données projet'!$A$166,'Données projet'!$B$166,DO47+DN48-DW47)))</f>
        <v>280.2</v>
      </c>
      <c r="DP48" s="18">
        <f>DO48*VLOOKUP('Données projet'!$B$14,Paramètres!$A$1:$I$89,3,0)*VLOOKUP('Données projet'!$B$14,Paramètres!$A$1:$I$89,5,0)</f>
        <v>205.44263999999998</v>
      </c>
      <c r="DQ48" s="14">
        <f t="shared" si="43"/>
        <v>50.938419741613956</v>
      </c>
      <c r="DR48" s="22">
        <f t="shared" si="16"/>
        <v>446.53034571664426</v>
      </c>
      <c r="DS48" s="62">
        <f t="shared" si="17"/>
        <v>705.88533175997543</v>
      </c>
      <c r="DT48" s="62">
        <f ca="1">AVERAGE(OFFSET($DS$3,0,0,'Données projet'!$E$14+1,1))-AVERAGE(OFFSET($H$3,0,0,'Données projet'!$E$14+1,1))</f>
        <v>416.72317068678774</v>
      </c>
      <c r="DU48" s="62">
        <f t="shared" si="44"/>
        <v>447.32457429495537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60.7331780118176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186.53846153846152</v>
      </c>
      <c r="EH48" s="13">
        <f>VLOOKUP(A48,'Données projet'!$A$191:$I$211,9,0)</f>
        <v>6.6666666666666625</v>
      </c>
      <c r="EI48" s="13">
        <f t="array" ref="EI48">INDEX(EH:EH,MIN(IF(ISNUMBER(EH48:EH244),ROW(EH48:EH244),"")))</f>
        <v>6.6666666666666625</v>
      </c>
      <c r="EJ48" s="13">
        <f>IF('Données projet'!$A$192&gt;35,EJ47+EI48-ER47,IF(A48&lt;'Données projet'!$A$192,$EG$205^A48,IF(A48='Données projet'!$A$192,'Données projet'!$B$192,EJ47+EI48-ER47)))</f>
        <v>186.53846153846155</v>
      </c>
      <c r="EK48" s="18">
        <f>EJ48*VLOOKUP('Données projet'!$B$15,Paramètres!$A$1:$I$89,3,0)*VLOOKUP('Données projet'!$B$15,Paramètres!$A$1:$I$89,5,0)</f>
        <v>177.51000000000002</v>
      </c>
      <c r="EL48" s="14">
        <f t="shared" si="45"/>
        <v>44.767758720564899</v>
      </c>
      <c r="EM48" s="22">
        <f t="shared" si="19"/>
        <v>387.13376310498393</v>
      </c>
      <c r="EN48" s="62">
        <f t="shared" si="20"/>
        <v>646.48874914831504</v>
      </c>
      <c r="EO48" s="62">
        <f ca="1">AVERAGE(OFFSET($EN$3,0,0,'Données projet'!$E$15+1,1))-AVERAGE(OFFSET($H$3,0,0,'Données projet'!$E$15+1,1))</f>
        <v>454.78867027701426</v>
      </c>
      <c r="EP48" s="62">
        <f t="shared" si="46"/>
        <v>366.45346303927056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0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60.7331780118176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>
        <f>VLOOKUP(A48,'Données projet'!$A$217:$I$237,2,0)</f>
        <v>226.28205128205127</v>
      </c>
      <c r="FC48" s="13">
        <f>VLOOKUP(A48,'Données projet'!$A$217:$I$237,9,0)</f>
        <v>7.5641025641025639</v>
      </c>
      <c r="FD48" s="13">
        <f t="array" ref="FD48">INDEX(FC:FC,MIN(IF(ISNUMBER(FC48:FC244),ROW(FC48:FC244),"")))</f>
        <v>7.5641025641025639</v>
      </c>
      <c r="FE48" s="13">
        <f>IF('Données projet'!$A$218&gt;35,FE47+FD48-FM47,IF(A48&lt;'Données projet'!$A$218,$FB$205^A48,IF(A48='Données projet'!$A$218,'Données projet'!$B$218,FE47+FD48-FM47)))</f>
        <v>226.28205128205138</v>
      </c>
      <c r="FF48" s="18">
        <f>FE48*VLOOKUP('Données projet'!$B$16,Paramètres!$A$1:$I$89,3,0)*VLOOKUP('Données projet'!$B$16,Paramètres!$A$1:$I$89,5,0)</f>
        <v>151.79000000000005</v>
      </c>
      <c r="FG48" s="14">
        <f t="shared" si="47"/>
        <v>38.985088271202081</v>
      </c>
      <c r="FH48" s="22">
        <f t="shared" si="22"/>
        <v>332.26661207234366</v>
      </c>
      <c r="FI48" s="62">
        <f t="shared" si="23"/>
        <v>591.62159811567483</v>
      </c>
      <c r="FJ48" s="62">
        <f ca="1">AVERAGE(OFFSET($FI$3,0,0,'Données projet'!$E$16+1,1))-AVERAGE(OFFSET($H$3,0,0,'Données projet'!$E$16+1,1))</f>
        <v>390.05579539539576</v>
      </c>
      <c r="FK48" s="62">
        <f t="shared" si="48"/>
        <v>323.72278615226139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projet'!$B$16,Paramètres!$A$1:$I$89,3,0)*0.475*44/12</f>
        <v>0</v>
      </c>
      <c r="FR48" s="23">
        <f>EXP(-LN(2)/25)*FR47+(1-EXP(-LN(2)/25))/(LN(2)/25)*Calculateur!FM48*Calculateur!FO48*VLOOKUP('Données projet'!$B$16,Paramètres!$A$1:$I$89,3,0)*0.475*44/12</f>
        <v>0</v>
      </c>
      <c r="FS48" s="23">
        <f>EXP(-LN(2)/2)*FS47+(1-EXP(-LN(2)/2))/(LN(2)/2)*FM48*FP48*VLOOKUP('Données projet'!$B$16,Paramètres!$A$1:$I$89,3,0)*0.475*44/12</f>
        <v>0</v>
      </c>
      <c r="FT48" s="24">
        <f t="shared" si="24"/>
        <v>0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60.7331780118176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>
        <f>VLOOKUP(A48,'Données projet'!$A$243:$I$263,2,0)</f>
        <v>204</v>
      </c>
      <c r="FX48" s="13">
        <f>VLOOKUP(A48,'Données projet'!$A$243:$I$263,9,0)</f>
        <v>11.4</v>
      </c>
      <c r="FY48" s="13">
        <f t="array" ref="FY48">INDEX(FX:FX,MIN(IF(ISNUMBER(FX48:FX244),ROW(FX48:FX244),"")))</f>
        <v>11.4</v>
      </c>
      <c r="FZ48" s="13">
        <f>IF('Données projet'!$A$244&gt;35,FZ47+FY48-GH47,IF(A48&lt;'Données projet'!$A$244,$FW$205^A48,IF(A48='Données projet'!$A$244,'Données projet'!$B$244,FZ47+FY48-GH47)))</f>
        <v>204</v>
      </c>
      <c r="GA48" s="18">
        <f>FZ48*VLOOKUP('Données projet'!$B$17,Paramètres!$A$1:$I$89,3,0)*VLOOKUP('Données projet'!$B$17,Paramètres!$A$1:$I$89,5,0)</f>
        <v>197.30880000000002</v>
      </c>
      <c r="GB48" s="14">
        <f t="shared" si="49"/>
        <v>49.152257900676076</v>
      </c>
      <c r="GC48" s="22">
        <f t="shared" si="25"/>
        <v>429.25300917701088</v>
      </c>
      <c r="GD48" s="62">
        <f t="shared" si="26"/>
        <v>688.60799522034199</v>
      </c>
      <c r="GE48" s="62">
        <f ca="1">AVERAGE(OFFSET($GD$3,0,0,'Données projet'!$E$17+1,1))-AVERAGE(OFFSET($H$3,0,0,'Données projet'!$E$17+1,1))</f>
        <v>578.44111602076555</v>
      </c>
      <c r="GF48" s="62">
        <f t="shared" si="50"/>
        <v>368.08542661432784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>
        <f>EXP(-LN(2)/35)*GL47+(1-EXP(-LN(2)/35))/(LN(2)/35)*GH48*GI48*VLOOKUP('Données projet'!$B$17,Paramètres!$A$1:$I$89,3,0)*0.475*44/12</f>
        <v>0</v>
      </c>
      <c r="GM48" s="23">
        <f>EXP(-LN(2)/25)*GM47+(1-EXP(-LN(2)/25))/(LN(2)/25)*Calculateur!GH48*Calculateur!GJ48*VLOOKUP('Données projet'!$B$17,Paramètres!$A$1:$I$89,3,0)*0.475*44/12</f>
        <v>0</v>
      </c>
      <c r="GN48" s="23">
        <f>EXP(-LN(2)/2)*GN47+(1-EXP(-LN(2)/2))/(LN(2)/2)*GH48*GK48*VLOOKUP('Données projet'!$B$17,Paramètres!$A$1:$I$89,3,0)*0.475*44/12</f>
        <v>0</v>
      </c>
      <c r="GO48" s="23">
        <f t="shared" si="27"/>
        <v>0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60.7331780118176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4.0735000000000001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14.936166666666667</v>
      </c>
      <c r="H49" s="70">
        <f t="shared" si="1"/>
        <v>196.922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60.893936655802307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</v>
      </c>
      <c r="N49" s="14">
        <f>IF('Données projet'!$A$36&gt;35,N48+M49-V48,IF(A49&lt;'Données projet'!$A$36,$K$205^A49,IF(A49='Données projet'!$A$36,'Données projet'!$B$36,N48+M49-V48)))</f>
        <v>215</v>
      </c>
      <c r="O49" s="14">
        <f>N49*VLOOKUP('Données projet'!$B$9,Paramètres!$A$1:$I$89,3,0)*VLOOKUP('Données projet'!$B$9,Paramètres!$A$1:$I$89,5,0)</f>
        <v>194.53199999999998</v>
      </c>
      <c r="P49" s="14">
        <f t="shared" si="33"/>
        <v>48.540534952652578</v>
      </c>
      <c r="Q49" s="22">
        <f t="shared" si="53"/>
        <v>423.35133170920318</v>
      </c>
      <c r="R49" s="62">
        <f t="shared" si="0"/>
        <v>683.29576611381162</v>
      </c>
      <c r="S49" s="62">
        <f ca="1">AVERAGE(OFFSET($R$3,0,0,'Données projet'!$E$9+1,1))-AVERAGE(OFFSET($H$3,0,0,'Données projet'!$E$9+1,1))</f>
        <v>546.11281471711925</v>
      </c>
      <c r="T49" s="62">
        <f t="shared" si="34"/>
        <v>348.18069831447099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60.893936655802307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13.6</v>
      </c>
      <c r="AI49" s="14">
        <f>IF('Données projet'!$A$62&gt;35,AI48+AH49-AQ48,IF(A49&lt;'Données projet'!$A$62,$AF$205^A49,IF(A49='Données projet'!$A$62,'Données projet'!$B$62,AI48+AH49-AQ48)))</f>
        <v>219.60000000000014</v>
      </c>
      <c r="AJ49" s="14">
        <f>AI49*VLOOKUP('Données projet'!$B$10,Paramètres!$A$1:$I$89,3,0)*VLOOKUP('Données projet'!$B$10,Paramètres!$A$1:$I$89,5,0)</f>
        <v>188.41680000000014</v>
      </c>
      <c r="AK49" s="14">
        <f t="shared" si="35"/>
        <v>47.189759534268717</v>
      </c>
      <c r="AL49" s="22">
        <f t="shared" si="4"/>
        <v>410.34809118885158</v>
      </c>
      <c r="AM49" s="62">
        <f t="shared" si="5"/>
        <v>670.29252559346003</v>
      </c>
      <c r="AN49" s="62">
        <f ca="1">AVERAGE(OFFSET($AM$3,0,0,'Données projet'!$E$10+1,1))-AVERAGE(OFFSET($H$3,0,0,'Données projet'!$E$10+1,1))</f>
        <v>693.87994318348024</v>
      </c>
      <c r="AO49" s="62">
        <f t="shared" si="36"/>
        <v>327.71043739333641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60.893936655802307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11</v>
      </c>
      <c r="BD49" s="13">
        <f>IF('Données projet'!$A$88&gt;35,BD48+BC49-BL48,IF(A49&lt;'Données projet'!$A$88,$BA$205^A49,IF(A49='Données projet'!$A$88,'Données projet'!$B$88,BD48+BC49-BL48)))</f>
        <v>215</v>
      </c>
      <c r="BE49" s="14">
        <f>BD49*VLOOKUP('Données projet'!$B$11,Paramètres!$A$1:$I$89,3,0)*VLOOKUP('Données projet'!$B$11,Paramètres!$A$1:$I$89,5,0)</f>
        <v>181.11600000000001</v>
      </c>
      <c r="BF49" s="14">
        <f t="shared" si="37"/>
        <v>45.570386218758216</v>
      </c>
      <c r="BG49" s="22">
        <f t="shared" si="7"/>
        <v>394.81212266433721</v>
      </c>
      <c r="BH49" s="62">
        <f t="shared" si="8"/>
        <v>654.75655706894565</v>
      </c>
      <c r="BI49" s="62">
        <f ca="1">AVERAGE(OFFSET($BH$3,0,0,'Données projet'!$E$11+1,1))-AVERAGE(OFFSET($H$3,0,0,'Données projet'!$E$11+1,1))</f>
        <v>513.7388209355762</v>
      </c>
      <c r="BJ49" s="62">
        <f t="shared" si="38"/>
        <v>328.24603121433927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60.893936655802307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9.7800000000000065</v>
      </c>
      <c r="BY49" s="13">
        <f>IF('Données projet'!$A$114&gt;35,BY48+BX49-CG48,IF(A49&lt;'Données projet'!$A$114,$BV$205^A49,IF(A49='Données projet'!$A$114,'Données projet'!$B$114,BY48+BX49-CG48)))</f>
        <v>289.98</v>
      </c>
      <c r="BZ49" s="14">
        <f>BY49*VLOOKUP('Données projet'!$B$12,Paramètres!$A$1:$I$89,3,0)*VLOOKUP('Données projet'!$B$12,Paramètres!$A$1:$I$89,5,0)</f>
        <v>230.70808800000003</v>
      </c>
      <c r="CA49" s="14">
        <f t="shared" si="39"/>
        <v>56.435759310284489</v>
      </c>
      <c r="CB49" s="22">
        <f t="shared" si="10"/>
        <v>500.10886739874542</v>
      </c>
      <c r="CC49" s="62">
        <f t="shared" si="11"/>
        <v>760.05330180335386</v>
      </c>
      <c r="CD49" s="62">
        <f ca="1">AVERAGE(OFFSET($CC$3,0,0,'Données projet'!$E$12+1,1))-AVERAGE(OFFSET($H$3,0,0,'Données projet'!$E$12+1,1))</f>
        <v>447.25854887589878</v>
      </c>
      <c r="CE49" s="62">
        <f t="shared" si="40"/>
        <v>480.13390593590157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60.893936655802307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10.375</v>
      </c>
      <c r="CT49" s="13">
        <f>IF('Données projet'!$A$140&gt;35,CT48+CS49-DB48,IF(A49&lt;'Données projet'!$A$140,$CQ$205^A49,IF(A49='Données projet'!$A$140,'Données projet'!$B$140,CT48+CS49-DB48)))</f>
        <v>207.74999999999994</v>
      </c>
      <c r="CU49" s="18">
        <f>CT49*VLOOKUP('Données projet'!$B$13,Paramètres!$A$1:$I$89,3,0)*VLOOKUP('Données projet'!$B$13,Paramètres!$A$1:$I$89,5,0)</f>
        <v>162.04499999999996</v>
      </c>
      <c r="CV49" s="14">
        <f t="shared" si="41"/>
        <v>41.303429372463391</v>
      </c>
      <c r="CW49" s="22">
        <f t="shared" si="13"/>
        <v>354.16518115704031</v>
      </c>
      <c r="CX49" s="62">
        <f t="shared" si="14"/>
        <v>614.10961556164875</v>
      </c>
      <c r="CY49" s="62">
        <f ca="1">AVERAGE(OFFSET($CX$3,0,0,'Données projet'!$E$13+1,1))-AVERAGE(OFFSET($H$3,0,0,'Données projet'!$E$13+1,1))</f>
        <v>308.52515801950324</v>
      </c>
      <c r="CZ49" s="62">
        <f t="shared" si="42"/>
        <v>299.05420638408953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60.893936655802307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9.7800000000000065</v>
      </c>
      <c r="DO49" s="13">
        <f>IF('Données projet'!$A$166&gt;35,DO48+DN49-DW48,IF(A49&lt;'Données projet'!$A$166,$DL$205^A49,IF(A49='Données projet'!$A$166,'Données projet'!$B$166,DO48+DN49-DW48)))</f>
        <v>289.98</v>
      </c>
      <c r="DP49" s="18">
        <f>DO49*VLOOKUP('Données projet'!$B$14,Paramètres!$A$1:$I$89,3,0)*VLOOKUP('Données projet'!$B$14,Paramètres!$A$1:$I$89,5,0)</f>
        <v>212.61333600000003</v>
      </c>
      <c r="DQ49" s="14">
        <f t="shared" si="43"/>
        <v>52.506253653420259</v>
      </c>
      <c r="DR49" s="22">
        <f t="shared" si="16"/>
        <v>461.74995197970702</v>
      </c>
      <c r="DS49" s="62">
        <f t="shared" si="17"/>
        <v>721.69438638431552</v>
      </c>
      <c r="DT49" s="62">
        <f ca="1">AVERAGE(OFFSET($DS$3,0,0,'Données projet'!$E$14+1,1))-AVERAGE(OFFSET($H$3,0,0,'Données projet'!$E$14+1,1))</f>
        <v>416.72317068678774</v>
      </c>
      <c r="DU49" s="62">
        <f t="shared" si="44"/>
        <v>447.32457429495537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60.893936655802307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6.2820512820512819</v>
      </c>
      <c r="EJ49" s="13">
        <f>IF('Données projet'!$A$192&gt;35,EJ48+EI49-ER48,IF(A49&lt;'Données projet'!$A$192,$EG$205^A49,IF(A49='Données projet'!$A$192,'Données projet'!$B$192,EJ48+EI49-ER48)))</f>
        <v>192.82051282051282</v>
      </c>
      <c r="EK49" s="18">
        <f>EJ49*VLOOKUP('Données projet'!$B$15,Paramètres!$A$1:$I$89,3,0)*VLOOKUP('Données projet'!$B$15,Paramètres!$A$1:$I$89,5,0)</f>
        <v>183.488</v>
      </c>
      <c r="EL49" s="14">
        <f t="shared" si="45"/>
        <v>46.097332970867861</v>
      </c>
      <c r="EM49" s="22">
        <f t="shared" si="19"/>
        <v>399.86112159092812</v>
      </c>
      <c r="EN49" s="62">
        <f t="shared" si="20"/>
        <v>659.80555599553657</v>
      </c>
      <c r="EO49" s="62">
        <f ca="1">AVERAGE(OFFSET($EN$3,0,0,'Données projet'!$E$15+1,1))-AVERAGE(OFFSET($H$3,0,0,'Données projet'!$E$15+1,1))</f>
        <v>454.78867027701426</v>
      </c>
      <c r="EP49" s="62">
        <f t="shared" si="46"/>
        <v>366.45346303927056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0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60.893936655802307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7.0512820512820555</v>
      </c>
      <c r="FE49" s="13">
        <f>IF('Données projet'!$A$218&gt;35,FE48+FD49-FM48,IF(A49&lt;'Données projet'!$A$218,$FB$205^A49,IF(A49='Données projet'!$A$218,'Données projet'!$B$218,FE48+FD49-FM48)))</f>
        <v>233.33333333333343</v>
      </c>
      <c r="FF49" s="18">
        <f>FE49*VLOOKUP('Données projet'!$B$16,Paramètres!$A$1:$I$89,3,0)*VLOOKUP('Données projet'!$B$16,Paramètres!$A$1:$I$89,5,0)</f>
        <v>156.52000000000007</v>
      </c>
      <c r="FG49" s="14">
        <f t="shared" si="47"/>
        <v>40.056589961286974</v>
      </c>
      <c r="FH49" s="22">
        <f t="shared" si="22"/>
        <v>342.37089418257489</v>
      </c>
      <c r="FI49" s="62">
        <f t="shared" si="23"/>
        <v>602.31532858718333</v>
      </c>
      <c r="FJ49" s="62">
        <f ca="1">AVERAGE(OFFSET($FI$3,0,0,'Données projet'!$E$16+1,1))-AVERAGE(OFFSET($H$3,0,0,'Données projet'!$E$16+1,1))</f>
        <v>390.05579539539576</v>
      </c>
      <c r="FK49" s="62">
        <f t="shared" si="48"/>
        <v>323.72278615226139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projet'!$B$16,Paramètres!$A$1:$I$89,3,0)*0.475*44/12</f>
        <v>0</v>
      </c>
      <c r="FR49" s="23">
        <f>EXP(-LN(2)/25)*FR48+(1-EXP(-LN(2)/25))/(LN(2)/25)*Calculateur!FM49*Calculateur!FO49*VLOOKUP('Données projet'!$B$16,Paramètres!$A$1:$I$89,3,0)*0.475*44/12</f>
        <v>0</v>
      </c>
      <c r="FS49" s="23">
        <f>EXP(-LN(2)/2)*FS48+(1-EXP(-LN(2)/2))/(LN(2)/2)*FM49*FP49*VLOOKUP('Données projet'!$B$16,Paramètres!$A$1:$I$89,3,0)*0.475*44/12</f>
        <v>0</v>
      </c>
      <c r="FT49" s="24">
        <f t="shared" si="24"/>
        <v>0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60.893936655802307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11</v>
      </c>
      <c r="FZ49" s="13">
        <f>IF('Données projet'!$A$244&gt;35,FZ48+FY49-GH48,IF(A49&lt;'Données projet'!$A$244,$FW$205^A49,IF(A49='Données projet'!$A$244,'Données projet'!$B$244,FZ48+FY49-GH48)))</f>
        <v>215</v>
      </c>
      <c r="GA49" s="18">
        <f>FZ49*VLOOKUP('Données projet'!$B$17,Paramètres!$A$1:$I$89,3,0)*VLOOKUP('Données projet'!$B$17,Paramètres!$A$1:$I$89,5,0)</f>
        <v>207.94800000000004</v>
      </c>
      <c r="GB49" s="14">
        <f t="shared" si="49"/>
        <v>51.486916127068838</v>
      </c>
      <c r="GC49" s="22">
        <f t="shared" si="25"/>
        <v>451.84914558797823</v>
      </c>
      <c r="GD49" s="62">
        <f t="shared" si="26"/>
        <v>711.79357999258673</v>
      </c>
      <c r="GE49" s="62">
        <f ca="1">AVERAGE(OFFSET($GD$3,0,0,'Données projet'!$E$17+1,1))-AVERAGE(OFFSET($H$3,0,0,'Données projet'!$E$17+1,1))</f>
        <v>578.44111602076555</v>
      </c>
      <c r="GF49" s="62">
        <f t="shared" si="50"/>
        <v>368.08542661432784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>
        <f>EXP(-LN(2)/35)*GL48+(1-EXP(-LN(2)/35))/(LN(2)/35)*GH49*GI49*VLOOKUP('Données projet'!$B$17,Paramètres!$A$1:$I$89,3,0)*0.475*44/12</f>
        <v>0</v>
      </c>
      <c r="GM49" s="23">
        <f>EXP(-LN(2)/25)*GM48+(1-EXP(-LN(2)/25))/(LN(2)/25)*Calculateur!GH49*Calculateur!GJ49*VLOOKUP('Données projet'!$B$17,Paramètres!$A$1:$I$89,3,0)*0.475*44/12</f>
        <v>0</v>
      </c>
      <c r="GN49" s="23">
        <f>EXP(-LN(2)/2)*GN48+(1-EXP(-LN(2)/2))/(LN(2)/2)*GH49*GK49*VLOOKUP('Données projet'!$B$17,Paramètres!$A$1:$I$89,3,0)*0.475*44/12</f>
        <v>0</v>
      </c>
      <c r="GO49" s="23">
        <f t="shared" si="27"/>
        <v>0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60.893936655802307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4.0735000000000001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14.936166666666667</v>
      </c>
      <c r="H50" s="70">
        <f t="shared" si="1"/>
        <v>196.922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61.05190649671637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</v>
      </c>
      <c r="N50" s="14">
        <f>IF('Données projet'!$A$36&gt;35,N49+M50-V49,IF(A50&lt;'Données projet'!$A$36,$K$205^A50,IF(A50='Données projet'!$A$36,'Données projet'!$B$36,N49+M50-V49)))</f>
        <v>226</v>
      </c>
      <c r="O50" s="14">
        <f>N50*VLOOKUP('Données projet'!$B$9,Paramètres!$A$1:$I$89,3,0)*VLOOKUP('Données projet'!$B$9,Paramètres!$A$1:$I$89,5,0)</f>
        <v>204.48479999999998</v>
      </c>
      <c r="P50" s="14">
        <f t="shared" si="33"/>
        <v>50.728515318217369</v>
      </c>
      <c r="Q50" s="22">
        <f t="shared" si="53"/>
        <v>444.49652417922852</v>
      </c>
      <c r="R50" s="62">
        <f t="shared" si="0"/>
        <v>705.02018133385513</v>
      </c>
      <c r="S50" s="62">
        <f ca="1">AVERAGE(OFFSET($R$3,0,0,'Données projet'!$E$9+1,1))-AVERAGE(OFFSET($H$3,0,0,'Données projet'!$E$9+1,1))</f>
        <v>546.11281471711925</v>
      </c>
      <c r="T50" s="62">
        <f t="shared" si="34"/>
        <v>348.18069831447099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61.05190649671637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13.6</v>
      </c>
      <c r="AI50" s="14">
        <f>IF('Données projet'!$A$62&gt;35,AI49+AH50-AQ49,IF(A50&lt;'Données projet'!$A$62,$AF$205^A50,IF(A50='Données projet'!$A$62,'Données projet'!$B$62,AI49+AH50-AQ49)))</f>
        <v>233.20000000000013</v>
      </c>
      <c r="AJ50" s="14">
        <f>AI50*VLOOKUP('Données projet'!$B$10,Paramètres!$A$1:$I$89,3,0)*VLOOKUP('Données projet'!$B$10,Paramètres!$A$1:$I$89,5,0)</f>
        <v>200.08560000000011</v>
      </c>
      <c r="AK50" s="14">
        <f t="shared" si="35"/>
        <v>49.762979545996977</v>
      </c>
      <c r="AL50" s="22">
        <f t="shared" si="4"/>
        <v>435.15294270927825</v>
      </c>
      <c r="AM50" s="62">
        <f t="shared" si="5"/>
        <v>695.67659986390493</v>
      </c>
      <c r="AN50" s="62">
        <f ca="1">AVERAGE(OFFSET($AM$3,0,0,'Données projet'!$E$10+1,1))-AVERAGE(OFFSET($H$3,0,0,'Données projet'!$E$10+1,1))</f>
        <v>693.87994318348024</v>
      </c>
      <c r="AO50" s="62">
        <f t="shared" si="36"/>
        <v>327.71043739333641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61.05190649671637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11</v>
      </c>
      <c r="BD50" s="13">
        <f>IF('Données projet'!$A$88&gt;35,BD49+BC50-BL49,IF(A50&lt;'Données projet'!$A$88,$BA$205^A50,IF(A50='Données projet'!$A$88,'Données projet'!$B$88,BD49+BC50-BL49)))</f>
        <v>226</v>
      </c>
      <c r="BE50" s="14">
        <f>BD50*VLOOKUP('Données projet'!$B$11,Paramètres!$A$1:$I$89,3,0)*VLOOKUP('Données projet'!$B$11,Paramètres!$A$1:$I$89,5,0)</f>
        <v>190.38240000000002</v>
      </c>
      <c r="BF50" s="14">
        <f t="shared" si="37"/>
        <v>47.624486166257796</v>
      </c>
      <c r="BG50" s="22">
        <f t="shared" si="7"/>
        <v>414.52866007289896</v>
      </c>
      <c r="BH50" s="62">
        <f t="shared" si="8"/>
        <v>675.05231722752569</v>
      </c>
      <c r="BI50" s="62">
        <f ca="1">AVERAGE(OFFSET($BH$3,0,0,'Données projet'!$E$11+1,1))-AVERAGE(OFFSET($H$3,0,0,'Données projet'!$E$11+1,1))</f>
        <v>513.7388209355762</v>
      </c>
      <c r="BJ50" s="62">
        <f t="shared" si="38"/>
        <v>328.24603121433927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61.05190649671637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9.7800000000000065</v>
      </c>
      <c r="BY50" s="13">
        <f>IF('Données projet'!$A$114&gt;35,BY49+BX50-CG49,IF(A50&lt;'Données projet'!$A$114,$BV$205^A50,IF(A50='Données projet'!$A$114,'Données projet'!$B$114,BY49+BX50-CG49)))</f>
        <v>299.76000000000005</v>
      </c>
      <c r="BZ50" s="14">
        <f>BY50*VLOOKUP('Données projet'!$B$12,Paramètres!$A$1:$I$89,3,0)*VLOOKUP('Données projet'!$B$12,Paramètres!$A$1:$I$89,5,0)</f>
        <v>238.48905600000006</v>
      </c>
      <c r="CA50" s="14">
        <f t="shared" si="39"/>
        <v>58.114324127085006</v>
      </c>
      <c r="CB50" s="22">
        <f t="shared" si="10"/>
        <v>516.58422038800654</v>
      </c>
      <c r="CC50" s="62">
        <f t="shared" si="11"/>
        <v>777.10787754263322</v>
      </c>
      <c r="CD50" s="62">
        <f ca="1">AVERAGE(OFFSET($CC$3,0,0,'Données projet'!$E$12+1,1))-AVERAGE(OFFSET($H$3,0,0,'Données projet'!$E$12+1,1))</f>
        <v>447.25854887589878</v>
      </c>
      <c r="CE50" s="62">
        <f t="shared" si="40"/>
        <v>480.13390593590157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61.05190649671637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10.375</v>
      </c>
      <c r="CT50" s="13">
        <f>IF('Données projet'!$A$140&gt;35,CT49+CS50-DB49,IF(A50&lt;'Données projet'!$A$140,$CQ$205^A50,IF(A50='Données projet'!$A$140,'Données projet'!$B$140,CT49+CS50-DB49)))</f>
        <v>218.12499999999994</v>
      </c>
      <c r="CU50" s="18">
        <f>CT50*VLOOKUP('Données projet'!$B$13,Paramètres!$A$1:$I$89,3,0)*VLOOKUP('Données projet'!$B$13,Paramètres!$A$1:$I$89,5,0)</f>
        <v>170.13749999999996</v>
      </c>
      <c r="CV50" s="14">
        <f t="shared" si="41"/>
        <v>43.120817562072411</v>
      </c>
      <c r="CW50" s="22">
        <f t="shared" si="13"/>
        <v>371.42490308727605</v>
      </c>
      <c r="CX50" s="62">
        <f t="shared" si="14"/>
        <v>631.94856024190267</v>
      </c>
      <c r="CY50" s="62">
        <f ca="1">AVERAGE(OFFSET($CX$3,0,0,'Données projet'!$E$13+1,1))-AVERAGE(OFFSET($H$3,0,0,'Données projet'!$E$13+1,1))</f>
        <v>308.52515801950324</v>
      </c>
      <c r="CZ50" s="62">
        <f t="shared" si="42"/>
        <v>299.05420638408953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61.05190649671637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9.7800000000000065</v>
      </c>
      <c r="DO50" s="13">
        <f>IF('Données projet'!$A$166&gt;35,DO49+DN50-DW49,IF(A50&lt;'Données projet'!$A$166,$DL$205^A50,IF(A50='Données projet'!$A$166,'Données projet'!$B$166,DO49+DN50-DW49)))</f>
        <v>299.76000000000005</v>
      </c>
      <c r="DP50" s="18">
        <f>DO50*VLOOKUP('Données projet'!$B$14,Paramètres!$A$1:$I$89,3,0)*VLOOKUP('Données projet'!$B$14,Paramètres!$A$1:$I$89,5,0)</f>
        <v>219.78403200000002</v>
      </c>
      <c r="DQ50" s="14">
        <f t="shared" si="43"/>
        <v>54.067943460056277</v>
      </c>
      <c r="DR50" s="22">
        <f t="shared" si="16"/>
        <v>476.95885725959801</v>
      </c>
      <c r="DS50" s="62">
        <f t="shared" si="17"/>
        <v>737.48251441422462</v>
      </c>
      <c r="DT50" s="62">
        <f ca="1">AVERAGE(OFFSET($DS$3,0,0,'Données projet'!$E$14+1,1))-AVERAGE(OFFSET($H$3,0,0,'Données projet'!$E$14+1,1))</f>
        <v>416.72317068678774</v>
      </c>
      <c r="DU50" s="62">
        <f t="shared" si="44"/>
        <v>447.32457429495537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61.05190649671637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6.2820512820512819</v>
      </c>
      <c r="EJ50" s="13">
        <f>IF('Données projet'!$A$192&gt;35,EJ49+EI50-ER49,IF(A50&lt;'Données projet'!$A$192,$EG$205^A50,IF(A50='Données projet'!$A$192,'Données projet'!$B$192,EJ49+EI50-ER49)))</f>
        <v>199.10256410256409</v>
      </c>
      <c r="EK50" s="18">
        <f>EJ50*VLOOKUP('Données projet'!$B$15,Paramètres!$A$1:$I$89,3,0)*VLOOKUP('Données projet'!$B$15,Paramètres!$A$1:$I$89,5,0)</f>
        <v>189.46600000000001</v>
      </c>
      <c r="EL50" s="14">
        <f t="shared" si="45"/>
        <v>47.421873701491535</v>
      </c>
      <c r="EM50" s="22">
        <f t="shared" si="19"/>
        <v>412.57971336343115</v>
      </c>
      <c r="EN50" s="62">
        <f t="shared" si="20"/>
        <v>673.10337051805777</v>
      </c>
      <c r="EO50" s="62">
        <f ca="1">AVERAGE(OFFSET($EN$3,0,0,'Données projet'!$E$15+1,1))-AVERAGE(OFFSET($H$3,0,0,'Données projet'!$E$15+1,1))</f>
        <v>454.78867027701426</v>
      </c>
      <c r="EP50" s="62">
        <f t="shared" si="46"/>
        <v>366.45346303927056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0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61.05190649671637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7.0512820512820555</v>
      </c>
      <c r="FE50" s="13">
        <f>IF('Données projet'!$A$218&gt;35,FE49+FD50-FM49,IF(A50&lt;'Données projet'!$A$218,$FB$205^A50,IF(A50='Données projet'!$A$218,'Données projet'!$B$218,FE49+FD50-FM49)))</f>
        <v>240.38461538461547</v>
      </c>
      <c r="FF50" s="18">
        <f>FE50*VLOOKUP('Données projet'!$B$16,Paramètres!$A$1:$I$89,3,0)*VLOOKUP('Données projet'!$B$16,Paramètres!$A$1:$I$89,5,0)</f>
        <v>161.25000000000006</v>
      </c>
      <c r="FG50" s="14">
        <f t="shared" si="47"/>
        <v>41.124328571986439</v>
      </c>
      <c r="FH50" s="22">
        <f t="shared" si="22"/>
        <v>352.46862226287652</v>
      </c>
      <c r="FI50" s="62">
        <f t="shared" si="23"/>
        <v>612.99227941750314</v>
      </c>
      <c r="FJ50" s="62">
        <f ca="1">AVERAGE(OFFSET($FI$3,0,0,'Données projet'!$E$16+1,1))-AVERAGE(OFFSET($H$3,0,0,'Données projet'!$E$16+1,1))</f>
        <v>390.05579539539576</v>
      </c>
      <c r="FK50" s="62">
        <f t="shared" si="48"/>
        <v>323.72278615226139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projet'!$B$16,Paramètres!$A$1:$I$89,3,0)*0.475*44/12</f>
        <v>0</v>
      </c>
      <c r="FR50" s="23">
        <f>EXP(-LN(2)/25)*FR49+(1-EXP(-LN(2)/25))/(LN(2)/25)*Calculateur!FM50*Calculateur!FO50*VLOOKUP('Données projet'!$B$16,Paramètres!$A$1:$I$89,3,0)*0.475*44/12</f>
        <v>0</v>
      </c>
      <c r="FS50" s="23">
        <f>EXP(-LN(2)/2)*FS49+(1-EXP(-LN(2)/2))/(LN(2)/2)*FM50*FP50*VLOOKUP('Données projet'!$B$16,Paramètres!$A$1:$I$89,3,0)*0.475*44/12</f>
        <v>0</v>
      </c>
      <c r="FT50" s="24">
        <f t="shared" si="24"/>
        <v>0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61.05190649671637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11</v>
      </c>
      <c r="FZ50" s="13">
        <f>IF('Données projet'!$A$244&gt;35,FZ49+FY50-GH49,IF(A50&lt;'Données projet'!$A$244,$FW$205^A50,IF(A50='Données projet'!$A$244,'Données projet'!$B$244,FZ49+FY50-GH49)))</f>
        <v>226</v>
      </c>
      <c r="GA50" s="18">
        <f>FZ50*VLOOKUP('Données projet'!$B$17,Paramètres!$A$1:$I$89,3,0)*VLOOKUP('Données projet'!$B$17,Paramètres!$A$1:$I$89,5,0)</f>
        <v>218.58720000000002</v>
      </c>
      <c r="GB50" s="14">
        <f t="shared" si="49"/>
        <v>53.807705580242171</v>
      </c>
      <c r="GC50" s="22">
        <f t="shared" si="25"/>
        <v>474.42112721892181</v>
      </c>
      <c r="GD50" s="62">
        <f t="shared" si="26"/>
        <v>734.94478437354849</v>
      </c>
      <c r="GE50" s="62">
        <f ca="1">AVERAGE(OFFSET($GD$3,0,0,'Données projet'!$E$17+1,1))-AVERAGE(OFFSET($H$3,0,0,'Données projet'!$E$17+1,1))</f>
        <v>578.44111602076555</v>
      </c>
      <c r="GF50" s="62">
        <f t="shared" si="50"/>
        <v>368.08542661432784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>
        <f>EXP(-LN(2)/35)*GL49+(1-EXP(-LN(2)/35))/(LN(2)/35)*GH50*GI50*VLOOKUP('Données projet'!$B$17,Paramètres!$A$1:$I$89,3,0)*0.475*44/12</f>
        <v>0</v>
      </c>
      <c r="GM50" s="23">
        <f>EXP(-LN(2)/25)*GM49+(1-EXP(-LN(2)/25))/(LN(2)/25)*Calculateur!GH50*Calculateur!GJ50*VLOOKUP('Données projet'!$B$17,Paramètres!$A$1:$I$89,3,0)*0.475*44/12</f>
        <v>0</v>
      </c>
      <c r="GN50" s="23">
        <f>EXP(-LN(2)/2)*GN49+(1-EXP(-LN(2)/2))/(LN(2)/2)*GH50*GK50*VLOOKUP('Données projet'!$B$17,Paramètres!$A$1:$I$89,3,0)*0.475*44/12</f>
        <v>0</v>
      </c>
      <c r="GO50" s="23">
        <f t="shared" si="27"/>
        <v>0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61.05190649671637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4.0735000000000001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14.936166666666667</v>
      </c>
      <c r="H51" s="70">
        <f t="shared" si="1"/>
        <v>196.922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61.207135914058227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</v>
      </c>
      <c r="N51" s="14">
        <f>IF('Données projet'!$A$36&gt;35,N50+M51-V50,IF(A51&lt;'Données projet'!$A$36,$K$205^A51,IF(A51='Données projet'!$A$36,'Données projet'!$B$36,N50+M51-V50)))</f>
        <v>237</v>
      </c>
      <c r="O51" s="14">
        <f>N51*VLOOKUP('Données projet'!$B$9,Paramètres!$A$1:$I$89,3,0)*VLOOKUP('Données projet'!$B$9,Paramètres!$A$1:$I$89,5,0)</f>
        <v>214.43759999999997</v>
      </c>
      <c r="P51" s="14">
        <f t="shared" si="33"/>
        <v>52.904129603372375</v>
      </c>
      <c r="Q51" s="22">
        <f t="shared" si="53"/>
        <v>465.62017905920681</v>
      </c>
      <c r="R51" s="62">
        <f t="shared" si="0"/>
        <v>726.713010744087</v>
      </c>
      <c r="S51" s="62">
        <f ca="1">AVERAGE(OFFSET($R$3,0,0,'Données projet'!$E$9+1,1))-AVERAGE(OFFSET($H$3,0,0,'Données projet'!$E$9+1,1))</f>
        <v>546.11281471711925</v>
      </c>
      <c r="T51" s="62">
        <f t="shared" si="34"/>
        <v>348.18069831447099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61.207135914058227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13.6</v>
      </c>
      <c r="AI51" s="14">
        <f>IF('Données projet'!$A$62&gt;35,AI50+AH51-AQ50,IF(A51&lt;'Données projet'!$A$62,$AF$205^A51,IF(A51='Données projet'!$A$62,'Données projet'!$B$62,AI50+AH51-AQ50)))</f>
        <v>246.80000000000013</v>
      </c>
      <c r="AJ51" s="14">
        <f>AI51*VLOOKUP('Données projet'!$B$10,Paramètres!$A$1:$I$89,3,0)*VLOOKUP('Données projet'!$B$10,Paramètres!$A$1:$I$89,5,0)</f>
        <v>211.75440000000012</v>
      </c>
      <c r="AK51" s="14">
        <f t="shared" si="35"/>
        <v>52.318780408268793</v>
      </c>
      <c r="AL51" s="22">
        <f t="shared" si="4"/>
        <v>459.92745587773499</v>
      </c>
      <c r="AM51" s="62">
        <f t="shared" si="5"/>
        <v>721.02028756261518</v>
      </c>
      <c r="AN51" s="62">
        <f ca="1">AVERAGE(OFFSET($AM$3,0,0,'Données projet'!$E$10+1,1))-AVERAGE(OFFSET($H$3,0,0,'Données projet'!$E$10+1,1))</f>
        <v>693.87994318348024</v>
      </c>
      <c r="AO51" s="62">
        <f t="shared" si="36"/>
        <v>327.71043739333641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61.207135914058227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11</v>
      </c>
      <c r="BD51" s="13">
        <f>IF('Données projet'!$A$88&gt;35,BD50+BC51-BL50,IF(A51&lt;'Données projet'!$A$88,$BA$205^A51,IF(A51='Données projet'!$A$88,'Données projet'!$B$88,BD50+BC51-BL50)))</f>
        <v>237</v>
      </c>
      <c r="BE51" s="14">
        <f>BD51*VLOOKUP('Données projet'!$B$11,Paramètres!$A$1:$I$89,3,0)*VLOOKUP('Données projet'!$B$11,Paramètres!$A$1:$I$89,5,0)</f>
        <v>199.64880000000002</v>
      </c>
      <c r="BF51" s="14">
        <f t="shared" si="37"/>
        <v>49.666976701936271</v>
      </c>
      <c r="BG51" s="22">
        <f t="shared" si="7"/>
        <v>434.22497775587243</v>
      </c>
      <c r="BH51" s="62">
        <f t="shared" si="8"/>
        <v>695.31780944075263</v>
      </c>
      <c r="BI51" s="62">
        <f ca="1">AVERAGE(OFFSET($BH$3,0,0,'Données projet'!$E$11+1,1))-AVERAGE(OFFSET($H$3,0,0,'Données projet'!$E$11+1,1))</f>
        <v>513.7388209355762</v>
      </c>
      <c r="BJ51" s="62">
        <f t="shared" si="38"/>
        <v>328.24603121433927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61.207135914058227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9.7800000000000065</v>
      </c>
      <c r="BY51" s="13">
        <f>IF('Données projet'!$A$114&gt;35,BY50+BX51-CG50,IF(A51&lt;'Données projet'!$A$114,$BV$205^A51,IF(A51='Données projet'!$A$114,'Données projet'!$B$114,BY50+BX51-CG50)))</f>
        <v>309.54000000000008</v>
      </c>
      <c r="BZ51" s="14">
        <f>BY51*VLOOKUP('Données projet'!$B$12,Paramètres!$A$1:$I$89,3,0)*VLOOKUP('Données projet'!$B$12,Paramètres!$A$1:$I$89,5,0)</f>
        <v>246.27002400000009</v>
      </c>
      <c r="CA51" s="14">
        <f t="shared" si="39"/>
        <v>59.786525191349803</v>
      </c>
      <c r="CB51" s="22">
        <f t="shared" si="10"/>
        <v>533.04848984160117</v>
      </c>
      <c r="CC51" s="62">
        <f t="shared" si="11"/>
        <v>794.14132152648131</v>
      </c>
      <c r="CD51" s="62">
        <f ca="1">AVERAGE(OFFSET($CC$3,0,0,'Données projet'!$E$12+1,1))-AVERAGE(OFFSET($H$3,0,0,'Données projet'!$E$12+1,1))</f>
        <v>447.25854887589878</v>
      </c>
      <c r="CE51" s="62">
        <f t="shared" si="40"/>
        <v>480.13390593590157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61.207135914058227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10.375</v>
      </c>
      <c r="CT51" s="13">
        <f>IF('Données projet'!$A$140&gt;35,CT50+CS51-DB50,IF(A51&lt;'Données projet'!$A$140,$CQ$205^A51,IF(A51='Données projet'!$A$140,'Données projet'!$B$140,CT50+CS51-DB50)))</f>
        <v>228.49999999999994</v>
      </c>
      <c r="CU51" s="18">
        <f>CT51*VLOOKUP('Données projet'!$B$13,Paramètres!$A$1:$I$89,3,0)*VLOOKUP('Données projet'!$B$13,Paramètres!$A$1:$I$89,5,0)</f>
        <v>178.22999999999996</v>
      </c>
      <c r="CV51" s="14">
        <f t="shared" si="41"/>
        <v>44.928167580487852</v>
      </c>
      <c r="CW51" s="22">
        <f t="shared" si="13"/>
        <v>388.66714186934956</v>
      </c>
      <c r="CX51" s="62">
        <f t="shared" si="14"/>
        <v>649.75997355422976</v>
      </c>
      <c r="CY51" s="62">
        <f ca="1">AVERAGE(OFFSET($CX$3,0,0,'Données projet'!$E$13+1,1))-AVERAGE(OFFSET($H$3,0,0,'Données projet'!$E$13+1,1))</f>
        <v>308.52515801950324</v>
      </c>
      <c r="CZ51" s="62">
        <f t="shared" si="42"/>
        <v>299.05420638408953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61.207135914058227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9.7800000000000065</v>
      </c>
      <c r="DO51" s="13">
        <f>IF('Données projet'!$A$166&gt;35,DO50+DN51-DW50,IF(A51&lt;'Données projet'!$A$166,$DL$205^A51,IF(A51='Données projet'!$A$166,'Données projet'!$B$166,DO50+DN51-DW50)))</f>
        <v>309.54000000000008</v>
      </c>
      <c r="DP51" s="18">
        <f>DO51*VLOOKUP('Données projet'!$B$14,Paramètres!$A$1:$I$89,3,0)*VLOOKUP('Données projet'!$B$14,Paramètres!$A$1:$I$89,5,0)</f>
        <v>226.95472800000005</v>
      </c>
      <c r="DQ51" s="14">
        <f t="shared" si="43"/>
        <v>55.623712609135595</v>
      </c>
      <c r="DR51" s="22">
        <f t="shared" si="16"/>
        <v>492.1574507275779</v>
      </c>
      <c r="DS51" s="62">
        <f t="shared" si="17"/>
        <v>753.25028241245809</v>
      </c>
      <c r="DT51" s="62">
        <f ca="1">AVERAGE(OFFSET($DS$3,0,0,'Données projet'!$E$14+1,1))-AVERAGE(OFFSET($H$3,0,0,'Données projet'!$E$14+1,1))</f>
        <v>416.72317068678774</v>
      </c>
      <c r="DU51" s="62">
        <f t="shared" si="44"/>
        <v>447.32457429495537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61.207135914058227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6.2820512820512819</v>
      </c>
      <c r="EJ51" s="13">
        <f>IF('Données projet'!$A$192&gt;35,EJ50+EI51-ER50,IF(A51&lt;'Données projet'!$A$192,$EG$205^A51,IF(A51='Données projet'!$A$192,'Données projet'!$B$192,EJ50+EI51-ER50)))</f>
        <v>205.38461538461536</v>
      </c>
      <c r="EK51" s="18">
        <f>EJ51*VLOOKUP('Données projet'!$B$15,Paramètres!$A$1:$I$89,3,0)*VLOOKUP('Données projet'!$B$15,Paramètres!$A$1:$I$89,5,0)</f>
        <v>195.44399999999999</v>
      </c>
      <c r="EL51" s="14">
        <f t="shared" si="45"/>
        <v>48.741557949917805</v>
      </c>
      <c r="EM51" s="22">
        <f t="shared" si="19"/>
        <v>425.28984676277349</v>
      </c>
      <c r="EN51" s="62">
        <f t="shared" si="20"/>
        <v>686.38267844765369</v>
      </c>
      <c r="EO51" s="62">
        <f ca="1">AVERAGE(OFFSET($EN$3,0,0,'Données projet'!$E$15+1,1))-AVERAGE(OFFSET($H$3,0,0,'Données projet'!$E$15+1,1))</f>
        <v>454.78867027701426</v>
      </c>
      <c r="EP51" s="62">
        <f t="shared" si="46"/>
        <v>366.45346303927056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0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61.207135914058227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7.0512820512820555</v>
      </c>
      <c r="FE51" s="13">
        <f>IF('Données projet'!$A$218&gt;35,FE50+FD51-FM50,IF(A51&lt;'Données projet'!$A$218,$FB$205^A51,IF(A51='Données projet'!$A$218,'Données projet'!$B$218,FE50+FD51-FM50)))</f>
        <v>247.43589743589752</v>
      </c>
      <c r="FF51" s="18">
        <f>FE51*VLOOKUP('Données projet'!$B$16,Paramètres!$A$1:$I$89,3,0)*VLOOKUP('Données projet'!$B$16,Paramètres!$A$1:$I$89,5,0)</f>
        <v>165.98000000000005</v>
      </c>
      <c r="FG51" s="14">
        <f t="shared" si="47"/>
        <v>42.188427161252903</v>
      </c>
      <c r="FH51" s="22">
        <f t="shared" si="22"/>
        <v>362.56001063918217</v>
      </c>
      <c r="FI51" s="62">
        <f t="shared" si="23"/>
        <v>623.65284232406236</v>
      </c>
      <c r="FJ51" s="62">
        <f ca="1">AVERAGE(OFFSET($FI$3,0,0,'Données projet'!$E$16+1,1))-AVERAGE(OFFSET($H$3,0,0,'Données projet'!$E$16+1,1))</f>
        <v>390.05579539539576</v>
      </c>
      <c r="FK51" s="62">
        <f t="shared" si="48"/>
        <v>323.72278615226139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projet'!$B$16,Paramètres!$A$1:$I$89,3,0)*0.475*44/12</f>
        <v>0</v>
      </c>
      <c r="FR51" s="23">
        <f>EXP(-LN(2)/25)*FR50+(1-EXP(-LN(2)/25))/(LN(2)/25)*Calculateur!FM51*Calculateur!FO51*VLOOKUP('Données projet'!$B$16,Paramètres!$A$1:$I$89,3,0)*0.475*44/12</f>
        <v>0</v>
      </c>
      <c r="FS51" s="23">
        <f>EXP(-LN(2)/2)*FS50+(1-EXP(-LN(2)/2))/(LN(2)/2)*FM51*FP51*VLOOKUP('Données projet'!$B$16,Paramètres!$A$1:$I$89,3,0)*0.475*44/12</f>
        <v>0</v>
      </c>
      <c r="FT51" s="24">
        <f t="shared" si="24"/>
        <v>0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61.207135914058227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11</v>
      </c>
      <c r="FZ51" s="13">
        <f>IF('Données projet'!$A$244&gt;35,FZ50+FY51-GH50,IF(A51&lt;'Données projet'!$A$244,$FW$205^A51,IF(A51='Données projet'!$A$244,'Données projet'!$B$244,FZ50+FY51-GH50)))</f>
        <v>237</v>
      </c>
      <c r="GA51" s="18">
        <f>FZ51*VLOOKUP('Données projet'!$B$17,Paramètres!$A$1:$I$89,3,0)*VLOOKUP('Données projet'!$B$17,Paramètres!$A$1:$I$89,5,0)</f>
        <v>229.22640000000001</v>
      </c>
      <c r="GB51" s="14">
        <f t="shared" si="49"/>
        <v>56.115378339388592</v>
      </c>
      <c r="GC51" s="22">
        <f t="shared" si="25"/>
        <v>496.97026394110179</v>
      </c>
      <c r="GD51" s="62">
        <f t="shared" si="26"/>
        <v>758.06309562598199</v>
      </c>
      <c r="GE51" s="62">
        <f ca="1">AVERAGE(OFFSET($GD$3,0,0,'Données projet'!$E$17+1,1))-AVERAGE(OFFSET($H$3,0,0,'Données projet'!$E$17+1,1))</f>
        <v>578.44111602076555</v>
      </c>
      <c r="GF51" s="62">
        <f t="shared" si="50"/>
        <v>368.08542661432784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>
        <f>EXP(-LN(2)/35)*GL50+(1-EXP(-LN(2)/35))/(LN(2)/35)*GH51*GI51*VLOOKUP('Données projet'!$B$17,Paramètres!$A$1:$I$89,3,0)*0.475*44/12</f>
        <v>0</v>
      </c>
      <c r="GM51" s="23">
        <f>EXP(-LN(2)/25)*GM50+(1-EXP(-LN(2)/25))/(LN(2)/25)*Calculateur!GH51*Calculateur!GJ51*VLOOKUP('Données projet'!$B$17,Paramètres!$A$1:$I$89,3,0)*0.475*44/12</f>
        <v>0</v>
      </c>
      <c r="GN51" s="23">
        <f>EXP(-LN(2)/2)*GN50+(1-EXP(-LN(2)/2))/(LN(2)/2)*GH51*GK51*VLOOKUP('Données projet'!$B$17,Paramètres!$A$1:$I$89,3,0)*0.475*44/12</f>
        <v>0</v>
      </c>
      <c r="GO51" s="23">
        <f t="shared" si="27"/>
        <v>0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61.207135914058227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4.0735000000000001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14.936166666666667</v>
      </c>
      <c r="H52" s="70">
        <f t="shared" si="1"/>
        <v>196.922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61.359672448050176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</v>
      </c>
      <c r="N52" s="14">
        <f>IF('Données projet'!$A$36&gt;35,N51+M52-V51,IF(A52&lt;'Données projet'!$A$36,$K$205^A52,IF(A52='Données projet'!$A$36,'Données projet'!$B$36,N51+M52-V51)))</f>
        <v>248</v>
      </c>
      <c r="O52" s="14">
        <f>N52*VLOOKUP('Données projet'!$B$9,Paramètres!$A$1:$I$89,3,0)*VLOOKUP('Données projet'!$B$9,Paramètres!$A$1:$I$89,5,0)</f>
        <v>224.3904</v>
      </c>
      <c r="P52" s="14">
        <f t="shared" si="33"/>
        <v>55.068017311015858</v>
      </c>
      <c r="Q52" s="22">
        <f t="shared" si="53"/>
        <v>486.72341015001922</v>
      </c>
      <c r="R52" s="62">
        <f t="shared" si="0"/>
        <v>748.37554245953652</v>
      </c>
      <c r="S52" s="62">
        <f ca="1">AVERAGE(OFFSET($R$3,0,0,'Données projet'!$E$9+1,1))-AVERAGE(OFFSET($H$3,0,0,'Données projet'!$E$9+1,1))</f>
        <v>546.11281471711925</v>
      </c>
      <c r="T52" s="62">
        <f t="shared" si="34"/>
        <v>348.18069831447099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61.359672448050176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13.6</v>
      </c>
      <c r="AI52" s="14">
        <f>IF('Données projet'!$A$62&gt;35,AI51+AH52-AQ51,IF(A52&lt;'Données projet'!$A$62,$AF$205^A52,IF(A52='Données projet'!$A$62,'Données projet'!$B$62,AI51+AH52-AQ51)))</f>
        <v>260.40000000000015</v>
      </c>
      <c r="AJ52" s="14">
        <f>AI52*VLOOKUP('Données projet'!$B$10,Paramètres!$A$1:$I$89,3,0)*VLOOKUP('Données projet'!$B$10,Paramètres!$A$1:$I$89,5,0)</f>
        <v>223.42320000000015</v>
      </c>
      <c r="AK52" s="14">
        <f t="shared" si="35"/>
        <v>54.858231422257631</v>
      </c>
      <c r="AL52" s="22">
        <f t="shared" si="4"/>
        <v>484.67349306043229</v>
      </c>
      <c r="AM52" s="62">
        <f t="shared" si="5"/>
        <v>746.32562536994965</v>
      </c>
      <c r="AN52" s="62">
        <f ca="1">AVERAGE(OFFSET($AM$3,0,0,'Données projet'!$E$10+1,1))-AVERAGE(OFFSET($H$3,0,0,'Données projet'!$E$10+1,1))</f>
        <v>693.87994318348024</v>
      </c>
      <c r="AO52" s="62">
        <f t="shared" si="36"/>
        <v>327.71043739333641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61.359672448050176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11</v>
      </c>
      <c r="BD52" s="13">
        <f>IF('Données projet'!$A$88&gt;35,BD51+BC52-BL51,IF(A52&lt;'Données projet'!$A$88,$BA$205^A52,IF(A52='Données projet'!$A$88,'Données projet'!$B$88,BD51+BC52-BL51)))</f>
        <v>248</v>
      </c>
      <c r="BE52" s="14">
        <f>BD52*VLOOKUP('Données projet'!$B$11,Paramètres!$A$1:$I$89,3,0)*VLOOKUP('Données projet'!$B$11,Paramètres!$A$1:$I$89,5,0)</f>
        <v>208.91520000000003</v>
      </c>
      <c r="BF52" s="14">
        <f t="shared" si="37"/>
        <v>51.698458198123369</v>
      </c>
      <c r="BG52" s="22">
        <f t="shared" si="7"/>
        <v>453.90212136173159</v>
      </c>
      <c r="BH52" s="62">
        <f t="shared" si="8"/>
        <v>715.55425367124894</v>
      </c>
      <c r="BI52" s="62">
        <f ca="1">AVERAGE(OFFSET($BH$3,0,0,'Données projet'!$E$11+1,1))-AVERAGE(OFFSET($H$3,0,0,'Données projet'!$E$11+1,1))</f>
        <v>513.7388209355762</v>
      </c>
      <c r="BJ52" s="62">
        <f t="shared" si="38"/>
        <v>328.24603121433927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61.359672448050176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9.7800000000000065</v>
      </c>
      <c r="BY52" s="13">
        <f>IF('Données projet'!$A$114&gt;35,BY51+BX52-CG51,IF(A52&lt;'Données projet'!$A$114,$BV$205^A52,IF(A52='Données projet'!$A$114,'Données projet'!$B$114,BY51+BX52-CG51)))</f>
        <v>319.32000000000011</v>
      </c>
      <c r="BZ52" s="14">
        <f>BY52*VLOOKUP('Données projet'!$B$12,Paramètres!$A$1:$I$89,3,0)*VLOOKUP('Données projet'!$B$12,Paramètres!$A$1:$I$89,5,0)</f>
        <v>254.05099200000006</v>
      </c>
      <c r="CA52" s="14">
        <f t="shared" si="39"/>
        <v>61.45258663488832</v>
      </c>
      <c r="CB52" s="22">
        <f t="shared" si="10"/>
        <v>549.50206612243062</v>
      </c>
      <c r="CC52" s="62">
        <f t="shared" si="11"/>
        <v>811.15419843194786</v>
      </c>
      <c r="CD52" s="62">
        <f ca="1">AVERAGE(OFFSET($CC$3,0,0,'Données projet'!$E$12+1,1))-AVERAGE(OFFSET($H$3,0,0,'Données projet'!$E$12+1,1))</f>
        <v>447.25854887589878</v>
      </c>
      <c r="CE52" s="62">
        <f t="shared" si="40"/>
        <v>480.13390593590157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61.359672448050176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10.375</v>
      </c>
      <c r="CT52" s="13">
        <f>IF('Données projet'!$A$140&gt;35,CT51+CS52-DB51,IF(A52&lt;'Données projet'!$A$140,$CQ$205^A52,IF(A52='Données projet'!$A$140,'Données projet'!$B$140,CT51+CS52-DB51)))</f>
        <v>238.87499999999994</v>
      </c>
      <c r="CU52" s="18">
        <f>CT52*VLOOKUP('Données projet'!$B$13,Paramètres!$A$1:$I$89,3,0)*VLOOKUP('Données projet'!$B$13,Paramètres!$A$1:$I$89,5,0)</f>
        <v>186.32249999999996</v>
      </c>
      <c r="CV52" s="14">
        <f t="shared" si="41"/>
        <v>46.725987276254116</v>
      </c>
      <c r="CW52" s="22">
        <f t="shared" si="13"/>
        <v>405.89278200614257</v>
      </c>
      <c r="CX52" s="62">
        <f t="shared" si="14"/>
        <v>667.54491431565987</v>
      </c>
      <c r="CY52" s="62">
        <f ca="1">AVERAGE(OFFSET($CX$3,0,0,'Données projet'!$E$13+1,1))-AVERAGE(OFFSET($H$3,0,0,'Données projet'!$E$13+1,1))</f>
        <v>308.52515801950324</v>
      </c>
      <c r="CZ52" s="62">
        <f t="shared" si="42"/>
        <v>299.05420638408953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61.359672448050176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9.7800000000000065</v>
      </c>
      <c r="DO52" s="13">
        <f>IF('Données projet'!$A$166&gt;35,DO51+DN52-DW51,IF(A52&lt;'Données projet'!$A$166,$DL$205^A52,IF(A52='Données projet'!$A$166,'Données projet'!$B$166,DO51+DN52-DW51)))</f>
        <v>319.32000000000011</v>
      </c>
      <c r="DP52" s="18">
        <f>DO52*VLOOKUP('Données projet'!$B$14,Paramètres!$A$1:$I$89,3,0)*VLOOKUP('Données projet'!$B$14,Paramètres!$A$1:$I$89,5,0)</f>
        <v>234.12542400000009</v>
      </c>
      <c r="DQ52" s="14">
        <f t="shared" si="43"/>
        <v>57.173769626631554</v>
      </c>
      <c r="DR52" s="22">
        <f t="shared" si="16"/>
        <v>507.34609556638355</v>
      </c>
      <c r="DS52" s="62">
        <f t="shared" si="17"/>
        <v>768.99822787590085</v>
      </c>
      <c r="DT52" s="62">
        <f ca="1">AVERAGE(OFFSET($DS$3,0,0,'Données projet'!$E$14+1,1))-AVERAGE(OFFSET($H$3,0,0,'Données projet'!$E$14+1,1))</f>
        <v>416.72317068678774</v>
      </c>
      <c r="DU52" s="62">
        <f t="shared" si="44"/>
        <v>447.32457429495537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61.359672448050176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6.2820512820512819</v>
      </c>
      <c r="EJ52" s="13">
        <f>IF('Données projet'!$A$192&gt;35,EJ51+EI52-ER51,IF(A52&lt;'Données projet'!$A$192,$EG$205^A52,IF(A52='Données projet'!$A$192,'Données projet'!$B$192,EJ51+EI52-ER51)))</f>
        <v>211.66666666666663</v>
      </c>
      <c r="EK52" s="18">
        <f>EJ52*VLOOKUP('Données projet'!$B$15,Paramètres!$A$1:$I$89,3,0)*VLOOKUP('Données projet'!$B$15,Paramètres!$A$1:$I$89,5,0)</f>
        <v>201.42199999999997</v>
      </c>
      <c r="EL52" s="14">
        <f t="shared" si="45"/>
        <v>50.056551308279687</v>
      </c>
      <c r="EM52" s="22">
        <f t="shared" si="19"/>
        <v>437.99181019525372</v>
      </c>
      <c r="EN52" s="62">
        <f t="shared" si="20"/>
        <v>699.64394250477108</v>
      </c>
      <c r="EO52" s="62">
        <f ca="1">AVERAGE(OFFSET($EN$3,0,0,'Données projet'!$E$15+1,1))-AVERAGE(OFFSET($H$3,0,0,'Données projet'!$E$15+1,1))</f>
        <v>454.78867027701426</v>
      </c>
      <c r="EP52" s="62">
        <f t="shared" si="46"/>
        <v>366.45346303927056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0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61.359672448050176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7.0512820512820555</v>
      </c>
      <c r="FE52" s="13">
        <f>IF('Données projet'!$A$218&gt;35,FE51+FD52-FM51,IF(A52&lt;'Données projet'!$A$218,$FB$205^A52,IF(A52='Données projet'!$A$218,'Données projet'!$B$218,FE51+FD52-FM51)))</f>
        <v>254.48717948717956</v>
      </c>
      <c r="FF52" s="18">
        <f>FE52*VLOOKUP('Données projet'!$B$16,Paramètres!$A$1:$I$89,3,0)*VLOOKUP('Données projet'!$B$16,Paramètres!$A$1:$I$89,5,0)</f>
        <v>170.71000000000006</v>
      </c>
      <c r="FG52" s="14">
        <f t="shared" si="47"/>
        <v>43.249001374438308</v>
      </c>
      <c r="FH52" s="22">
        <f t="shared" si="22"/>
        <v>372.64526072714688</v>
      </c>
      <c r="FI52" s="62">
        <f t="shared" si="23"/>
        <v>634.29739303666418</v>
      </c>
      <c r="FJ52" s="62">
        <f ca="1">AVERAGE(OFFSET($FI$3,0,0,'Données projet'!$E$16+1,1))-AVERAGE(OFFSET($H$3,0,0,'Données projet'!$E$16+1,1))</f>
        <v>390.05579539539576</v>
      </c>
      <c r="FK52" s="62">
        <f t="shared" si="48"/>
        <v>323.72278615226139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projet'!$B$16,Paramètres!$A$1:$I$89,3,0)*0.475*44/12</f>
        <v>0</v>
      </c>
      <c r="FR52" s="23">
        <f>EXP(-LN(2)/25)*FR51+(1-EXP(-LN(2)/25))/(LN(2)/25)*Calculateur!FM52*Calculateur!FO52*VLOOKUP('Données projet'!$B$16,Paramètres!$A$1:$I$89,3,0)*0.475*44/12</f>
        <v>0</v>
      </c>
      <c r="FS52" s="23">
        <f>EXP(-LN(2)/2)*FS51+(1-EXP(-LN(2)/2))/(LN(2)/2)*FM52*FP52*VLOOKUP('Données projet'!$B$16,Paramètres!$A$1:$I$89,3,0)*0.475*44/12</f>
        <v>0</v>
      </c>
      <c r="FT52" s="24">
        <f t="shared" si="24"/>
        <v>0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61.359672448050176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11</v>
      </c>
      <c r="FZ52" s="13">
        <f>IF('Données projet'!$A$244&gt;35,FZ51+FY52-GH51,IF(A52&lt;'Données projet'!$A$244,$FW$205^A52,IF(A52='Données projet'!$A$244,'Données projet'!$B$244,FZ51+FY52-GH51)))</f>
        <v>248</v>
      </c>
      <c r="GA52" s="18">
        <f>FZ52*VLOOKUP('Données projet'!$B$17,Paramètres!$A$1:$I$89,3,0)*VLOOKUP('Données projet'!$B$17,Paramètres!$A$1:$I$89,5,0)</f>
        <v>239.8656</v>
      </c>
      <c r="GB52" s="14">
        <f t="shared" si="49"/>
        <v>58.410612724846153</v>
      </c>
      <c r="GC52" s="22">
        <f t="shared" si="25"/>
        <v>519.49773716244044</v>
      </c>
      <c r="GD52" s="62">
        <f t="shared" si="26"/>
        <v>781.1498694719578</v>
      </c>
      <c r="GE52" s="62">
        <f ca="1">AVERAGE(OFFSET($GD$3,0,0,'Données projet'!$E$17+1,1))-AVERAGE(OFFSET($H$3,0,0,'Données projet'!$E$17+1,1))</f>
        <v>578.44111602076555</v>
      </c>
      <c r="GF52" s="62">
        <f t="shared" si="50"/>
        <v>368.08542661432784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>
        <f>EXP(-LN(2)/35)*GL51+(1-EXP(-LN(2)/35))/(LN(2)/35)*GH52*GI52*VLOOKUP('Données projet'!$B$17,Paramètres!$A$1:$I$89,3,0)*0.475*44/12</f>
        <v>0</v>
      </c>
      <c r="GM52" s="23">
        <f>EXP(-LN(2)/25)*GM51+(1-EXP(-LN(2)/25))/(LN(2)/25)*Calculateur!GH52*Calculateur!GJ52*VLOOKUP('Données projet'!$B$17,Paramètres!$A$1:$I$89,3,0)*0.475*44/12</f>
        <v>0</v>
      </c>
      <c r="GN52" s="23">
        <f>EXP(-LN(2)/2)*GN51+(1-EXP(-LN(2)/2))/(LN(2)/2)*GH52*GK52*VLOOKUP('Données projet'!$B$17,Paramètres!$A$1:$I$89,3,0)*0.475*44/12</f>
        <v>0</v>
      </c>
      <c r="GO52" s="23">
        <f t="shared" si="27"/>
        <v>0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61.359672448050176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4.0735000000000001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14.936166666666667</v>
      </c>
      <c r="H53" s="70">
        <f t="shared" si="1"/>
        <v>196.922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61.509562814197977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259</v>
      </c>
      <c r="L53" s="13">
        <f>VLOOKUP(A53,'Données projet'!$A$35:$I$55,9,0)</f>
        <v>11</v>
      </c>
      <c r="M53" s="13">
        <f t="array" ref="M53">INDEX(L:L,MIN(IF(ISNUMBER(L53:L249),ROW(L53:L249),"")))</f>
        <v>11</v>
      </c>
      <c r="N53" s="14">
        <f>IF('Données projet'!$A$36&gt;35,N52+M53-V52,IF(A53&lt;'Données projet'!$A$36,$K$205^A53,IF(A53='Données projet'!$A$36,'Données projet'!$B$36,N52+M53-V52)))</f>
        <v>259</v>
      </c>
      <c r="O53" s="14">
        <f>N53*VLOOKUP('Données projet'!$B$9,Paramètres!$A$1:$I$89,3,0)*VLOOKUP('Données projet'!$B$9,Paramètres!$A$1:$I$89,5,0)</f>
        <v>234.3432</v>
      </c>
      <c r="P53" s="14">
        <f t="shared" si="33"/>
        <v>57.220758006491664</v>
      </c>
      <c r="Q53" s="22">
        <f t="shared" si="53"/>
        <v>507.80722686130622</v>
      </c>
      <c r="R53" s="62">
        <f t="shared" si="0"/>
        <v>770.0089571800321</v>
      </c>
      <c r="S53" s="62">
        <f ca="1">AVERAGE(OFFSET($R$3,0,0,'Données projet'!$E$9+1,1))-AVERAGE(OFFSET($H$3,0,0,'Données projet'!$E$9+1,1))</f>
        <v>546.11281471711925</v>
      </c>
      <c r="T53" s="62">
        <f t="shared" si="34"/>
        <v>348.18069831447099</v>
      </c>
      <c r="U53" s="16">
        <f>IF(ISNA(VLOOKUP(A53,'Données projet'!$A$35:$I$55,3,0)),0,VLOOKUP(A53,'Données projet'!$A$35:$I$55,3,0))</f>
        <v>4</v>
      </c>
      <c r="V53" s="16">
        <f>IF(ISNA(VLOOKUP(A53,'Données projet'!$A$35:$I$55,4,0)),0,VLOOKUP(A53,'Données projet'!$A$35:$I$55,4,0))</f>
        <v>56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61.509562814197977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274</v>
      </c>
      <c r="AG53" s="13">
        <f>VLOOKUP(A53,'Données projet'!$A$61:$I$81,9,0)</f>
        <v>13.6</v>
      </c>
      <c r="AH53" s="13">
        <f t="array" ref="AH53">INDEX(AG:AG,MIN(IF(ISNUMBER(AG53:AG249),ROW(AG53:AG249),"")))</f>
        <v>13.6</v>
      </c>
      <c r="AI53" s="14">
        <f>IF('Données projet'!$A$62&gt;35,AI52+AH53-AQ52,IF(A53&lt;'Données projet'!$A$62,$AF$205^A53,IF(A53='Données projet'!$A$62,'Données projet'!$B$62,AI52+AH53-AQ52)))</f>
        <v>274.00000000000017</v>
      </c>
      <c r="AJ53" s="14">
        <f>AI53*VLOOKUP('Données projet'!$B$10,Paramètres!$A$1:$I$89,3,0)*VLOOKUP('Données projet'!$B$10,Paramètres!$A$1:$I$89,5,0)</f>
        <v>235.09200000000016</v>
      </c>
      <c r="AK53" s="14">
        <f t="shared" si="35"/>
        <v>57.38228388709345</v>
      </c>
      <c r="AL53" s="22">
        <f t="shared" si="4"/>
        <v>509.39271110335471</v>
      </c>
      <c r="AM53" s="62">
        <f t="shared" si="5"/>
        <v>771.59444142208054</v>
      </c>
      <c r="AN53" s="62">
        <f ca="1">AVERAGE(OFFSET($AM$3,0,0,'Données projet'!$E$10+1,1))-AVERAGE(OFFSET($H$3,0,0,'Données projet'!$E$10+1,1))</f>
        <v>693.87994318348024</v>
      </c>
      <c r="AO53" s="62">
        <f t="shared" si="36"/>
        <v>327.71043739333641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61.509562814197977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259</v>
      </c>
      <c r="BB53" s="13">
        <f>VLOOKUP(A53,'Données projet'!$A$87:$I$107,9,0)</f>
        <v>11</v>
      </c>
      <c r="BC53" s="13">
        <f t="array" ref="BC53">INDEX(BB:BB,MIN(IF(ISNUMBER(BB53:BB249),ROW(BB53:BB249),"")))</f>
        <v>11</v>
      </c>
      <c r="BD53" s="13">
        <f>IF('Données projet'!$A$88&gt;35,BD52+BC53-BL52,IF(A53&lt;'Données projet'!$A$88,$BA$205^A53,IF(A53='Données projet'!$A$88,'Données projet'!$B$88,BD52+BC53-BL52)))</f>
        <v>259</v>
      </c>
      <c r="BE53" s="14">
        <f>BD53*VLOOKUP('Données projet'!$B$11,Paramètres!$A$1:$I$89,3,0)*VLOOKUP('Données projet'!$B$11,Paramètres!$A$1:$I$89,5,0)</f>
        <v>218.18160000000003</v>
      </c>
      <c r="BF53" s="14">
        <f t="shared" si="37"/>
        <v>53.719474757115933</v>
      </c>
      <c r="BG53" s="22">
        <f t="shared" si="7"/>
        <v>473.56103853531022</v>
      </c>
      <c r="BH53" s="62">
        <f t="shared" si="8"/>
        <v>735.76276885403604</v>
      </c>
      <c r="BI53" s="62">
        <f ca="1">AVERAGE(OFFSET($BH$3,0,0,'Données projet'!$E$11+1,1))-AVERAGE(OFFSET($H$3,0,0,'Données projet'!$E$11+1,1))</f>
        <v>513.7388209355762</v>
      </c>
      <c r="BJ53" s="62">
        <f t="shared" si="38"/>
        <v>328.24603121433927</v>
      </c>
      <c r="BK53" s="16">
        <f>IF(ISNA(VLOOKUP(A53,'Données projet'!$A$87:$I$107,3,0)),0,VLOOKUP(A53,'Données projet'!$A$87:$I$107,3,0))</f>
        <v>4</v>
      </c>
      <c r="BL53" s="16">
        <f>IF(ISNA(VLOOKUP(A53,'Données projet'!$A$87:$I$107,4,0)),0,VLOOKUP(A53,'Données projet'!$A$87:$I$107,4,0))</f>
        <v>56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61.509562814197977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329.1</v>
      </c>
      <c r="BW53" s="13">
        <f>VLOOKUP(A53,'Données projet'!$A$113:$I$133,9,0)</f>
        <v>9.7800000000000065</v>
      </c>
      <c r="BX53" s="13">
        <f t="array" ref="BX53">INDEX(BW:BW,MIN(IF(ISNUMBER(BW53:BW249),ROW(BW53:BW249),"")))</f>
        <v>9.7800000000000065</v>
      </c>
      <c r="BY53" s="13">
        <f>IF('Données projet'!$A$114&gt;35,BY52+BX53-CG52,IF(A53&lt;'Données projet'!$A$114,$BV$205^A53,IF(A53='Données projet'!$A$114,'Données projet'!$B$114,BY52+BX53-CG52)))</f>
        <v>329.10000000000014</v>
      </c>
      <c r="BZ53" s="14">
        <f>BY53*VLOOKUP('Données projet'!$B$12,Paramètres!$A$1:$I$89,3,0)*VLOOKUP('Données projet'!$B$12,Paramètres!$A$1:$I$89,5,0)</f>
        <v>261.83196000000009</v>
      </c>
      <c r="CA53" s="14">
        <f t="shared" si="39"/>
        <v>63.1127180802252</v>
      </c>
      <c r="CB53" s="22">
        <f t="shared" si="10"/>
        <v>565.94531432305905</v>
      </c>
      <c r="CC53" s="62">
        <f t="shared" si="11"/>
        <v>828.14704464178499</v>
      </c>
      <c r="CD53" s="62">
        <f ca="1">AVERAGE(OFFSET($CC$3,0,0,'Données projet'!$E$12+1,1))-AVERAGE(OFFSET($H$3,0,0,'Données projet'!$E$12+1,1))</f>
        <v>447.25854887589878</v>
      </c>
      <c r="CE53" s="62">
        <f t="shared" si="40"/>
        <v>480.13390593590157</v>
      </c>
      <c r="CF53" s="16">
        <f>IF(ISNA(VLOOKUP(A53,'Données projet'!$A$113:$I$133,3,0)),0,VLOOKUP(A53,'Données projet'!$A$113:$I$133,3,0))</f>
        <v>4</v>
      </c>
      <c r="CG53" s="16">
        <f>IF(ISNA(VLOOKUP(A53,'Données projet'!$A$113:$I$133,4,0)),0,VLOOKUP(A53,'Données projet'!$A$113:$I$133,4,0))</f>
        <v>47.5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61.509562814197977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10.375</v>
      </c>
      <c r="CT53" s="13">
        <f>IF('Données projet'!$A$140&gt;35,CT52+CS53-DB52,IF(A53&lt;'Données projet'!$A$140,$CQ$205^A53,IF(A53='Données projet'!$A$140,'Données projet'!$B$140,CT52+CS53-DB52)))</f>
        <v>249.24999999999994</v>
      </c>
      <c r="CU53" s="18">
        <f>CT53*VLOOKUP('Données projet'!$B$13,Paramètres!$A$1:$I$89,3,0)*VLOOKUP('Données projet'!$B$13,Paramètres!$A$1:$I$89,5,0)</f>
        <v>194.41499999999996</v>
      </c>
      <c r="CV53" s="14">
        <f t="shared" si="41"/>
        <v>48.514737888684969</v>
      </c>
      <c r="CW53" s="22">
        <f t="shared" si="13"/>
        <v>423.1026268227929</v>
      </c>
      <c r="CX53" s="62">
        <f t="shared" si="14"/>
        <v>685.30435714151872</v>
      </c>
      <c r="CY53" s="62">
        <f ca="1">AVERAGE(OFFSET($CX$3,0,0,'Données projet'!$E$13+1,1))-AVERAGE(OFFSET($H$3,0,0,'Données projet'!$E$13+1,1))</f>
        <v>308.52515801950324</v>
      </c>
      <c r="CZ53" s="62">
        <f t="shared" si="42"/>
        <v>299.05420638408953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61.509562814197977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329.1</v>
      </c>
      <c r="DM53" s="13">
        <f>VLOOKUP(A53,'Données projet'!$A$165:$I$185,9,0)</f>
        <v>9.7800000000000065</v>
      </c>
      <c r="DN53" s="13">
        <f t="array" ref="DN53">INDEX(DM:DM,MIN(IF(ISNUMBER(DM53:DM249),ROW(DM53:DM249),"")))</f>
        <v>9.7800000000000065</v>
      </c>
      <c r="DO53" s="13">
        <f>IF('Données projet'!$A$166&gt;35,DO52+DN53-DW52,IF(A53&lt;'Données projet'!$A$166,$DL$205^A53,IF(A53='Données projet'!$A$166,'Données projet'!$B$166,DO52+DN53-DW52)))</f>
        <v>329.10000000000014</v>
      </c>
      <c r="DP53" s="18">
        <f>DO53*VLOOKUP('Données projet'!$B$14,Paramètres!$A$1:$I$89,3,0)*VLOOKUP('Données projet'!$B$14,Paramètres!$A$1:$I$89,5,0)</f>
        <v>241.29612000000009</v>
      </c>
      <c r="DQ53" s="14">
        <f t="shared" si="43"/>
        <v>58.718309539484167</v>
      </c>
      <c r="DR53" s="22">
        <f t="shared" si="16"/>
        <v>522.525131447935</v>
      </c>
      <c r="DS53" s="62">
        <f t="shared" si="17"/>
        <v>784.72686176666093</v>
      </c>
      <c r="DT53" s="62">
        <f ca="1">AVERAGE(OFFSET($DS$3,0,0,'Données projet'!$E$14+1,1))-AVERAGE(OFFSET($H$3,0,0,'Données projet'!$E$14+1,1))</f>
        <v>416.72317068678774</v>
      </c>
      <c r="DU53" s="62">
        <f t="shared" si="44"/>
        <v>447.32457429495537</v>
      </c>
      <c r="DV53" s="16">
        <f>IF(ISNA(VLOOKUP(A53,'Données projet'!$A$165:$I$185,3,0)),0,VLOOKUP(A53,'Données projet'!$A$165:$I$185,3,0))</f>
        <v>4</v>
      </c>
      <c r="DW53" s="16">
        <f>IF(ISNA(VLOOKUP(A53,'Données projet'!$A$165:$I$185,4,0)),0,VLOOKUP(A53,'Données projet'!$A$165:$I$185,4,0))</f>
        <v>47.5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61.509562814197977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217.94871794871793</v>
      </c>
      <c r="EH53" s="13">
        <f>VLOOKUP(A53,'Données projet'!$A$191:$I$211,9,0)</f>
        <v>6.2820512820512819</v>
      </c>
      <c r="EI53" s="13">
        <f t="array" ref="EI53">INDEX(EH:EH,MIN(IF(ISNUMBER(EH53:EH249),ROW(EH53:EH249),"")))</f>
        <v>6.2820512820512819</v>
      </c>
      <c r="EJ53" s="13">
        <f>IF('Données projet'!$A$192&gt;35,EJ52+EI53-ER52,IF(A53&lt;'Données projet'!$A$192,$EG$205^A53,IF(A53='Données projet'!$A$192,'Données projet'!$B$192,EJ52+EI53-ER52)))</f>
        <v>217.9487179487179</v>
      </c>
      <c r="EK53" s="18">
        <f>EJ53*VLOOKUP('Données projet'!$B$15,Paramètres!$A$1:$I$89,3,0)*VLOOKUP('Données projet'!$B$15,Paramètres!$A$1:$I$89,5,0)</f>
        <v>207.39999999999998</v>
      </c>
      <c r="EL53" s="14">
        <f t="shared" si="45"/>
        <v>51.367008980763949</v>
      </c>
      <c r="EM53" s="22">
        <f t="shared" si="19"/>
        <v>450.68587397483049</v>
      </c>
      <c r="EN53" s="62">
        <f t="shared" si="20"/>
        <v>712.88760429355636</v>
      </c>
      <c r="EO53" s="62">
        <f ca="1">AVERAGE(OFFSET($EN$3,0,0,'Données projet'!$E$15+1,1))-AVERAGE(OFFSET($H$3,0,0,'Données projet'!$E$15+1,1))</f>
        <v>454.78867027701426</v>
      </c>
      <c r="EP53" s="62">
        <f t="shared" si="46"/>
        <v>366.45346303927056</v>
      </c>
      <c r="EQ53" s="16">
        <f>IF(ISNA(VLOOKUP(A53,'Données projet'!$A$191:$I$211,3,0)),0,VLOOKUP(A53,'Données projet'!$A$191:$I$211,3,0))</f>
        <v>4</v>
      </c>
      <c r="ER53" s="16">
        <f>IF(ISNA(VLOOKUP(A53,'Données projet'!$A$191:$I$211,4,0)),0,VLOOKUP(A53,'Données projet'!$A$191:$I$211,4,0))</f>
        <v>37.179487179487175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0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61.509562814197977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>
        <f>VLOOKUP(A53,'Données projet'!$A$217:$I$237,2,0)</f>
        <v>261.53846153846155</v>
      </c>
      <c r="FC53" s="13">
        <f>VLOOKUP(A53,'Données projet'!$A$217:$I$237,9,0)</f>
        <v>7.0512820512820555</v>
      </c>
      <c r="FD53" s="13">
        <f t="array" ref="FD53">INDEX(FC:FC,MIN(IF(ISNUMBER(FC53:FC249),ROW(FC53:FC249),"")))</f>
        <v>7.0512820512820555</v>
      </c>
      <c r="FE53" s="13">
        <f>IF('Données projet'!$A$218&gt;35,FE52+FD53-FM52,IF(A53&lt;'Données projet'!$A$218,$FB$205^A53,IF(A53='Données projet'!$A$218,'Données projet'!$B$218,FE52+FD53-FM52)))</f>
        <v>261.5384615384616</v>
      </c>
      <c r="FF53" s="18">
        <f>FE53*VLOOKUP('Données projet'!$B$16,Paramètres!$A$1:$I$89,3,0)*VLOOKUP('Données projet'!$B$16,Paramètres!$A$1:$I$89,5,0)</f>
        <v>175.44000000000003</v>
      </c>
      <c r="FG53" s="14">
        <f t="shared" si="47"/>
        <v>44.306160083661858</v>
      </c>
      <c r="FH53" s="22">
        <f t="shared" si="22"/>
        <v>382.72456214571116</v>
      </c>
      <c r="FI53" s="62">
        <f t="shared" si="23"/>
        <v>644.92629246443698</v>
      </c>
      <c r="FJ53" s="62">
        <f ca="1">AVERAGE(OFFSET($FI$3,0,0,'Données projet'!$E$16+1,1))-AVERAGE(OFFSET($H$3,0,0,'Données projet'!$E$16+1,1))</f>
        <v>390.05579539539576</v>
      </c>
      <c r="FK53" s="62">
        <f t="shared" si="48"/>
        <v>323.72278615226139</v>
      </c>
      <c r="FL53" s="16">
        <f>IF(ISNA(VLOOKUP(A53,'Données projet'!$A$217:$I$237,3,0)),0,VLOOKUP(A53,'Données projet'!$A$217:$I$237,3,0))</f>
        <v>4</v>
      </c>
      <c r="FM53" s="16">
        <f>IF(ISNA(VLOOKUP(A53,'Données projet'!$A$217:$I$237,4,0)),0,VLOOKUP(A53,'Données projet'!$A$217:$I$237,4,0))</f>
        <v>36.53846153846154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projet'!$B$16,Paramètres!$A$1:$I$89,3,0)*0.475*44/12</f>
        <v>0</v>
      </c>
      <c r="FR53" s="23">
        <f>EXP(-LN(2)/25)*FR52+(1-EXP(-LN(2)/25))/(LN(2)/25)*Calculateur!FM53*Calculateur!FO53*VLOOKUP('Données projet'!$B$16,Paramètres!$A$1:$I$89,3,0)*0.475*44/12</f>
        <v>0</v>
      </c>
      <c r="FS53" s="23">
        <f>EXP(-LN(2)/2)*FS52+(1-EXP(-LN(2)/2))/(LN(2)/2)*FM53*FP53*VLOOKUP('Données projet'!$B$16,Paramètres!$A$1:$I$89,3,0)*0.475*44/12</f>
        <v>0</v>
      </c>
      <c r="FT53" s="24">
        <f t="shared" si="24"/>
        <v>0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61.509562814197977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>
        <f>VLOOKUP(A53,'Données projet'!$A$243:$I$263,2,0)</f>
        <v>259</v>
      </c>
      <c r="FX53" s="13">
        <f>VLOOKUP(A53,'Données projet'!$A$243:$I$263,9,0)</f>
        <v>11</v>
      </c>
      <c r="FY53" s="13">
        <f t="array" ref="FY53">INDEX(FX:FX,MIN(IF(ISNUMBER(FX53:FX249),ROW(FX53:FX249),"")))</f>
        <v>11</v>
      </c>
      <c r="FZ53" s="13">
        <f>IF('Données projet'!$A$244&gt;35,FZ52+FY53-GH52,IF(A53&lt;'Données projet'!$A$244,$FW$205^A53,IF(A53='Données projet'!$A$244,'Données projet'!$B$244,FZ52+FY53-GH52)))</f>
        <v>259</v>
      </c>
      <c r="GA53" s="18">
        <f>FZ53*VLOOKUP('Données projet'!$B$17,Paramètres!$A$1:$I$89,3,0)*VLOOKUP('Données projet'!$B$17,Paramètres!$A$1:$I$89,5,0)</f>
        <v>250.50480000000002</v>
      </c>
      <c r="GB53" s="14">
        <f t="shared" si="49"/>
        <v>60.694023481225365</v>
      </c>
      <c r="GC53" s="22">
        <f t="shared" si="25"/>
        <v>542.00461756313416</v>
      </c>
      <c r="GD53" s="62">
        <f t="shared" si="26"/>
        <v>804.20634788185998</v>
      </c>
      <c r="GE53" s="62">
        <f ca="1">AVERAGE(OFFSET($GD$3,0,0,'Données projet'!$E$17+1,1))-AVERAGE(OFFSET($H$3,0,0,'Données projet'!$E$17+1,1))</f>
        <v>578.44111602076555</v>
      </c>
      <c r="GF53" s="62">
        <f t="shared" si="50"/>
        <v>368.08542661432784</v>
      </c>
      <c r="GG53" s="16">
        <f>IF(ISNA(VLOOKUP(A53,'Données projet'!$A$243:$I$263,3,0)),0,VLOOKUP(A53,'Données projet'!$A$243:$I$263,3,0))</f>
        <v>4</v>
      </c>
      <c r="GH53" s="16">
        <f>IF(ISNA(VLOOKUP(A53,'Données projet'!$A$243:$I$263,4,0)),0,VLOOKUP(A53,'Données projet'!$A$243:$I$263,4,0))</f>
        <v>56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>
        <f>EXP(-LN(2)/35)*GL52+(1-EXP(-LN(2)/35))/(LN(2)/35)*GH53*GI53*VLOOKUP('Données projet'!$B$17,Paramètres!$A$1:$I$89,3,0)*0.475*44/12</f>
        <v>0</v>
      </c>
      <c r="GM53" s="23">
        <f>EXP(-LN(2)/25)*GM52+(1-EXP(-LN(2)/25))/(LN(2)/25)*Calculateur!GH53*Calculateur!GJ53*VLOOKUP('Données projet'!$B$17,Paramètres!$A$1:$I$89,3,0)*0.475*44/12</f>
        <v>0</v>
      </c>
      <c r="GN53" s="23">
        <f>EXP(-LN(2)/2)*GN52+(1-EXP(-LN(2)/2))/(LN(2)/2)*GH53*GK53*VLOOKUP('Données projet'!$B$17,Paramètres!$A$1:$I$89,3,0)*0.475*44/12</f>
        <v>0</v>
      </c>
      <c r="GO53" s="23">
        <f t="shared" si="27"/>
        <v>0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61.509562814197977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4.0735000000000001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14.936166666666667</v>
      </c>
      <c r="H54" s="70">
        <f t="shared" si="1"/>
        <v>196.922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61.656852917597774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10.199999999999999</v>
      </c>
      <c r="N54" s="14">
        <f>IF('Données projet'!$A$36&gt;35,N53+M54-V53,IF(A54&lt;'Données projet'!$A$36,$K$205^A54,IF(A54='Données projet'!$A$36,'Données projet'!$B$36,N53+M54-V53)))</f>
        <v>213.2</v>
      </c>
      <c r="O54" s="14">
        <f>N54*VLOOKUP('Données projet'!$B$9,Paramètres!$A$1:$I$89,3,0)*VLOOKUP('Données projet'!$B$9,Paramètres!$A$1:$I$89,5,0)</f>
        <v>192.90335999999999</v>
      </c>
      <c r="P54" s="14">
        <f t="shared" si="33"/>
        <v>48.181276881765257</v>
      </c>
      <c r="Q54" s="22">
        <f t="shared" si="53"/>
        <v>419.8890759024078</v>
      </c>
      <c r="R54" s="62">
        <f t="shared" si="0"/>
        <v>682.63086993359957</v>
      </c>
      <c r="S54" s="62">
        <f ca="1">AVERAGE(OFFSET($R$3,0,0,'Données projet'!$E$9+1,1))-AVERAGE(OFFSET($H$3,0,0,'Données projet'!$E$9+1,1))</f>
        <v>546.11281471711925</v>
      </c>
      <c r="T54" s="62">
        <f t="shared" si="34"/>
        <v>348.18069831447099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61.656852917597774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13.4</v>
      </c>
      <c r="AI54" s="14">
        <f>IF('Données projet'!$A$62&gt;35,AI53+AH54-AQ53,IF(A54&lt;'Données projet'!$A$62,$AF$205^A54,IF(A54='Données projet'!$A$62,'Données projet'!$B$62,AI53+AH54-AQ53)))</f>
        <v>287.40000000000015</v>
      </c>
      <c r="AJ54" s="14">
        <f>AI54*VLOOKUP('Données projet'!$B$10,Paramètres!$A$1:$I$89,3,0)*VLOOKUP('Données projet'!$B$10,Paramètres!$A$1:$I$89,5,0)</f>
        <v>246.58920000000018</v>
      </c>
      <c r="AK54" s="14">
        <f t="shared" si="35"/>
        <v>59.854986461295532</v>
      </c>
      <c r="AL54" s="22">
        <f t="shared" si="4"/>
        <v>533.72362475342334</v>
      </c>
      <c r="AM54" s="62">
        <f t="shared" si="5"/>
        <v>796.46541878461517</v>
      </c>
      <c r="AN54" s="62">
        <f ca="1">AVERAGE(OFFSET($AM$3,0,0,'Données projet'!$E$10+1,1))-AVERAGE(OFFSET($H$3,0,0,'Données projet'!$E$10+1,1))</f>
        <v>693.87994318348024</v>
      </c>
      <c r="AO54" s="62">
        <f t="shared" si="36"/>
        <v>327.71043739333641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61.656852917597774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10.199999999999999</v>
      </c>
      <c r="BD54" s="13">
        <f>IF('Données projet'!$A$88&gt;35,BD53+BC54-BL53,IF(A54&lt;'Données projet'!$A$88,$BA$205^A54,IF(A54='Données projet'!$A$88,'Données projet'!$B$88,BD53+BC54-BL53)))</f>
        <v>213.2</v>
      </c>
      <c r="BE54" s="14">
        <f>BD54*VLOOKUP('Données projet'!$B$11,Paramètres!$A$1:$I$89,3,0)*VLOOKUP('Données projet'!$B$11,Paramètres!$A$1:$I$89,5,0)</f>
        <v>179.59968000000001</v>
      </c>
      <c r="BF54" s="14">
        <f t="shared" si="37"/>
        <v>45.233110804333748</v>
      </c>
      <c r="BG54" s="22">
        <f t="shared" si="7"/>
        <v>391.58377731754786</v>
      </c>
      <c r="BH54" s="62">
        <f t="shared" si="8"/>
        <v>654.32557134873969</v>
      </c>
      <c r="BI54" s="62">
        <f ca="1">AVERAGE(OFFSET($BH$3,0,0,'Données projet'!$E$11+1,1))-AVERAGE(OFFSET($H$3,0,0,'Données projet'!$E$11+1,1))</f>
        <v>513.7388209355762</v>
      </c>
      <c r="BJ54" s="62">
        <f t="shared" si="38"/>
        <v>328.24603121433927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61.656852917597774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8.4999999999999893</v>
      </c>
      <c r="BY54" s="13">
        <f>IF('Données projet'!$A$114&gt;35,BY53+BX54-CG53,IF(A54&lt;'Données projet'!$A$114,$BV$205^A54,IF(A54='Données projet'!$A$114,'Données projet'!$B$114,BY53+BX54-CG53)))</f>
        <v>290.10000000000014</v>
      </c>
      <c r="BZ54" s="14">
        <f>BY54*VLOOKUP('Données projet'!$B$12,Paramètres!$A$1:$I$89,3,0)*VLOOKUP('Données projet'!$B$12,Paramètres!$A$1:$I$89,5,0)</f>
        <v>230.80356000000012</v>
      </c>
      <c r="CA54" s="14">
        <f t="shared" si="39"/>
        <v>56.45639470697494</v>
      </c>
      <c r="CB54" s="22">
        <f t="shared" si="10"/>
        <v>500.31108778131488</v>
      </c>
      <c r="CC54" s="62">
        <f t="shared" si="11"/>
        <v>763.05288181250671</v>
      </c>
      <c r="CD54" s="62">
        <f ca="1">AVERAGE(OFFSET($CC$3,0,0,'Données projet'!$E$12+1,1))-AVERAGE(OFFSET($H$3,0,0,'Données projet'!$E$12+1,1))</f>
        <v>447.25854887589878</v>
      </c>
      <c r="CE54" s="62">
        <f t="shared" si="40"/>
        <v>480.13390593590157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61.656852917597774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10.375</v>
      </c>
      <c r="CT54" s="13">
        <f>IF('Données projet'!$A$140&gt;35,CT53+CS54-DB53,IF(A54&lt;'Données projet'!$A$140,$CQ$205^A54,IF(A54='Données projet'!$A$140,'Données projet'!$B$140,CT53+CS54-DB53)))</f>
        <v>259.62499999999994</v>
      </c>
      <c r="CU54" s="18">
        <f>CT54*VLOOKUP('Données projet'!$B$13,Paramètres!$A$1:$I$89,3,0)*VLOOKUP('Données projet'!$B$13,Paramètres!$A$1:$I$89,5,0)</f>
        <v>202.50749999999996</v>
      </c>
      <c r="CV54" s="14">
        <f t="shared" si="41"/>
        <v>50.294840086606349</v>
      </c>
      <c r="CW54" s="22">
        <f t="shared" si="13"/>
        <v>440.29740898417259</v>
      </c>
      <c r="CX54" s="62">
        <f t="shared" si="14"/>
        <v>703.03920301536436</v>
      </c>
      <c r="CY54" s="62">
        <f ca="1">AVERAGE(OFFSET($CX$3,0,0,'Données projet'!$E$13+1,1))-AVERAGE(OFFSET($H$3,0,0,'Données projet'!$E$13+1,1))</f>
        <v>308.52515801950324</v>
      </c>
      <c r="CZ54" s="62">
        <f t="shared" si="42"/>
        <v>299.05420638408953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61.656852917597774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8.4999999999999893</v>
      </c>
      <c r="DO54" s="13">
        <f>IF('Données projet'!$A$166&gt;35,DO53+DN54-DW53,IF(A54&lt;'Données projet'!$A$166,$DL$205^A54,IF(A54='Données projet'!$A$166,'Données projet'!$B$166,DO53+DN54-DW53)))</f>
        <v>290.10000000000014</v>
      </c>
      <c r="DP54" s="18">
        <f>DO54*VLOOKUP('Données projet'!$B$14,Paramètres!$A$1:$I$89,3,0)*VLOOKUP('Données projet'!$B$14,Paramètres!$A$1:$I$89,5,0)</f>
        <v>212.70132000000009</v>
      </c>
      <c r="DQ54" s="14">
        <f t="shared" si="43"/>
        <v>52.525452249950405</v>
      </c>
      <c r="DR54" s="22">
        <f t="shared" si="16"/>
        <v>461.93662833533045</v>
      </c>
      <c r="DS54" s="62">
        <f t="shared" si="17"/>
        <v>724.67842236652223</v>
      </c>
      <c r="DT54" s="62">
        <f ca="1">AVERAGE(OFFSET($DS$3,0,0,'Données projet'!$E$14+1,1))-AVERAGE(OFFSET($H$3,0,0,'Données projet'!$E$14+1,1))</f>
        <v>416.72317068678774</v>
      </c>
      <c r="DU54" s="62">
        <f t="shared" si="44"/>
        <v>447.32457429495537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61.656852917597774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5.8974358974359005</v>
      </c>
      <c r="EJ54" s="13">
        <f>IF('Données projet'!$A$192&gt;35,EJ53+EI54-ER53,IF(A54&lt;'Données projet'!$A$192,$EG$205^A54,IF(A54='Données projet'!$A$192,'Données projet'!$B$192,EJ53+EI54-ER53)))</f>
        <v>186.66666666666663</v>
      </c>
      <c r="EK54" s="18">
        <f>EJ54*VLOOKUP('Données projet'!$B$15,Paramètres!$A$1:$I$89,3,0)*VLOOKUP('Données projet'!$B$15,Paramètres!$A$1:$I$89,5,0)</f>
        <v>177.63199999999998</v>
      </c>
      <c r="EL54" s="14">
        <f t="shared" si="45"/>
        <v>44.794944431725291</v>
      </c>
      <c r="EM54" s="22">
        <f t="shared" si="19"/>
        <v>387.3935948852548</v>
      </c>
      <c r="EN54" s="62">
        <f t="shared" si="20"/>
        <v>650.13538891644657</v>
      </c>
      <c r="EO54" s="62">
        <f ca="1">AVERAGE(OFFSET($EN$3,0,0,'Données projet'!$E$15+1,1))-AVERAGE(OFFSET($H$3,0,0,'Données projet'!$E$15+1,1))</f>
        <v>454.78867027701426</v>
      </c>
      <c r="EP54" s="62">
        <f t="shared" si="46"/>
        <v>366.45346303927056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0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61.656852917597774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6.6666666666666625</v>
      </c>
      <c r="FE54" s="13">
        <f>IF('Données projet'!$A$218&gt;35,FE53+FD54-FM53,IF(A54&lt;'Données projet'!$A$218,$FB$205^A54,IF(A54='Données projet'!$A$218,'Données projet'!$B$218,FE53+FD54-FM53)))</f>
        <v>231.66666666666674</v>
      </c>
      <c r="FF54" s="18">
        <f>FE54*VLOOKUP('Données projet'!$B$16,Paramètres!$A$1:$I$89,3,0)*VLOOKUP('Données projet'!$B$16,Paramètres!$A$1:$I$89,5,0)</f>
        <v>155.40200000000007</v>
      </c>
      <c r="FG54" s="14">
        <f t="shared" si="47"/>
        <v>39.803670275990136</v>
      </c>
      <c r="FH54" s="22">
        <f t="shared" si="22"/>
        <v>339.98320906401625</v>
      </c>
      <c r="FI54" s="62">
        <f t="shared" si="23"/>
        <v>602.72500309520808</v>
      </c>
      <c r="FJ54" s="62">
        <f ca="1">AVERAGE(OFFSET($FI$3,0,0,'Données projet'!$E$16+1,1))-AVERAGE(OFFSET($H$3,0,0,'Données projet'!$E$16+1,1))</f>
        <v>390.05579539539576</v>
      </c>
      <c r="FK54" s="62">
        <f t="shared" si="48"/>
        <v>323.72278615226139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projet'!$B$16,Paramètres!$A$1:$I$89,3,0)*0.475*44/12</f>
        <v>0</v>
      </c>
      <c r="FR54" s="23">
        <f>EXP(-LN(2)/25)*FR53+(1-EXP(-LN(2)/25))/(LN(2)/25)*Calculateur!FM54*Calculateur!FO54*VLOOKUP('Données projet'!$B$16,Paramètres!$A$1:$I$89,3,0)*0.475*44/12</f>
        <v>0</v>
      </c>
      <c r="FS54" s="23">
        <f>EXP(-LN(2)/2)*FS53+(1-EXP(-LN(2)/2))/(LN(2)/2)*FM54*FP54*VLOOKUP('Données projet'!$B$16,Paramètres!$A$1:$I$89,3,0)*0.475*44/12</f>
        <v>0</v>
      </c>
      <c r="FT54" s="24">
        <f t="shared" si="24"/>
        <v>0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61.656852917597774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10.199999999999999</v>
      </c>
      <c r="FZ54" s="13">
        <f>IF('Données projet'!$A$244&gt;35,FZ53+FY54-GH53,IF(A54&lt;'Données projet'!$A$244,$FW$205^A54,IF(A54='Données projet'!$A$244,'Données projet'!$B$244,FZ53+FY54-GH53)))</f>
        <v>213.2</v>
      </c>
      <c r="GA54" s="18">
        <f>FZ54*VLOOKUP('Données projet'!$B$17,Paramètres!$A$1:$I$89,3,0)*VLOOKUP('Données projet'!$B$17,Paramètres!$A$1:$I$89,5,0)</f>
        <v>206.20704000000001</v>
      </c>
      <c r="GB54" s="14">
        <f t="shared" si="49"/>
        <v>51.105851308113081</v>
      </c>
      <c r="GC54" s="22">
        <f t="shared" si="25"/>
        <v>448.15328569496359</v>
      </c>
      <c r="GD54" s="62">
        <f t="shared" si="26"/>
        <v>710.89507972615547</v>
      </c>
      <c r="GE54" s="62">
        <f ca="1">AVERAGE(OFFSET($GD$3,0,0,'Données projet'!$E$17+1,1))-AVERAGE(OFFSET($H$3,0,0,'Données projet'!$E$17+1,1))</f>
        <v>578.44111602076555</v>
      </c>
      <c r="GF54" s="62">
        <f t="shared" si="50"/>
        <v>368.08542661432784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>
        <f>EXP(-LN(2)/35)*GL53+(1-EXP(-LN(2)/35))/(LN(2)/35)*GH54*GI54*VLOOKUP('Données projet'!$B$17,Paramètres!$A$1:$I$89,3,0)*0.475*44/12</f>
        <v>0</v>
      </c>
      <c r="GM54" s="23">
        <f>EXP(-LN(2)/25)*GM53+(1-EXP(-LN(2)/25))/(LN(2)/25)*Calculateur!GH54*Calculateur!GJ54*VLOOKUP('Données projet'!$B$17,Paramètres!$A$1:$I$89,3,0)*0.475*44/12</f>
        <v>0</v>
      </c>
      <c r="GN54" s="23">
        <f>EXP(-LN(2)/2)*GN53+(1-EXP(-LN(2)/2))/(LN(2)/2)*GH54*GK54*VLOOKUP('Données projet'!$B$17,Paramètres!$A$1:$I$89,3,0)*0.475*44/12</f>
        <v>0</v>
      </c>
      <c r="GO54" s="23">
        <f t="shared" si="27"/>
        <v>0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61.656852917597774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4.0735000000000001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14.936166666666667</v>
      </c>
      <c r="H55" s="70">
        <f t="shared" si="1"/>
        <v>196.922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61.801587866994922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10.199999999999999</v>
      </c>
      <c r="N55" s="14">
        <f>IF('Données projet'!$A$36&gt;35,N54+M55-V54,IF(A55&lt;'Données projet'!$A$36,$K$205^A55,IF(A55='Données projet'!$A$36,'Données projet'!$B$36,N54+M55-V54)))</f>
        <v>223.39999999999998</v>
      </c>
      <c r="O55" s="14">
        <f>N55*VLOOKUP('Données projet'!$B$9,Paramètres!$A$1:$I$89,3,0)*VLOOKUP('Données projet'!$B$9,Paramètres!$A$1:$I$89,5,0)</f>
        <v>202.13231999999996</v>
      </c>
      <c r="P55" s="14">
        <f t="shared" si="33"/>
        <v>50.212497488959627</v>
      </c>
      <c r="Q55" s="22">
        <f t="shared" si="53"/>
        <v>439.50055712660463</v>
      </c>
      <c r="R55" s="62">
        <f t="shared" si="0"/>
        <v>702.7730459722527</v>
      </c>
      <c r="S55" s="62">
        <f ca="1">AVERAGE(OFFSET($R$3,0,0,'Données projet'!$E$9+1,1))-AVERAGE(OFFSET($H$3,0,0,'Données projet'!$E$9+1,1))</f>
        <v>546.11281471711925</v>
      </c>
      <c r="T55" s="62">
        <f t="shared" si="34"/>
        <v>348.18069831447099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61.801587866994922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13.4</v>
      </c>
      <c r="AI55" s="14">
        <f>IF('Données projet'!$A$62&gt;35,AI54+AH55-AQ54,IF(A55&lt;'Données projet'!$A$62,$AF$205^A55,IF(A55='Données projet'!$A$62,'Données projet'!$B$62,AI54+AH55-AQ54)))</f>
        <v>300.80000000000013</v>
      </c>
      <c r="AJ55" s="14">
        <f>AI55*VLOOKUP('Données projet'!$B$10,Paramètres!$A$1:$I$89,3,0)*VLOOKUP('Données projet'!$B$10,Paramètres!$A$1:$I$89,5,0)</f>
        <v>258.08640000000014</v>
      </c>
      <c r="AK55" s="14">
        <f t="shared" si="35"/>
        <v>62.314300560342502</v>
      </c>
      <c r="AL55" s="22">
        <f t="shared" si="4"/>
        <v>558.03122014259679</v>
      </c>
      <c r="AM55" s="62">
        <f t="shared" si="5"/>
        <v>821.30370898824481</v>
      </c>
      <c r="AN55" s="62">
        <f ca="1">AVERAGE(OFFSET($AM$3,0,0,'Données projet'!$E$10+1,1))-AVERAGE(OFFSET($H$3,0,0,'Données projet'!$E$10+1,1))</f>
        <v>693.87994318348024</v>
      </c>
      <c r="AO55" s="62">
        <f t="shared" si="36"/>
        <v>327.71043739333641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61.801587866994922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10.199999999999999</v>
      </c>
      <c r="BD55" s="13">
        <f>IF('Données projet'!$A$88&gt;35,BD54+BC55-BL54,IF(A55&lt;'Données projet'!$A$88,$BA$205^A55,IF(A55='Données projet'!$A$88,'Données projet'!$B$88,BD54+BC55-BL54)))</f>
        <v>223.39999999999998</v>
      </c>
      <c r="BE55" s="14">
        <f>BD55*VLOOKUP('Données projet'!$B$11,Paramètres!$A$1:$I$89,3,0)*VLOOKUP('Données projet'!$B$11,Paramètres!$A$1:$I$89,5,0)</f>
        <v>188.19216</v>
      </c>
      <c r="BF55" s="14">
        <f t="shared" si="37"/>
        <v>47.140042972585213</v>
      </c>
      <c r="BG55" s="22">
        <f t="shared" si="7"/>
        <v>409.87025351058588</v>
      </c>
      <c r="BH55" s="62">
        <f t="shared" si="8"/>
        <v>673.14274235623395</v>
      </c>
      <c r="BI55" s="62">
        <f ca="1">AVERAGE(OFFSET($BH$3,0,0,'Données projet'!$E$11+1,1))-AVERAGE(OFFSET($H$3,0,0,'Données projet'!$E$11+1,1))</f>
        <v>513.7388209355762</v>
      </c>
      <c r="BJ55" s="62">
        <f t="shared" si="38"/>
        <v>328.24603121433927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61.801587866994922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8.4999999999999893</v>
      </c>
      <c r="BY55" s="13">
        <f>IF('Données projet'!$A$114&gt;35,BY54+BX55-CG54,IF(A55&lt;'Données projet'!$A$114,$BV$205^A55,IF(A55='Données projet'!$A$114,'Données projet'!$B$114,BY54+BX55-CG54)))</f>
        <v>298.60000000000014</v>
      </c>
      <c r="BZ55" s="14">
        <f>BY55*VLOOKUP('Données projet'!$B$12,Paramètres!$A$1:$I$89,3,0)*VLOOKUP('Données projet'!$B$12,Paramètres!$A$1:$I$89,5,0)</f>
        <v>237.56616000000011</v>
      </c>
      <c r="CA55" s="14">
        <f t="shared" si="39"/>
        <v>57.915567714413562</v>
      </c>
      <c r="CB55" s="22">
        <f t="shared" si="10"/>
        <v>514.63067576927051</v>
      </c>
      <c r="CC55" s="62">
        <f t="shared" si="11"/>
        <v>777.90316461491852</v>
      </c>
      <c r="CD55" s="62">
        <f ca="1">AVERAGE(OFFSET($CC$3,0,0,'Données projet'!$E$12+1,1))-AVERAGE(OFFSET($H$3,0,0,'Données projet'!$E$12+1,1))</f>
        <v>447.25854887589878</v>
      </c>
      <c r="CE55" s="62">
        <f t="shared" si="40"/>
        <v>480.13390593590157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61.801587866994922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>
        <f>VLOOKUP(A55,'Données projet'!$A$139:$I$159,2,0)</f>
        <v>270</v>
      </c>
      <c r="CR55" s="13">
        <f>VLOOKUP(A55,'Données projet'!$A$139:$I$159,9,0)</f>
        <v>10.375</v>
      </c>
      <c r="CS55" s="13">
        <f t="array" ref="CS55">INDEX(CR:CR,MIN(IF(ISNUMBER(CR55:CR251),ROW(CR55:CR251),"")))</f>
        <v>10.375</v>
      </c>
      <c r="CT55" s="13">
        <f>IF('Données projet'!$A$140&gt;35,CT54+CS55-DB54,IF(A55&lt;'Données projet'!$A$140,$CQ$205^A55,IF(A55='Données projet'!$A$140,'Données projet'!$B$140,CT54+CS55-DB54)))</f>
        <v>269.99999999999994</v>
      </c>
      <c r="CU55" s="18">
        <f>CT55*VLOOKUP('Données projet'!$B$13,Paramètres!$A$1:$I$89,3,0)*VLOOKUP('Données projet'!$B$13,Paramètres!$A$1:$I$89,5,0)</f>
        <v>210.59999999999997</v>
      </c>
      <c r="CV55" s="14">
        <f t="shared" si="41"/>
        <v>52.066679014659961</v>
      </c>
      <c r="CW55" s="22">
        <f t="shared" si="13"/>
        <v>457.47779928386598</v>
      </c>
      <c r="CX55" s="62">
        <f t="shared" si="14"/>
        <v>720.75028812951405</v>
      </c>
      <c r="CY55" s="62">
        <f ca="1">AVERAGE(OFFSET($CX$3,0,0,'Données projet'!$E$13+1,1))-AVERAGE(OFFSET($H$3,0,0,'Données projet'!$E$13+1,1))</f>
        <v>308.52515801950324</v>
      </c>
      <c r="CZ55" s="62">
        <f t="shared" si="42"/>
        <v>299.05420638408953</v>
      </c>
      <c r="DA55" s="16">
        <f>IF(ISNA(VLOOKUP(A55,'Données projet'!$A$139:$I$159,3,0)),0,VLOOKUP(A55,'Données projet'!$A$139:$I$159,3,0))</f>
        <v>6</v>
      </c>
      <c r="DB55" s="16">
        <f>IF(ISNA(VLOOKUP(A55,'Données projet'!$A$139:$I$159,4,0)),0,VLOOKUP(A55,'Données projet'!$A$139:$I$159,4,0))</f>
        <v>48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61.801587866994922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8.4999999999999893</v>
      </c>
      <c r="DO55" s="13">
        <f>IF('Données projet'!$A$166&gt;35,DO54+DN55-DW54,IF(A55&lt;'Données projet'!$A$166,$DL$205^A55,IF(A55='Données projet'!$A$166,'Données projet'!$B$166,DO54+DN55-DW54)))</f>
        <v>298.60000000000014</v>
      </c>
      <c r="DP55" s="18">
        <f>DO55*VLOOKUP('Données projet'!$B$14,Paramètres!$A$1:$I$89,3,0)*VLOOKUP('Données projet'!$B$14,Paramètres!$A$1:$I$89,5,0)</f>
        <v>218.93352000000013</v>
      </c>
      <c r="DQ55" s="14">
        <f t="shared" si="43"/>
        <v>53.88302604693898</v>
      </c>
      <c r="DR55" s="22">
        <f t="shared" si="16"/>
        <v>475.15548436508561</v>
      </c>
      <c r="DS55" s="62">
        <f t="shared" si="17"/>
        <v>738.42797321073363</v>
      </c>
      <c r="DT55" s="62">
        <f ca="1">AVERAGE(OFFSET($DS$3,0,0,'Données projet'!$E$14+1,1))-AVERAGE(OFFSET($H$3,0,0,'Données projet'!$E$14+1,1))</f>
        <v>416.72317068678774</v>
      </c>
      <c r="DU55" s="62">
        <f t="shared" si="44"/>
        <v>447.32457429495537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61.801587866994922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5.8974358974359005</v>
      </c>
      <c r="EJ55" s="13">
        <f>IF('Données projet'!$A$192&gt;35,EJ54+EI55-ER54,IF(A55&lt;'Données projet'!$A$192,$EG$205^A55,IF(A55='Données projet'!$A$192,'Données projet'!$B$192,EJ54+EI55-ER54)))</f>
        <v>192.56410256410254</v>
      </c>
      <c r="EK55" s="18">
        <f>EJ55*VLOOKUP('Données projet'!$B$15,Paramètres!$A$1:$I$89,3,0)*VLOOKUP('Données projet'!$B$15,Paramètres!$A$1:$I$89,5,0)</f>
        <v>183.24399999999997</v>
      </c>
      <c r="EL55" s="14">
        <f t="shared" si="45"/>
        <v>46.043164410574995</v>
      </c>
      <c r="EM55" s="22">
        <f t="shared" si="19"/>
        <v>399.34181134841805</v>
      </c>
      <c r="EN55" s="62">
        <f t="shared" si="20"/>
        <v>662.61430019406612</v>
      </c>
      <c r="EO55" s="62">
        <f ca="1">AVERAGE(OFFSET($EN$3,0,0,'Données projet'!$E$15+1,1))-AVERAGE(OFFSET($H$3,0,0,'Données projet'!$E$15+1,1))</f>
        <v>454.78867027701426</v>
      </c>
      <c r="EP55" s="62">
        <f t="shared" si="46"/>
        <v>366.45346303927056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0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61.801587866994922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6.6666666666666625</v>
      </c>
      <c r="FE55" s="13">
        <f>IF('Données projet'!$A$218&gt;35,FE54+FD55-FM54,IF(A55&lt;'Données projet'!$A$218,$FB$205^A55,IF(A55='Données projet'!$A$218,'Données projet'!$B$218,FE54+FD55-FM54)))</f>
        <v>238.3333333333334</v>
      </c>
      <c r="FF55" s="18">
        <f>FE55*VLOOKUP('Données projet'!$B$16,Paramètres!$A$1:$I$89,3,0)*VLOOKUP('Données projet'!$B$16,Paramètres!$A$1:$I$89,5,0)</f>
        <v>159.87400000000005</v>
      </c>
      <c r="FG55" s="14">
        <f t="shared" si="47"/>
        <v>40.81409445206225</v>
      </c>
      <c r="FH55" s="22">
        <f t="shared" si="22"/>
        <v>349.53176450400855</v>
      </c>
      <c r="FI55" s="62">
        <f t="shared" si="23"/>
        <v>612.80425334965662</v>
      </c>
      <c r="FJ55" s="62">
        <f ca="1">AVERAGE(OFFSET($FI$3,0,0,'Données projet'!$E$16+1,1))-AVERAGE(OFFSET($H$3,0,0,'Données projet'!$E$16+1,1))</f>
        <v>390.05579539539576</v>
      </c>
      <c r="FK55" s="62">
        <f t="shared" si="48"/>
        <v>323.72278615226139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projet'!$B$16,Paramètres!$A$1:$I$89,3,0)*0.475*44/12</f>
        <v>0</v>
      </c>
      <c r="FR55" s="23">
        <f>EXP(-LN(2)/25)*FR54+(1-EXP(-LN(2)/25))/(LN(2)/25)*Calculateur!FM55*Calculateur!FO55*VLOOKUP('Données projet'!$B$16,Paramètres!$A$1:$I$89,3,0)*0.475*44/12</f>
        <v>0</v>
      </c>
      <c r="FS55" s="23">
        <f>EXP(-LN(2)/2)*FS54+(1-EXP(-LN(2)/2))/(LN(2)/2)*FM55*FP55*VLOOKUP('Données projet'!$B$16,Paramètres!$A$1:$I$89,3,0)*0.475*44/12</f>
        <v>0</v>
      </c>
      <c r="FT55" s="24">
        <f t="shared" si="24"/>
        <v>0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61.801587866994922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10.199999999999999</v>
      </c>
      <c r="FZ55" s="13">
        <f>IF('Données projet'!$A$244&gt;35,FZ54+FY55-GH54,IF(A55&lt;'Données projet'!$A$244,$FW$205^A55,IF(A55='Données projet'!$A$244,'Données projet'!$B$244,FZ54+FY55-GH54)))</f>
        <v>223.39999999999998</v>
      </c>
      <c r="GA55" s="18">
        <f>FZ55*VLOOKUP('Données projet'!$B$17,Paramètres!$A$1:$I$89,3,0)*VLOOKUP('Données projet'!$B$17,Paramètres!$A$1:$I$89,5,0)</f>
        <v>216.07247999999998</v>
      </c>
      <c r="GB55" s="14">
        <f t="shared" si="49"/>
        <v>53.260365780197098</v>
      </c>
      <c r="GC55" s="22">
        <f t="shared" si="25"/>
        <v>469.08803973384329</v>
      </c>
      <c r="GD55" s="62">
        <f t="shared" si="26"/>
        <v>732.3605285794913</v>
      </c>
      <c r="GE55" s="62">
        <f ca="1">AVERAGE(OFFSET($GD$3,0,0,'Données projet'!$E$17+1,1))-AVERAGE(OFFSET($H$3,0,0,'Données projet'!$E$17+1,1))</f>
        <v>578.44111602076555</v>
      </c>
      <c r="GF55" s="62">
        <f t="shared" si="50"/>
        <v>368.08542661432784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>
        <f>EXP(-LN(2)/35)*GL54+(1-EXP(-LN(2)/35))/(LN(2)/35)*GH55*GI55*VLOOKUP('Données projet'!$B$17,Paramètres!$A$1:$I$89,3,0)*0.475*44/12</f>
        <v>0</v>
      </c>
      <c r="GM55" s="23">
        <f>EXP(-LN(2)/25)*GM54+(1-EXP(-LN(2)/25))/(LN(2)/25)*Calculateur!GH55*Calculateur!GJ55*VLOOKUP('Données projet'!$B$17,Paramètres!$A$1:$I$89,3,0)*0.475*44/12</f>
        <v>0</v>
      </c>
      <c r="GN55" s="23">
        <f>EXP(-LN(2)/2)*GN54+(1-EXP(-LN(2)/2))/(LN(2)/2)*GH55*GK55*VLOOKUP('Données projet'!$B$17,Paramètres!$A$1:$I$89,3,0)*0.475*44/12</f>
        <v>0</v>
      </c>
      <c r="GO55" s="23">
        <f t="shared" si="27"/>
        <v>0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61.801587866994922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4.0735000000000001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14.936166666666667</v>
      </c>
      <c r="H56" s="70">
        <f t="shared" si="1"/>
        <v>196.922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61.943811988598895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10.199999999999999</v>
      </c>
      <c r="N56" s="14">
        <f>IF('Données projet'!$A$36&gt;35,N55+M56-V55,IF(A56&lt;'Données projet'!$A$36,$K$205^A56,IF(A56='Données projet'!$A$36,'Données projet'!$B$36,N55+M56-V55)))</f>
        <v>233.59999999999997</v>
      </c>
      <c r="O56" s="14">
        <f>N56*VLOOKUP('Données projet'!$B$9,Paramètres!$A$1:$I$89,3,0)*VLOOKUP('Données projet'!$B$9,Paramètres!$A$1:$I$89,5,0)</f>
        <v>211.36127999999997</v>
      </c>
      <c r="P56" s="14">
        <f t="shared" si="33"/>
        <v>52.232947669705631</v>
      </c>
      <c r="Q56" s="22">
        <f t="shared" si="53"/>
        <v>459.09327985807062</v>
      </c>
      <c r="R56" s="62">
        <f t="shared" si="0"/>
        <v>722.88725714959992</v>
      </c>
      <c r="S56" s="62">
        <f ca="1">AVERAGE(OFFSET($R$3,0,0,'Données projet'!$E$9+1,1))-AVERAGE(OFFSET($H$3,0,0,'Données projet'!$E$9+1,1))</f>
        <v>546.11281471711925</v>
      </c>
      <c r="T56" s="62">
        <f t="shared" si="34"/>
        <v>348.18069831447099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61.943811988598895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13.4</v>
      </c>
      <c r="AI56" s="14">
        <f>IF('Données projet'!$A$62&gt;35,AI55+AH56-AQ55,IF(A56&lt;'Données projet'!$A$62,$AF$205^A56,IF(A56='Données projet'!$A$62,'Données projet'!$B$62,AI55+AH56-AQ55)))</f>
        <v>314.2000000000001</v>
      </c>
      <c r="AJ56" s="14">
        <f>AI56*VLOOKUP('Données projet'!$B$10,Paramètres!$A$1:$I$89,3,0)*VLOOKUP('Données projet'!$B$10,Paramètres!$A$1:$I$89,5,0)</f>
        <v>269.5836000000001</v>
      </c>
      <c r="AK56" s="14">
        <f t="shared" si="35"/>
        <v>64.760890762143589</v>
      </c>
      <c r="AL56" s="22">
        <f t="shared" si="4"/>
        <v>582.31665474406691</v>
      </c>
      <c r="AM56" s="62">
        <f t="shared" si="5"/>
        <v>846.11063203559615</v>
      </c>
      <c r="AN56" s="62">
        <f ca="1">AVERAGE(OFFSET($AM$3,0,0,'Données projet'!$E$10+1,1))-AVERAGE(OFFSET($H$3,0,0,'Données projet'!$E$10+1,1))</f>
        <v>693.87994318348024</v>
      </c>
      <c r="AO56" s="62">
        <f t="shared" si="36"/>
        <v>327.71043739333641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61.943811988598895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10.199999999999999</v>
      </c>
      <c r="BD56" s="13">
        <f>IF('Données projet'!$A$88&gt;35,BD55+BC56-BL55,IF(A56&lt;'Données projet'!$A$88,$BA$205^A56,IF(A56='Données projet'!$A$88,'Données projet'!$B$88,BD55+BC56-BL55)))</f>
        <v>233.59999999999997</v>
      </c>
      <c r="BE56" s="14">
        <f>BD56*VLOOKUP('Données projet'!$B$11,Paramètres!$A$1:$I$89,3,0)*VLOOKUP('Données projet'!$B$11,Paramètres!$A$1:$I$89,5,0)</f>
        <v>196.78464</v>
      </c>
      <c r="BF56" s="14">
        <f t="shared" si="37"/>
        <v>49.036863746442876</v>
      </c>
      <c r="BG56" s="22">
        <f t="shared" si="7"/>
        <v>428.1391190250547</v>
      </c>
      <c r="BH56" s="62">
        <f t="shared" si="8"/>
        <v>691.93309631658394</v>
      </c>
      <c r="BI56" s="62">
        <f ca="1">AVERAGE(OFFSET($BH$3,0,0,'Données projet'!$E$11+1,1))-AVERAGE(OFFSET($H$3,0,0,'Données projet'!$E$11+1,1))</f>
        <v>513.7388209355762</v>
      </c>
      <c r="BJ56" s="62">
        <f t="shared" si="38"/>
        <v>328.24603121433927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61.943811988598895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8.4999999999999893</v>
      </c>
      <c r="BY56" s="13">
        <f>IF('Données projet'!$A$114&gt;35,BY55+BX56-CG55,IF(A56&lt;'Données projet'!$A$114,$BV$205^A56,IF(A56='Données projet'!$A$114,'Données projet'!$B$114,BY55+BX56-CG55)))</f>
        <v>307.10000000000014</v>
      </c>
      <c r="BZ56" s="14">
        <f>BY56*VLOOKUP('Données projet'!$B$12,Paramètres!$A$1:$I$89,3,0)*VLOOKUP('Données projet'!$B$12,Paramètres!$A$1:$I$89,5,0)</f>
        <v>244.3287600000001</v>
      </c>
      <c r="CA56" s="14">
        <f t="shared" si="39"/>
        <v>59.369913118726203</v>
      </c>
      <c r="CB56" s="22">
        <f t="shared" si="10"/>
        <v>528.9418556817817</v>
      </c>
      <c r="CC56" s="62">
        <f t="shared" si="11"/>
        <v>792.73583297331106</v>
      </c>
      <c r="CD56" s="62">
        <f ca="1">AVERAGE(OFFSET($CC$3,0,0,'Données projet'!$E$12+1,1))-AVERAGE(OFFSET($H$3,0,0,'Données projet'!$E$12+1,1))</f>
        <v>447.25854887589878</v>
      </c>
      <c r="CE56" s="62">
        <f t="shared" si="40"/>
        <v>480.13390593590157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61.943811988598895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9.375</v>
      </c>
      <c r="CT56" s="13">
        <f>IF('Données projet'!$A$140&gt;35,CT55+CS56-DB55,IF(A56&lt;'Données projet'!$A$140,$CQ$205^A56,IF(A56='Données projet'!$A$140,'Données projet'!$B$140,CT55+CS56-DB55)))</f>
        <v>231.37499999999994</v>
      </c>
      <c r="CU56" s="18">
        <f>CT56*VLOOKUP('Données projet'!$B$13,Paramètres!$A$1:$I$89,3,0)*VLOOKUP('Données projet'!$B$13,Paramètres!$A$1:$I$89,5,0)</f>
        <v>180.47249999999997</v>
      </c>
      <c r="CV56" s="14">
        <f t="shared" si="41"/>
        <v>45.427292666837829</v>
      </c>
      <c r="CW56" s="22">
        <f t="shared" si="13"/>
        <v>393.44213889474253</v>
      </c>
      <c r="CX56" s="62">
        <f t="shared" si="14"/>
        <v>657.23611618627183</v>
      </c>
      <c r="CY56" s="62">
        <f ca="1">AVERAGE(OFFSET($CX$3,0,0,'Données projet'!$E$13+1,1))-AVERAGE(OFFSET($H$3,0,0,'Données projet'!$E$13+1,1))</f>
        <v>308.52515801950324</v>
      </c>
      <c r="CZ56" s="62">
        <f t="shared" si="42"/>
        <v>299.05420638408953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61.943811988598895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8.4999999999999893</v>
      </c>
      <c r="DO56" s="13">
        <f>IF('Données projet'!$A$166&gt;35,DO55+DN56-DW55,IF(A56&lt;'Données projet'!$A$166,$DL$205^A56,IF(A56='Données projet'!$A$166,'Données projet'!$B$166,DO55+DN56-DW55)))</f>
        <v>307.10000000000014</v>
      </c>
      <c r="DP56" s="18">
        <f>DO56*VLOOKUP('Données projet'!$B$14,Paramètres!$A$1:$I$89,3,0)*VLOOKUP('Données projet'!$B$14,Paramètres!$A$1:$I$89,5,0)</f>
        <v>225.16572000000008</v>
      </c>
      <c r="DQ56" s="14">
        <f t="shared" si="43"/>
        <v>55.236108376861843</v>
      </c>
      <c r="DR56" s="22">
        <f t="shared" si="16"/>
        <v>488.36651775636784</v>
      </c>
      <c r="DS56" s="62">
        <f t="shared" si="17"/>
        <v>752.16049504789714</v>
      </c>
      <c r="DT56" s="62">
        <f ca="1">AVERAGE(OFFSET($DS$3,0,0,'Données projet'!$E$14+1,1))-AVERAGE(OFFSET($H$3,0,0,'Données projet'!$E$14+1,1))</f>
        <v>416.72317068678774</v>
      </c>
      <c r="DU56" s="62">
        <f t="shared" si="44"/>
        <v>447.32457429495537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61.943811988598895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5.8974358974359005</v>
      </c>
      <c r="EJ56" s="13">
        <f>IF('Données projet'!$A$192&gt;35,EJ55+EI56-ER55,IF(A56&lt;'Données projet'!$A$192,$EG$205^A56,IF(A56='Données projet'!$A$192,'Données projet'!$B$192,EJ55+EI56-ER55)))</f>
        <v>198.46153846153845</v>
      </c>
      <c r="EK56" s="18">
        <f>EJ56*VLOOKUP('Données projet'!$B$15,Paramètres!$A$1:$I$89,3,0)*VLOOKUP('Données projet'!$B$15,Paramètres!$A$1:$I$89,5,0)</f>
        <v>188.85599999999999</v>
      </c>
      <c r="EL56" s="14">
        <f t="shared" si="45"/>
        <v>47.286941864448139</v>
      </c>
      <c r="EM56" s="22">
        <f t="shared" si="19"/>
        <v>411.28229041391381</v>
      </c>
      <c r="EN56" s="62">
        <f t="shared" si="20"/>
        <v>675.07626770544312</v>
      </c>
      <c r="EO56" s="62">
        <f ca="1">AVERAGE(OFFSET($EN$3,0,0,'Données projet'!$E$15+1,1))-AVERAGE(OFFSET($H$3,0,0,'Données projet'!$E$15+1,1))</f>
        <v>454.78867027701426</v>
      </c>
      <c r="EP56" s="62">
        <f t="shared" si="46"/>
        <v>366.45346303927056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0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61.943811988598895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6.6666666666666625</v>
      </c>
      <c r="FE56" s="13">
        <f>IF('Données projet'!$A$218&gt;35,FE55+FD56-FM55,IF(A56&lt;'Données projet'!$A$218,$FB$205^A56,IF(A56='Données projet'!$A$218,'Données projet'!$B$218,FE55+FD56-FM55)))</f>
        <v>245.00000000000006</v>
      </c>
      <c r="FF56" s="18">
        <f>FE56*VLOOKUP('Données projet'!$B$16,Paramètres!$A$1:$I$89,3,0)*VLOOKUP('Données projet'!$B$16,Paramètres!$A$1:$I$89,5,0)</f>
        <v>164.34600000000003</v>
      </c>
      <c r="FG56" s="14">
        <f t="shared" si="47"/>
        <v>41.821233640915146</v>
      </c>
      <c r="FH56" s="22">
        <f t="shared" si="22"/>
        <v>359.07459859126061</v>
      </c>
      <c r="FI56" s="62">
        <f t="shared" si="23"/>
        <v>622.86857588278986</v>
      </c>
      <c r="FJ56" s="62">
        <f ca="1">AVERAGE(OFFSET($FI$3,0,0,'Données projet'!$E$16+1,1))-AVERAGE(OFFSET($H$3,0,0,'Données projet'!$E$16+1,1))</f>
        <v>390.05579539539576</v>
      </c>
      <c r="FK56" s="62">
        <f t="shared" si="48"/>
        <v>323.72278615226139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projet'!$B$16,Paramètres!$A$1:$I$89,3,0)*0.475*44/12</f>
        <v>0</v>
      </c>
      <c r="FR56" s="23">
        <f>EXP(-LN(2)/25)*FR55+(1-EXP(-LN(2)/25))/(LN(2)/25)*Calculateur!FM56*Calculateur!FO56*VLOOKUP('Données projet'!$B$16,Paramètres!$A$1:$I$89,3,0)*0.475*44/12</f>
        <v>0</v>
      </c>
      <c r="FS56" s="23">
        <f>EXP(-LN(2)/2)*FS55+(1-EXP(-LN(2)/2))/(LN(2)/2)*FM56*FP56*VLOOKUP('Données projet'!$B$16,Paramètres!$A$1:$I$89,3,0)*0.475*44/12</f>
        <v>0</v>
      </c>
      <c r="FT56" s="24">
        <f t="shared" si="24"/>
        <v>0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61.943811988598895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10.199999999999999</v>
      </c>
      <c r="FZ56" s="13">
        <f>IF('Données projet'!$A$244&gt;35,FZ55+FY56-GH55,IF(A56&lt;'Données projet'!$A$244,$FW$205^A56,IF(A56='Données projet'!$A$244,'Données projet'!$B$244,FZ55+FY56-GH55)))</f>
        <v>233.59999999999997</v>
      </c>
      <c r="GA56" s="18">
        <f>FZ56*VLOOKUP('Données projet'!$B$17,Paramètres!$A$1:$I$89,3,0)*VLOOKUP('Données projet'!$B$17,Paramètres!$A$1:$I$89,5,0)</f>
        <v>225.93791999999996</v>
      </c>
      <c r="GB56" s="14">
        <f t="shared" si="49"/>
        <v>55.403456067447962</v>
      </c>
      <c r="GC56" s="22">
        <f t="shared" si="25"/>
        <v>490.0028966508051</v>
      </c>
      <c r="GD56" s="62">
        <f t="shared" si="26"/>
        <v>753.7968739423344</v>
      </c>
      <c r="GE56" s="62">
        <f ca="1">AVERAGE(OFFSET($GD$3,0,0,'Données projet'!$E$17+1,1))-AVERAGE(OFFSET($H$3,0,0,'Données projet'!$E$17+1,1))</f>
        <v>578.44111602076555</v>
      </c>
      <c r="GF56" s="62">
        <f t="shared" si="50"/>
        <v>368.08542661432784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>
        <f>EXP(-LN(2)/35)*GL55+(1-EXP(-LN(2)/35))/(LN(2)/35)*GH56*GI56*VLOOKUP('Données projet'!$B$17,Paramètres!$A$1:$I$89,3,0)*0.475*44/12</f>
        <v>0</v>
      </c>
      <c r="GM56" s="23">
        <f>EXP(-LN(2)/25)*GM55+(1-EXP(-LN(2)/25))/(LN(2)/25)*Calculateur!GH56*Calculateur!GJ56*VLOOKUP('Données projet'!$B$17,Paramètres!$A$1:$I$89,3,0)*0.475*44/12</f>
        <v>0</v>
      </c>
      <c r="GN56" s="23">
        <f>EXP(-LN(2)/2)*GN55+(1-EXP(-LN(2)/2))/(LN(2)/2)*GH56*GK56*VLOOKUP('Données projet'!$B$17,Paramètres!$A$1:$I$89,3,0)*0.475*44/12</f>
        <v>0</v>
      </c>
      <c r="GO56" s="23">
        <f t="shared" si="27"/>
        <v>0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61.943811988598895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4.0735000000000001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14.936166666666667</v>
      </c>
      <c r="H57" s="70">
        <f t="shared" si="1"/>
        <v>196.922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62.08356883965854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10.199999999999999</v>
      </c>
      <c r="N57" s="14">
        <f>IF('Données projet'!$A$36&gt;35,N56+M57-V56,IF(A57&lt;'Données projet'!$A$36,$K$205^A57,IF(A57='Données projet'!$A$36,'Données projet'!$B$36,N56+M57-V56)))</f>
        <v>243.79999999999995</v>
      </c>
      <c r="O57" s="14">
        <f>N57*VLOOKUP('Données projet'!$B$9,Paramètres!$A$1:$I$89,3,0)*VLOOKUP('Données projet'!$B$9,Paramètres!$A$1:$I$89,5,0)</f>
        <v>220.59023999999997</v>
      </c>
      <c r="P57" s="14">
        <f t="shared" si="33"/>
        <v>54.24315145708789</v>
      </c>
      <c r="Q57" s="22">
        <f t="shared" si="53"/>
        <v>478.66815678776129</v>
      </c>
      <c r="R57" s="62">
        <f t="shared" si="0"/>
        <v>742.97457586650921</v>
      </c>
      <c r="S57" s="62">
        <f ca="1">AVERAGE(OFFSET($R$3,0,0,'Données projet'!$E$9+1,1))-AVERAGE(OFFSET($H$3,0,0,'Données projet'!$E$9+1,1))</f>
        <v>546.11281471711925</v>
      </c>
      <c r="T57" s="62">
        <f t="shared" si="34"/>
        <v>348.18069831447099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62.08356883965854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13.4</v>
      </c>
      <c r="AI57" s="14">
        <f>IF('Données projet'!$A$62&gt;35,AI56+AH57-AQ56,IF(A57&lt;'Données projet'!$A$62,$AF$205^A57,IF(A57='Données projet'!$A$62,'Données projet'!$B$62,AI56+AH57-AQ56)))</f>
        <v>327.60000000000008</v>
      </c>
      <c r="AJ57" s="14">
        <f>AI57*VLOOKUP('Données projet'!$B$10,Paramètres!$A$1:$I$89,3,0)*VLOOKUP('Données projet'!$B$10,Paramètres!$A$1:$I$89,5,0)</f>
        <v>281.08080000000012</v>
      </c>
      <c r="AK57" s="14">
        <f t="shared" si="35"/>
        <v>67.195361752546177</v>
      </c>
      <c r="AL57" s="22">
        <f t="shared" si="4"/>
        <v>606.58098171901804</v>
      </c>
      <c r="AM57" s="62">
        <f t="shared" si="5"/>
        <v>870.88740079776608</v>
      </c>
      <c r="AN57" s="62">
        <f ca="1">AVERAGE(OFFSET($AM$3,0,0,'Données projet'!$E$10+1,1))-AVERAGE(OFFSET($H$3,0,0,'Données projet'!$E$10+1,1))</f>
        <v>693.87994318348024</v>
      </c>
      <c r="AO57" s="62">
        <f t="shared" si="36"/>
        <v>327.71043739333641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62.08356883965854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10.199999999999999</v>
      </c>
      <c r="BD57" s="13">
        <f>IF('Données projet'!$A$88&gt;35,BD56+BC57-BL56,IF(A57&lt;'Données projet'!$A$88,$BA$205^A57,IF(A57='Données projet'!$A$88,'Données projet'!$B$88,BD56+BC57-BL56)))</f>
        <v>243.79999999999995</v>
      </c>
      <c r="BE57" s="14">
        <f>BD57*VLOOKUP('Données projet'!$B$11,Paramètres!$A$1:$I$89,3,0)*VLOOKUP('Données projet'!$B$11,Paramètres!$A$1:$I$89,5,0)</f>
        <v>205.37711999999999</v>
      </c>
      <c r="BF57" s="14">
        <f t="shared" si="37"/>
        <v>50.924065093909938</v>
      </c>
      <c r="BG57" s="22">
        <f t="shared" si="7"/>
        <v>446.39123070522641</v>
      </c>
      <c r="BH57" s="62">
        <f t="shared" si="8"/>
        <v>710.69764978397438</v>
      </c>
      <c r="BI57" s="62">
        <f ca="1">AVERAGE(OFFSET($BH$3,0,0,'Données projet'!$E$11+1,1))-AVERAGE(OFFSET($H$3,0,0,'Données projet'!$E$11+1,1))</f>
        <v>513.7388209355762</v>
      </c>
      <c r="BJ57" s="62">
        <f t="shared" si="38"/>
        <v>328.24603121433927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62.08356883965854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8.4999999999999893</v>
      </c>
      <c r="BY57" s="13">
        <f>IF('Données projet'!$A$114&gt;35,BY56+BX57-CG56,IF(A57&lt;'Données projet'!$A$114,$BV$205^A57,IF(A57='Données projet'!$A$114,'Données projet'!$B$114,BY56+BX57-CG56)))</f>
        <v>315.60000000000014</v>
      </c>
      <c r="BZ57" s="14">
        <f>BY57*VLOOKUP('Données projet'!$B$12,Paramètres!$A$1:$I$89,3,0)*VLOOKUP('Données projet'!$B$12,Paramètres!$A$1:$I$89,5,0)</f>
        <v>251.09136000000012</v>
      </c>
      <c r="CA57" s="14">
        <f t="shared" si="39"/>
        <v>60.819579891494087</v>
      </c>
      <c r="CB57" s="22">
        <f t="shared" si="10"/>
        <v>543.24488697768572</v>
      </c>
      <c r="CC57" s="62">
        <f t="shared" si="11"/>
        <v>807.55130605643376</v>
      </c>
      <c r="CD57" s="62">
        <f ca="1">AVERAGE(OFFSET($CC$3,0,0,'Données projet'!$E$12+1,1))-AVERAGE(OFFSET($H$3,0,0,'Données projet'!$E$12+1,1))</f>
        <v>447.25854887589878</v>
      </c>
      <c r="CE57" s="62">
        <f t="shared" si="40"/>
        <v>480.13390593590157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62.08356883965854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9.375</v>
      </c>
      <c r="CT57" s="13">
        <f>IF('Données projet'!$A$140&gt;35,CT56+CS57-DB56,IF(A57&lt;'Données projet'!$A$140,$CQ$205^A57,IF(A57='Données projet'!$A$140,'Données projet'!$B$140,CT56+CS57-DB56)))</f>
        <v>240.74999999999994</v>
      </c>
      <c r="CU57" s="18">
        <f>CT57*VLOOKUP('Données projet'!$B$13,Paramètres!$A$1:$I$89,3,0)*VLOOKUP('Données projet'!$B$13,Paramètres!$A$1:$I$89,5,0)</f>
        <v>187.78499999999997</v>
      </c>
      <c r="CV57" s="14">
        <f t="shared" si="41"/>
        <v>47.049914090154054</v>
      </c>
      <c r="CW57" s="22">
        <f t="shared" si="13"/>
        <v>409.00414204035161</v>
      </c>
      <c r="CX57" s="62">
        <f t="shared" si="14"/>
        <v>673.31056111909959</v>
      </c>
      <c r="CY57" s="62">
        <f ca="1">AVERAGE(OFFSET($CX$3,0,0,'Données projet'!$E$13+1,1))-AVERAGE(OFFSET($H$3,0,0,'Données projet'!$E$13+1,1))</f>
        <v>308.52515801950324</v>
      </c>
      <c r="CZ57" s="62">
        <f t="shared" si="42"/>
        <v>299.05420638408953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62.08356883965854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8.4999999999999893</v>
      </c>
      <c r="DO57" s="13">
        <f>IF('Données projet'!$A$166&gt;35,DO56+DN57-DW56,IF(A57&lt;'Données projet'!$A$166,$DL$205^A57,IF(A57='Données projet'!$A$166,'Données projet'!$B$166,DO56+DN57-DW56)))</f>
        <v>315.60000000000014</v>
      </c>
      <c r="DP57" s="18">
        <f>DO57*VLOOKUP('Données projet'!$B$14,Paramètres!$A$1:$I$89,3,0)*VLOOKUP('Données projet'!$B$14,Paramètres!$A$1:$I$89,5,0)</f>
        <v>231.39792000000008</v>
      </c>
      <c r="DQ57" s="14">
        <f t="shared" si="43"/>
        <v>56.584837838715856</v>
      </c>
      <c r="DR57" s="22">
        <f t="shared" si="16"/>
        <v>501.56996990243016</v>
      </c>
      <c r="DS57" s="62">
        <f t="shared" si="17"/>
        <v>765.87638898117814</v>
      </c>
      <c r="DT57" s="62">
        <f ca="1">AVERAGE(OFFSET($DS$3,0,0,'Données projet'!$E$14+1,1))-AVERAGE(OFFSET($H$3,0,0,'Données projet'!$E$14+1,1))</f>
        <v>416.72317068678774</v>
      </c>
      <c r="DU57" s="62">
        <f t="shared" si="44"/>
        <v>447.32457429495537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62.08356883965854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5.8974358974359005</v>
      </c>
      <c r="EJ57" s="13">
        <f>IF('Données projet'!$A$192&gt;35,EJ56+EI57-ER56,IF(A57&lt;'Données projet'!$A$192,$EG$205^A57,IF(A57='Données projet'!$A$192,'Données projet'!$B$192,EJ56+EI57-ER56)))</f>
        <v>204.35897435897436</v>
      </c>
      <c r="EK57" s="18">
        <f>EJ57*VLOOKUP('Données projet'!$B$15,Paramètres!$A$1:$I$89,3,0)*VLOOKUP('Données projet'!$B$15,Paramètres!$A$1:$I$89,5,0)</f>
        <v>194.46800000000002</v>
      </c>
      <c r="EL57" s="14">
        <f t="shared" si="45"/>
        <v>48.526423961998944</v>
      </c>
      <c r="EM57" s="22">
        <f t="shared" si="19"/>
        <v>423.21528840048148</v>
      </c>
      <c r="EN57" s="62">
        <f t="shared" si="20"/>
        <v>687.52170747922946</v>
      </c>
      <c r="EO57" s="62">
        <f ca="1">AVERAGE(OFFSET($EN$3,0,0,'Données projet'!$E$15+1,1))-AVERAGE(OFFSET($H$3,0,0,'Données projet'!$E$15+1,1))</f>
        <v>454.78867027701426</v>
      </c>
      <c r="EP57" s="62">
        <f t="shared" si="46"/>
        <v>366.45346303927056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0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62.08356883965854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6.6666666666666625</v>
      </c>
      <c r="FE57" s="13">
        <f>IF('Données projet'!$A$218&gt;35,FE56+FD57-FM56,IF(A57&lt;'Données projet'!$A$218,$FB$205^A57,IF(A57='Données projet'!$A$218,'Données projet'!$B$218,FE56+FD57-FM56)))</f>
        <v>251.66666666666671</v>
      </c>
      <c r="FF57" s="18">
        <f>FE57*VLOOKUP('Données projet'!$B$16,Paramètres!$A$1:$I$89,3,0)*VLOOKUP('Données projet'!$B$16,Paramètres!$A$1:$I$89,5,0)</f>
        <v>168.81800000000004</v>
      </c>
      <c r="FG57" s="14">
        <f t="shared" si="47"/>
        <v>42.825187501685285</v>
      </c>
      <c r="FH57" s="22">
        <f t="shared" si="22"/>
        <v>368.61188489876866</v>
      </c>
      <c r="FI57" s="62">
        <f t="shared" si="23"/>
        <v>632.91830397751664</v>
      </c>
      <c r="FJ57" s="62">
        <f ca="1">AVERAGE(OFFSET($FI$3,0,0,'Données projet'!$E$16+1,1))-AVERAGE(OFFSET($H$3,0,0,'Données projet'!$E$16+1,1))</f>
        <v>390.05579539539576</v>
      </c>
      <c r="FK57" s="62">
        <f t="shared" si="48"/>
        <v>323.72278615226139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projet'!$B$16,Paramètres!$A$1:$I$89,3,0)*0.475*44/12</f>
        <v>0</v>
      </c>
      <c r="FR57" s="23">
        <f>EXP(-LN(2)/25)*FR56+(1-EXP(-LN(2)/25))/(LN(2)/25)*Calculateur!FM57*Calculateur!FO57*VLOOKUP('Données projet'!$B$16,Paramètres!$A$1:$I$89,3,0)*0.475*44/12</f>
        <v>0</v>
      </c>
      <c r="FS57" s="23">
        <f>EXP(-LN(2)/2)*FS56+(1-EXP(-LN(2)/2))/(LN(2)/2)*FM57*FP57*VLOOKUP('Données projet'!$B$16,Paramètres!$A$1:$I$89,3,0)*0.475*44/12</f>
        <v>0</v>
      </c>
      <c r="FT57" s="24">
        <f t="shared" si="24"/>
        <v>0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62.08356883965854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10.199999999999999</v>
      </c>
      <c r="FZ57" s="13">
        <f>IF('Données projet'!$A$244&gt;35,FZ56+FY57-GH56,IF(A57&lt;'Données projet'!$A$244,$FW$205^A57,IF(A57='Données projet'!$A$244,'Données projet'!$B$244,FZ56+FY57-GH56)))</f>
        <v>243.79999999999995</v>
      </c>
      <c r="GA57" s="18">
        <f>FZ57*VLOOKUP('Données projet'!$B$17,Paramètres!$A$1:$I$89,3,0)*VLOOKUP('Données projet'!$B$17,Paramètres!$A$1:$I$89,5,0)</f>
        <v>235.80335999999997</v>
      </c>
      <c r="GB57" s="14">
        <f t="shared" si="49"/>
        <v>57.53567801144218</v>
      </c>
      <c r="GC57" s="22">
        <f t="shared" si="25"/>
        <v>510.89882453659499</v>
      </c>
      <c r="GD57" s="62">
        <f t="shared" si="26"/>
        <v>775.20524361534297</v>
      </c>
      <c r="GE57" s="62">
        <f ca="1">AVERAGE(OFFSET($GD$3,0,0,'Données projet'!$E$17+1,1))-AVERAGE(OFFSET($H$3,0,0,'Données projet'!$E$17+1,1))</f>
        <v>578.44111602076555</v>
      </c>
      <c r="GF57" s="62">
        <f t="shared" si="50"/>
        <v>368.08542661432784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>
        <f>EXP(-LN(2)/35)*GL56+(1-EXP(-LN(2)/35))/(LN(2)/35)*GH57*GI57*VLOOKUP('Données projet'!$B$17,Paramètres!$A$1:$I$89,3,0)*0.475*44/12</f>
        <v>0</v>
      </c>
      <c r="GM57" s="23">
        <f>EXP(-LN(2)/25)*GM56+(1-EXP(-LN(2)/25))/(LN(2)/25)*Calculateur!GH57*Calculateur!GJ57*VLOOKUP('Données projet'!$B$17,Paramètres!$A$1:$I$89,3,0)*0.475*44/12</f>
        <v>0</v>
      </c>
      <c r="GN57" s="23">
        <f>EXP(-LN(2)/2)*GN56+(1-EXP(-LN(2)/2))/(LN(2)/2)*GH57*GK57*VLOOKUP('Données projet'!$B$17,Paramètres!$A$1:$I$89,3,0)*0.475*44/12</f>
        <v>0</v>
      </c>
      <c r="GO57" s="23">
        <f t="shared" si="27"/>
        <v>0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62.08356883965854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4.0735000000000001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14.936166666666667</v>
      </c>
      <c r="H58" s="70">
        <f t="shared" si="1"/>
        <v>196.922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62.220901221801824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254</v>
      </c>
      <c r="L58" s="13">
        <f>VLOOKUP(A58,'Données projet'!$A$35:$I$55,9,0)</f>
        <v>10.199999999999999</v>
      </c>
      <c r="M58" s="13">
        <f t="array" ref="M58">INDEX(L:L,MIN(IF(ISNUMBER(L58:L254),ROW(L58:L254),"")))</f>
        <v>10.199999999999999</v>
      </c>
      <c r="N58" s="14">
        <f>IF('Données projet'!$A$36&gt;35,N57+M58-V57,IF(A58&lt;'Données projet'!$A$36,$K$205^A58,IF(A58='Données projet'!$A$36,'Données projet'!$B$36,N57+M58-V57)))</f>
        <v>253.99999999999994</v>
      </c>
      <c r="O58" s="14">
        <f>N58*VLOOKUP('Données projet'!$B$9,Paramètres!$A$1:$I$89,3,0)*VLOOKUP('Données projet'!$B$9,Paramètres!$A$1:$I$89,5,0)</f>
        <v>229.81919999999997</v>
      </c>
      <c r="P58" s="14">
        <f t="shared" si="33"/>
        <v>56.243586554989342</v>
      </c>
      <c r="Q58" s="22">
        <f t="shared" si="53"/>
        <v>498.22601991660639</v>
      </c>
      <c r="R58" s="62">
        <f t="shared" si="0"/>
        <v>763.03599106321303</v>
      </c>
      <c r="S58" s="62">
        <f ca="1">AVERAGE(OFFSET($R$3,0,0,'Données projet'!$E$9+1,1))-AVERAGE(OFFSET($H$3,0,0,'Données projet'!$E$9+1,1))</f>
        <v>546.11281471711925</v>
      </c>
      <c r="T58" s="62">
        <f t="shared" si="34"/>
        <v>348.18069831447099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62.220901221801824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341</v>
      </c>
      <c r="AG58" s="13">
        <f>VLOOKUP(A58,'Données projet'!$A$61:$I$81,9,0)</f>
        <v>13.4</v>
      </c>
      <c r="AH58" s="13">
        <f t="array" ref="AH58">INDEX(AG:AG,MIN(IF(ISNUMBER(AG58:AG254),ROW(AG58:AG254),"")))</f>
        <v>13.4</v>
      </c>
      <c r="AI58" s="14">
        <f>IF('Données projet'!$A$62&gt;35,AI57+AH58-AQ57,IF(A58&lt;'Données projet'!$A$62,$AF$205^A58,IF(A58='Données projet'!$A$62,'Données projet'!$B$62,AI57+AH58-AQ57)))</f>
        <v>341.00000000000006</v>
      </c>
      <c r="AJ58" s="14">
        <f>AI58*VLOOKUP('Données projet'!$B$10,Paramètres!$A$1:$I$89,3,0)*VLOOKUP('Données projet'!$B$10,Paramètres!$A$1:$I$89,5,0)</f>
        <v>292.57800000000009</v>
      </c>
      <c r="AK58" s="14">
        <f t="shared" si="35"/>
        <v>69.618265950541101</v>
      </c>
      <c r="AL58" s="22">
        <f t="shared" si="4"/>
        <v>630.82516319719264</v>
      </c>
      <c r="AM58" s="62">
        <f t="shared" si="5"/>
        <v>895.63513434379934</v>
      </c>
      <c r="AN58" s="62">
        <f ca="1">AVERAGE(OFFSET($AM$3,0,0,'Données projet'!$E$10+1,1))-AVERAGE(OFFSET($H$3,0,0,'Données projet'!$E$10+1,1))</f>
        <v>693.87994318348024</v>
      </c>
      <c r="AO58" s="62">
        <f t="shared" si="36"/>
        <v>327.71043739333641</v>
      </c>
      <c r="AP58" s="16">
        <f>IF(ISNA(VLOOKUP(A58,'Données projet'!$A$61:$I$81,3,0)),0,VLOOKUP(A58,'Données projet'!$A$61:$I$81,3,0))</f>
        <v>4</v>
      </c>
      <c r="AQ58" s="16">
        <f>IF(ISNA(VLOOKUP(A58,'Données projet'!$A$61:$I$81,4,0)),0,VLOOKUP(A58,'Données projet'!$A$61:$I$81,4,0))</f>
        <v>70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62.220901221801824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254</v>
      </c>
      <c r="BB58" s="13">
        <f>VLOOKUP(A58,'Données projet'!$A$87:$I$107,9,0)</f>
        <v>10.199999999999999</v>
      </c>
      <c r="BC58" s="13">
        <f t="array" ref="BC58">INDEX(BB:BB,MIN(IF(ISNUMBER(BB58:BB254),ROW(BB58:BB254),"")))</f>
        <v>10.199999999999999</v>
      </c>
      <c r="BD58" s="13">
        <f>IF('Données projet'!$A$88&gt;35,BD57+BC58-BL57,IF(A58&lt;'Données projet'!$A$88,$BA$205^A58,IF(A58='Données projet'!$A$88,'Données projet'!$B$88,BD57+BC58-BL57)))</f>
        <v>253.99999999999994</v>
      </c>
      <c r="BE58" s="14">
        <f>BD58*VLOOKUP('Données projet'!$B$11,Paramètres!$A$1:$I$89,3,0)*VLOOKUP('Données projet'!$B$11,Paramètres!$A$1:$I$89,5,0)</f>
        <v>213.96959999999996</v>
      </c>
      <c r="BF58" s="14">
        <f t="shared" si="37"/>
        <v>52.802095488627479</v>
      </c>
      <c r="BG58" s="22">
        <f t="shared" si="7"/>
        <v>464.62736964269271</v>
      </c>
      <c r="BH58" s="62">
        <f t="shared" si="8"/>
        <v>729.43734078929947</v>
      </c>
      <c r="BI58" s="62">
        <f ca="1">AVERAGE(OFFSET($BH$3,0,0,'Données projet'!$E$11+1,1))-AVERAGE(OFFSET($H$3,0,0,'Données projet'!$E$11+1,1))</f>
        <v>513.7388209355762</v>
      </c>
      <c r="BJ58" s="62">
        <f t="shared" si="38"/>
        <v>328.24603121433927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62.220901221801824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324.09999999999997</v>
      </c>
      <c r="BW58" s="13">
        <f>VLOOKUP(A58,'Données projet'!$A$113:$I$133,9,0)</f>
        <v>8.4999999999999893</v>
      </c>
      <c r="BX58" s="13">
        <f t="array" ref="BX58">INDEX(BW:BW,MIN(IF(ISNUMBER(BW58:BW254),ROW(BW58:BW254),"")))</f>
        <v>8.4999999999999893</v>
      </c>
      <c r="BY58" s="13">
        <f>IF('Données projet'!$A$114&gt;35,BY57+BX58-CG57,IF(A58&lt;'Données projet'!$A$114,$BV$205^A58,IF(A58='Données projet'!$A$114,'Données projet'!$B$114,BY57+BX58-CG57)))</f>
        <v>324.10000000000014</v>
      </c>
      <c r="BZ58" s="14">
        <f>BY58*VLOOKUP('Données projet'!$B$12,Paramètres!$A$1:$I$89,3,0)*VLOOKUP('Données projet'!$B$12,Paramètres!$A$1:$I$89,5,0)</f>
        <v>257.85396000000014</v>
      </c>
      <c r="CA58" s="14">
        <f t="shared" si="39"/>
        <v>62.264708523022797</v>
      </c>
      <c r="CB58" s="22">
        <f t="shared" si="10"/>
        <v>557.54001434426493</v>
      </c>
      <c r="CC58" s="62">
        <f t="shared" si="11"/>
        <v>822.34998549087163</v>
      </c>
      <c r="CD58" s="62">
        <f ca="1">AVERAGE(OFFSET($CC$3,0,0,'Données projet'!$E$12+1,1))-AVERAGE(OFFSET($H$3,0,0,'Données projet'!$E$12+1,1))</f>
        <v>447.25854887589878</v>
      </c>
      <c r="CE58" s="62">
        <f t="shared" si="40"/>
        <v>480.13390593590157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62.220901221801824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9.375</v>
      </c>
      <c r="CT58" s="13">
        <f>IF('Données projet'!$A$140&gt;35,CT57+CS58-DB57,IF(A58&lt;'Données projet'!$A$140,$CQ$205^A58,IF(A58='Données projet'!$A$140,'Données projet'!$B$140,CT57+CS58-DB57)))</f>
        <v>250.12499999999994</v>
      </c>
      <c r="CU58" s="18">
        <f>CT58*VLOOKUP('Données projet'!$B$13,Paramètres!$A$1:$I$89,3,0)*VLOOKUP('Données projet'!$B$13,Paramètres!$A$1:$I$89,5,0)</f>
        <v>195.09749999999997</v>
      </c>
      <c r="CV58" s="14">
        <f t="shared" si="41"/>
        <v>48.66519532492584</v>
      </c>
      <c r="CW58" s="22">
        <f t="shared" si="13"/>
        <v>424.55336102424576</v>
      </c>
      <c r="CX58" s="62">
        <f t="shared" si="14"/>
        <v>689.36333217085246</v>
      </c>
      <c r="CY58" s="62">
        <f ca="1">AVERAGE(OFFSET($CX$3,0,0,'Données projet'!$E$13+1,1))-AVERAGE(OFFSET($H$3,0,0,'Données projet'!$E$13+1,1))</f>
        <v>308.52515801950324</v>
      </c>
      <c r="CZ58" s="62">
        <f t="shared" si="42"/>
        <v>299.05420638408953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62.220901221801824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324.09999999999997</v>
      </c>
      <c r="DM58" s="13">
        <f>VLOOKUP(A58,'Données projet'!$A$165:$I$185,9,0)</f>
        <v>8.4999999999999893</v>
      </c>
      <c r="DN58" s="13">
        <f t="array" ref="DN58">INDEX(DM:DM,MIN(IF(ISNUMBER(DM58:DM254),ROW(DM58:DM254),"")))</f>
        <v>8.4999999999999893</v>
      </c>
      <c r="DO58" s="13">
        <f>IF('Données projet'!$A$166&gt;35,DO57+DN58-DW57,IF(A58&lt;'Données projet'!$A$166,$DL$205^A58,IF(A58='Données projet'!$A$166,'Données projet'!$B$166,DO57+DN58-DW57)))</f>
        <v>324.10000000000014</v>
      </c>
      <c r="DP58" s="18">
        <f>DO58*VLOOKUP('Données projet'!$B$14,Paramètres!$A$1:$I$89,3,0)*VLOOKUP('Données projet'!$B$14,Paramètres!$A$1:$I$89,5,0)</f>
        <v>237.63012000000009</v>
      </c>
      <c r="DQ58" s="14">
        <f t="shared" si="43"/>
        <v>57.929345140756219</v>
      </c>
      <c r="DR58" s="22">
        <f t="shared" si="16"/>
        <v>514.76606845348385</v>
      </c>
      <c r="DS58" s="62">
        <f t="shared" si="17"/>
        <v>779.57603960009055</v>
      </c>
      <c r="DT58" s="62">
        <f ca="1">AVERAGE(OFFSET($DS$3,0,0,'Données projet'!$E$14+1,1))-AVERAGE(OFFSET($H$3,0,0,'Données projet'!$E$14+1,1))</f>
        <v>416.72317068678774</v>
      </c>
      <c r="DU58" s="62">
        <f t="shared" si="44"/>
        <v>447.32457429495537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62.220901221801824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210.25641025641025</v>
      </c>
      <c r="EH58" s="13">
        <f>VLOOKUP(A58,'Données projet'!$A$191:$I$211,9,0)</f>
        <v>5.8974358974359005</v>
      </c>
      <c r="EI58" s="13">
        <f t="array" ref="EI58">INDEX(EH:EH,MIN(IF(ISNUMBER(EH58:EH254),ROW(EH58:EH254),"")))</f>
        <v>5.8974358974359005</v>
      </c>
      <c r="EJ58" s="13">
        <f>IF('Données projet'!$A$192&gt;35,EJ57+EI58-ER57,IF(A58&lt;'Données projet'!$A$192,$EG$205^A58,IF(A58='Données projet'!$A$192,'Données projet'!$B$192,EJ57+EI58-ER57)))</f>
        <v>210.25641025641028</v>
      </c>
      <c r="EK58" s="18">
        <f>EJ58*VLOOKUP('Données projet'!$B$15,Paramètres!$A$1:$I$89,3,0)*VLOOKUP('Données projet'!$B$15,Paramètres!$A$1:$I$89,5,0)</f>
        <v>200.08000000000004</v>
      </c>
      <c r="EL58" s="14">
        <f t="shared" si="45"/>
        <v>49.761748894785782</v>
      </c>
      <c r="EM58" s="22">
        <f t="shared" si="19"/>
        <v>435.14104599175198</v>
      </c>
      <c r="EN58" s="62">
        <f t="shared" si="20"/>
        <v>699.95101713835868</v>
      </c>
      <c r="EO58" s="62">
        <f ca="1">AVERAGE(OFFSET($EN$3,0,0,'Données projet'!$E$15+1,1))-AVERAGE(OFFSET($H$3,0,0,'Données projet'!$E$15+1,1))</f>
        <v>454.78867027701426</v>
      </c>
      <c r="EP58" s="62">
        <f t="shared" si="46"/>
        <v>366.45346303927056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0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62.220901221801824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>
        <f>VLOOKUP(A58,'Données projet'!$A$217:$I$237,2,0)</f>
        <v>258.33333333333331</v>
      </c>
      <c r="FC58" s="13">
        <f>VLOOKUP(A58,'Données projet'!$A$217:$I$237,9,0)</f>
        <v>6.6666666666666625</v>
      </c>
      <c r="FD58" s="13">
        <f t="array" ref="FD58">INDEX(FC:FC,MIN(IF(ISNUMBER(FC58:FC254),ROW(FC58:FC254),"")))</f>
        <v>6.6666666666666625</v>
      </c>
      <c r="FE58" s="13">
        <f>IF('Données projet'!$A$218&gt;35,FE57+FD58-FM57,IF(A58&lt;'Données projet'!$A$218,$FB$205^A58,IF(A58='Données projet'!$A$218,'Données projet'!$B$218,FE57+FD58-FM57)))</f>
        <v>258.33333333333337</v>
      </c>
      <c r="FF58" s="18">
        <f>FE58*VLOOKUP('Données projet'!$B$16,Paramètres!$A$1:$I$89,3,0)*VLOOKUP('Données projet'!$B$16,Paramètres!$A$1:$I$89,5,0)</f>
        <v>173.29000000000002</v>
      </c>
      <c r="FG58" s="14">
        <f t="shared" si="47"/>
        <v>43.826050112896048</v>
      </c>
      <c r="FH58" s="22">
        <f t="shared" si="22"/>
        <v>378.14378727996063</v>
      </c>
      <c r="FI58" s="62">
        <f t="shared" si="23"/>
        <v>642.95375842656733</v>
      </c>
      <c r="FJ58" s="62">
        <f ca="1">AVERAGE(OFFSET($FI$3,0,0,'Données projet'!$E$16+1,1))-AVERAGE(OFFSET($H$3,0,0,'Données projet'!$E$16+1,1))</f>
        <v>390.05579539539576</v>
      </c>
      <c r="FK58" s="62">
        <f t="shared" si="48"/>
        <v>323.72278615226139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projet'!$B$16,Paramètres!$A$1:$I$89,3,0)*0.475*44/12</f>
        <v>0</v>
      </c>
      <c r="FR58" s="23">
        <f>EXP(-LN(2)/25)*FR57+(1-EXP(-LN(2)/25))/(LN(2)/25)*Calculateur!FM58*Calculateur!FO58*VLOOKUP('Données projet'!$B$16,Paramètres!$A$1:$I$89,3,0)*0.475*44/12</f>
        <v>0</v>
      </c>
      <c r="FS58" s="23">
        <f>EXP(-LN(2)/2)*FS57+(1-EXP(-LN(2)/2))/(LN(2)/2)*FM58*FP58*VLOOKUP('Données projet'!$B$16,Paramètres!$A$1:$I$89,3,0)*0.475*44/12</f>
        <v>0</v>
      </c>
      <c r="FT58" s="24">
        <f t="shared" si="24"/>
        <v>0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62.220901221801824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>
        <f>VLOOKUP(A58,'Données projet'!$A$243:$I$263,2,0)</f>
        <v>254</v>
      </c>
      <c r="FX58" s="13">
        <f>VLOOKUP(A58,'Données projet'!$A$243:$I$263,9,0)</f>
        <v>10.199999999999999</v>
      </c>
      <c r="FY58" s="13">
        <f t="array" ref="FY58">INDEX(FX:FX,MIN(IF(ISNUMBER(FX58:FX254),ROW(FX58:FX254),"")))</f>
        <v>10.199999999999999</v>
      </c>
      <c r="FZ58" s="13">
        <f>IF('Données projet'!$A$244&gt;35,FZ57+FY58-GH57,IF(A58&lt;'Données projet'!$A$244,$FW$205^A58,IF(A58='Données projet'!$A$244,'Données projet'!$B$244,FZ57+FY58-GH57)))</f>
        <v>253.99999999999994</v>
      </c>
      <c r="GA58" s="18">
        <f>FZ58*VLOOKUP('Données projet'!$B$17,Paramètres!$A$1:$I$89,3,0)*VLOOKUP('Données projet'!$B$17,Paramètres!$A$1:$I$89,5,0)</f>
        <v>245.66879999999995</v>
      </c>
      <c r="GB58" s="14">
        <f t="shared" si="49"/>
        <v>59.657538312400263</v>
      </c>
      <c r="GC58" s="22">
        <f t="shared" si="25"/>
        <v>531.77670589409706</v>
      </c>
      <c r="GD58" s="62">
        <f t="shared" si="26"/>
        <v>796.58667704070376</v>
      </c>
      <c r="GE58" s="62">
        <f ca="1">AVERAGE(OFFSET($GD$3,0,0,'Données projet'!$E$17+1,1))-AVERAGE(OFFSET($H$3,0,0,'Données projet'!$E$17+1,1))</f>
        <v>578.44111602076555</v>
      </c>
      <c r="GF58" s="62">
        <f t="shared" si="50"/>
        <v>368.08542661432784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>
        <f>EXP(-LN(2)/35)*GL57+(1-EXP(-LN(2)/35))/(LN(2)/35)*GH58*GI58*VLOOKUP('Données projet'!$B$17,Paramètres!$A$1:$I$89,3,0)*0.475*44/12</f>
        <v>0</v>
      </c>
      <c r="GM58" s="23">
        <f>EXP(-LN(2)/25)*GM57+(1-EXP(-LN(2)/25))/(LN(2)/25)*Calculateur!GH58*Calculateur!GJ58*VLOOKUP('Données projet'!$B$17,Paramètres!$A$1:$I$89,3,0)*0.475*44/12</f>
        <v>0</v>
      </c>
      <c r="GN58" s="23">
        <f>EXP(-LN(2)/2)*GN57+(1-EXP(-LN(2)/2))/(LN(2)/2)*GH58*GK58*VLOOKUP('Données projet'!$B$17,Paramètres!$A$1:$I$89,3,0)*0.475*44/12</f>
        <v>0</v>
      </c>
      <c r="GO58" s="23">
        <f t="shared" si="27"/>
        <v>0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62.220901221801824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4.0735000000000001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14.936166666666667</v>
      </c>
      <c r="H59" s="70">
        <f t="shared" si="1"/>
        <v>196.922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62.355851194144122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9.4</v>
      </c>
      <c r="N59" s="14">
        <f>IF('Données projet'!$A$36&gt;35,N58+M59-V58,IF(A59&lt;'Données projet'!$A$36,$K$205^A59,IF(A59='Données projet'!$A$36,'Données projet'!$B$36,N58+M59-V58)))</f>
        <v>263.39999999999992</v>
      </c>
      <c r="O59" s="14">
        <f>N59*VLOOKUP('Données projet'!$B$9,Paramètres!$A$1:$I$89,3,0)*VLOOKUP('Données projet'!$B$9,Paramètres!$A$1:$I$89,5,0)</f>
        <v>238.32431999999991</v>
      </c>
      <c r="P59" s="14">
        <f t="shared" si="33"/>
        <v>58.078852882738758</v>
      </c>
      <c r="Q59" s="22">
        <f t="shared" si="53"/>
        <v>516.23552610410309</v>
      </c>
      <c r="R59" s="62">
        <f t="shared" si="0"/>
        <v>781.54031381596485</v>
      </c>
      <c r="S59" s="62">
        <f ca="1">AVERAGE(OFFSET($R$3,0,0,'Données projet'!$E$9+1,1))-AVERAGE(OFFSET($H$3,0,0,'Données projet'!$E$9+1,1))</f>
        <v>546.11281471711925</v>
      </c>
      <c r="T59" s="62">
        <f t="shared" si="34"/>
        <v>348.18069831447099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62.355851194144122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13</v>
      </c>
      <c r="AI59" s="14">
        <f>IF('Données projet'!$A$62&gt;35,AI58+AH59-AQ58,IF(A59&lt;'Données projet'!$A$62,$AF$205^A59,IF(A59='Données projet'!$A$62,'Données projet'!$B$62,AI58+AH59-AQ58)))</f>
        <v>284.00000000000006</v>
      </c>
      <c r="AJ59" s="14">
        <f>AI59*VLOOKUP('Données projet'!$B$10,Paramètres!$A$1:$I$89,3,0)*VLOOKUP('Données projet'!$B$10,Paramètres!$A$1:$I$89,5,0)</f>
        <v>243.67200000000008</v>
      </c>
      <c r="AK59" s="14">
        <f t="shared" si="35"/>
        <v>59.228879636606202</v>
      </c>
      <c r="AL59" s="22">
        <f t="shared" si="4"/>
        <v>527.55236536708924</v>
      </c>
      <c r="AM59" s="62">
        <f t="shared" si="5"/>
        <v>792.857153078951</v>
      </c>
      <c r="AN59" s="62">
        <f ca="1">AVERAGE(OFFSET($AM$3,0,0,'Données projet'!$E$10+1,1))-AVERAGE(OFFSET($H$3,0,0,'Données projet'!$E$10+1,1))</f>
        <v>693.87994318348024</v>
      </c>
      <c r="AO59" s="62">
        <f t="shared" si="36"/>
        <v>327.71043739333641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62.355851194144122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9.4</v>
      </c>
      <c r="BD59" s="13">
        <f>IF('Données projet'!$A$88&gt;35,BD58+BC59-BL58,IF(A59&lt;'Données projet'!$A$88,$BA$205^A59,IF(A59='Données projet'!$A$88,'Données projet'!$B$88,BD58+BC59-BL58)))</f>
        <v>263.39999999999992</v>
      </c>
      <c r="BE59" s="14">
        <f>BD59*VLOOKUP('Données projet'!$B$11,Paramètres!$A$1:$I$89,3,0)*VLOOKUP('Données projet'!$B$11,Paramètres!$A$1:$I$89,5,0)</f>
        <v>221.88815999999994</v>
      </c>
      <c r="BF59" s="14">
        <f t="shared" si="37"/>
        <v>54.525063631673305</v>
      </c>
      <c r="BG59" s="22">
        <f t="shared" si="7"/>
        <v>481.41969782516429</v>
      </c>
      <c r="BH59" s="62">
        <f t="shared" si="8"/>
        <v>746.72448553702611</v>
      </c>
      <c r="BI59" s="62">
        <f ca="1">AVERAGE(OFFSET($BH$3,0,0,'Données projet'!$E$11+1,1))-AVERAGE(OFFSET($H$3,0,0,'Données projet'!$E$11+1,1))</f>
        <v>513.7388209355762</v>
      </c>
      <c r="BJ59" s="62">
        <f t="shared" si="38"/>
        <v>328.24603121433927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62.355851194144122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7.3</v>
      </c>
      <c r="BY59" s="13">
        <f>IF('Données projet'!$A$114&gt;35,BY58+BX59-CG58,IF(A59&lt;'Données projet'!$A$114,$BV$205^A59,IF(A59='Données projet'!$A$114,'Données projet'!$B$114,BY58+BX59-CG58)))</f>
        <v>331.40000000000015</v>
      </c>
      <c r="BZ59" s="14">
        <f>BY59*VLOOKUP('Données projet'!$B$12,Paramètres!$A$1:$I$89,3,0)*VLOOKUP('Données projet'!$B$12,Paramètres!$A$1:$I$89,5,0)</f>
        <v>263.6618400000001</v>
      </c>
      <c r="CA59" s="14">
        <f t="shared" si="39"/>
        <v>63.502297781162923</v>
      </c>
      <c r="CB59" s="22">
        <f t="shared" si="10"/>
        <v>569.81087330219225</v>
      </c>
      <c r="CC59" s="62">
        <f t="shared" si="11"/>
        <v>835.11566101405401</v>
      </c>
      <c r="CD59" s="62">
        <f ca="1">AVERAGE(OFFSET($CC$3,0,0,'Données projet'!$E$12+1,1))-AVERAGE(OFFSET($H$3,0,0,'Données projet'!$E$12+1,1))</f>
        <v>447.25854887589878</v>
      </c>
      <c r="CE59" s="62">
        <f t="shared" si="40"/>
        <v>480.13390593590157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62.355851194144122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9.375</v>
      </c>
      <c r="CT59" s="13">
        <f>IF('Données projet'!$A$140&gt;35,CT58+CS59-DB58,IF(A59&lt;'Données projet'!$A$140,$CQ$205^A59,IF(A59='Données projet'!$A$140,'Données projet'!$B$140,CT58+CS59-DB58)))</f>
        <v>259.49999999999994</v>
      </c>
      <c r="CU59" s="18">
        <f>CT59*VLOOKUP('Données projet'!$B$13,Paramètres!$A$1:$I$89,3,0)*VLOOKUP('Données projet'!$B$13,Paramètres!$A$1:$I$89,5,0)</f>
        <v>202.40999999999997</v>
      </c>
      <c r="CV59" s="14">
        <f t="shared" si="41"/>
        <v>50.273442991661867</v>
      </c>
      <c r="CW59" s="22">
        <f t="shared" si="13"/>
        <v>440.09032987714431</v>
      </c>
      <c r="CX59" s="62">
        <f t="shared" si="14"/>
        <v>705.39511758900608</v>
      </c>
      <c r="CY59" s="62">
        <f ca="1">AVERAGE(OFFSET($CX$3,0,0,'Données projet'!$E$13+1,1))-AVERAGE(OFFSET($H$3,0,0,'Données projet'!$E$13+1,1))</f>
        <v>308.52515801950324</v>
      </c>
      <c r="CZ59" s="62">
        <f t="shared" si="42"/>
        <v>299.05420638408953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62.355851194144122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7.3</v>
      </c>
      <c r="DO59" s="13">
        <f>IF('Données projet'!$A$166&gt;35,DO58+DN59-DW58,IF(A59&lt;'Données projet'!$A$166,$DL$205^A59,IF(A59='Données projet'!$A$166,'Données projet'!$B$166,DO58+DN59-DW58)))</f>
        <v>331.40000000000015</v>
      </c>
      <c r="DP59" s="18">
        <f>DO59*VLOOKUP('Données projet'!$B$14,Paramètres!$A$1:$I$89,3,0)*VLOOKUP('Données projet'!$B$14,Paramètres!$A$1:$I$89,5,0)</f>
        <v>242.98248000000012</v>
      </c>
      <c r="DQ59" s="14">
        <f t="shared" si="43"/>
        <v>59.080763608422899</v>
      </c>
      <c r="DR59" s="22">
        <f t="shared" si="16"/>
        <v>526.09348261800335</v>
      </c>
      <c r="DS59" s="62">
        <f t="shared" si="17"/>
        <v>791.39827032986511</v>
      </c>
      <c r="DT59" s="62">
        <f ca="1">AVERAGE(OFFSET($DS$3,0,0,'Données projet'!$E$14+1,1))-AVERAGE(OFFSET($H$3,0,0,'Données projet'!$E$14+1,1))</f>
        <v>416.72317068678774</v>
      </c>
      <c r="DU59" s="62">
        <f t="shared" si="44"/>
        <v>447.32457429495537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62.355851194144122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5.5128205128205137</v>
      </c>
      <c r="EJ59" s="13">
        <f>IF('Données projet'!$A$192&gt;35,EJ58+EI59-ER58,IF(A59&lt;'Données projet'!$A$192,$EG$205^A59,IF(A59='Données projet'!$A$192,'Données projet'!$B$192,EJ58+EI59-ER58)))</f>
        <v>215.7692307692308</v>
      </c>
      <c r="EK59" s="18">
        <f>EJ59*VLOOKUP('Données projet'!$B$15,Paramètres!$A$1:$I$89,3,0)*VLOOKUP('Données projet'!$B$15,Paramètres!$A$1:$I$89,5,0)</f>
        <v>205.32600000000005</v>
      </c>
      <c r="EL59" s="14">
        <f t="shared" si="45"/>
        <v>50.912864943643207</v>
      </c>
      <c r="EM59" s="22">
        <f t="shared" si="19"/>
        <v>446.2826897768453</v>
      </c>
      <c r="EN59" s="62">
        <f t="shared" si="20"/>
        <v>711.58747748870701</v>
      </c>
      <c r="EO59" s="62">
        <f ca="1">AVERAGE(OFFSET($EN$3,0,0,'Données projet'!$E$15+1,1))-AVERAGE(OFFSET($H$3,0,0,'Données projet'!$E$15+1,1))</f>
        <v>454.78867027701426</v>
      </c>
      <c r="EP59" s="62">
        <f t="shared" si="46"/>
        <v>366.45346303927056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0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62.355851194144122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6.1538461538461551</v>
      </c>
      <c r="FE59" s="13">
        <f>IF('Données projet'!$A$218&gt;35,FE58+FD59-FM58,IF(A59&lt;'Données projet'!$A$218,$FB$205^A59,IF(A59='Données projet'!$A$218,'Données projet'!$B$218,FE58+FD59-FM58)))</f>
        <v>264.4871794871795</v>
      </c>
      <c r="FF59" s="18">
        <f>FE59*VLOOKUP('Données projet'!$B$16,Paramètres!$A$1:$I$89,3,0)*VLOOKUP('Données projet'!$B$16,Paramètres!$A$1:$I$89,5,0)</f>
        <v>177.41800000000001</v>
      </c>
      <c r="FG59" s="14">
        <f t="shared" si="47"/>
        <v>44.747256581968642</v>
      </c>
      <c r="FH59" s="22">
        <f t="shared" si="22"/>
        <v>386.93782188026211</v>
      </c>
      <c r="FI59" s="62">
        <f t="shared" si="23"/>
        <v>652.24260959212393</v>
      </c>
      <c r="FJ59" s="62">
        <f ca="1">AVERAGE(OFFSET($FI$3,0,0,'Données projet'!$E$16+1,1))-AVERAGE(OFFSET($H$3,0,0,'Données projet'!$E$16+1,1))</f>
        <v>390.05579539539576</v>
      </c>
      <c r="FK59" s="62">
        <f t="shared" si="48"/>
        <v>323.72278615226139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projet'!$B$16,Paramètres!$A$1:$I$89,3,0)*0.475*44/12</f>
        <v>0</v>
      </c>
      <c r="FR59" s="23">
        <f>EXP(-LN(2)/25)*FR58+(1-EXP(-LN(2)/25))/(LN(2)/25)*Calculateur!FM59*Calculateur!FO59*VLOOKUP('Données projet'!$B$16,Paramètres!$A$1:$I$89,3,0)*0.475*44/12</f>
        <v>0</v>
      </c>
      <c r="FS59" s="23">
        <f>EXP(-LN(2)/2)*FS58+(1-EXP(-LN(2)/2))/(LN(2)/2)*FM59*FP59*VLOOKUP('Données projet'!$B$16,Paramètres!$A$1:$I$89,3,0)*0.475*44/12</f>
        <v>0</v>
      </c>
      <c r="FT59" s="24">
        <f t="shared" si="24"/>
        <v>0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62.355851194144122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9.4</v>
      </c>
      <c r="FZ59" s="13">
        <f>IF('Données projet'!$A$244&gt;35,FZ58+FY59-GH58,IF(A59&lt;'Données projet'!$A$244,$FW$205^A59,IF(A59='Données projet'!$A$244,'Données projet'!$B$244,FZ58+FY59-GH58)))</f>
        <v>263.39999999999992</v>
      </c>
      <c r="GA59" s="18">
        <f>FZ59*VLOOKUP('Données projet'!$B$17,Paramètres!$A$1:$I$89,3,0)*VLOOKUP('Données projet'!$B$17,Paramètres!$A$1:$I$89,5,0)</f>
        <v>254.76047999999992</v>
      </c>
      <c r="GB59" s="14">
        <f t="shared" si="49"/>
        <v>61.604204198547471</v>
      </c>
      <c r="GC59" s="22">
        <f t="shared" si="25"/>
        <v>551.00182497913659</v>
      </c>
      <c r="GD59" s="62">
        <f t="shared" si="26"/>
        <v>816.30661269099835</v>
      </c>
      <c r="GE59" s="62">
        <f ca="1">AVERAGE(OFFSET($GD$3,0,0,'Données projet'!$E$17+1,1))-AVERAGE(OFFSET($H$3,0,0,'Données projet'!$E$17+1,1))</f>
        <v>578.44111602076555</v>
      </c>
      <c r="GF59" s="62">
        <f t="shared" si="50"/>
        <v>368.08542661432784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>
        <f>EXP(-LN(2)/35)*GL58+(1-EXP(-LN(2)/35))/(LN(2)/35)*GH59*GI59*VLOOKUP('Données projet'!$B$17,Paramètres!$A$1:$I$89,3,0)*0.475*44/12</f>
        <v>0</v>
      </c>
      <c r="GM59" s="23">
        <f>EXP(-LN(2)/25)*GM58+(1-EXP(-LN(2)/25))/(LN(2)/25)*Calculateur!GH59*Calculateur!GJ59*VLOOKUP('Données projet'!$B$17,Paramètres!$A$1:$I$89,3,0)*0.475*44/12</f>
        <v>0</v>
      </c>
      <c r="GN59" s="23">
        <f>EXP(-LN(2)/2)*GN58+(1-EXP(-LN(2)/2))/(LN(2)/2)*GH59*GK59*VLOOKUP('Données projet'!$B$17,Paramètres!$A$1:$I$89,3,0)*0.475*44/12</f>
        <v>0</v>
      </c>
      <c r="GO59" s="23">
        <f t="shared" si="27"/>
        <v>0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62.355851194144122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4.0735000000000001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14.936166666666667</v>
      </c>
      <c r="H60" s="70">
        <f t="shared" si="1"/>
        <v>196.922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62.488460086169212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9.4</v>
      </c>
      <c r="N60" s="14">
        <f>IF('Données projet'!$A$36&gt;35,N59+M60-V59,IF(A60&lt;'Données projet'!$A$36,$K$205^A60,IF(A60='Données projet'!$A$36,'Données projet'!$B$36,N59+M60-V59)))</f>
        <v>272.7999999999999</v>
      </c>
      <c r="O60" s="14">
        <f>N60*VLOOKUP('Données projet'!$B$9,Paramètres!$A$1:$I$89,3,0)*VLOOKUP('Données projet'!$B$9,Paramètres!$A$1:$I$89,5,0)</f>
        <v>246.82943999999989</v>
      </c>
      <c r="P60" s="14">
        <f t="shared" si="33"/>
        <v>59.906509645447436</v>
      </c>
      <c r="Q60" s="22">
        <f t="shared" si="53"/>
        <v>534.23177896582058</v>
      </c>
      <c r="R60" s="62">
        <f t="shared" si="0"/>
        <v>800.02279928177427</v>
      </c>
      <c r="S60" s="62">
        <f ca="1">AVERAGE(OFFSET($R$3,0,0,'Données projet'!$E$9+1,1))-AVERAGE(OFFSET($H$3,0,0,'Données projet'!$E$9+1,1))</f>
        <v>546.11281471711925</v>
      </c>
      <c r="T60" s="62">
        <f t="shared" si="34"/>
        <v>348.18069831447099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62.488460086169212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13</v>
      </c>
      <c r="AI60" s="14">
        <f>IF('Données projet'!$A$62&gt;35,AI59+AH60-AQ59,IF(A60&lt;'Données projet'!$A$62,$AF$205^A60,IF(A60='Données projet'!$A$62,'Données projet'!$B$62,AI59+AH60-AQ59)))</f>
        <v>297.00000000000006</v>
      </c>
      <c r="AJ60" s="14">
        <f>AI60*VLOOKUP('Données projet'!$B$10,Paramètres!$A$1:$I$89,3,0)*VLOOKUP('Données projet'!$B$10,Paramètres!$A$1:$I$89,5,0)</f>
        <v>254.82600000000008</v>
      </c>
      <c r="AK60" s="14">
        <f t="shared" si="35"/>
        <v>61.618203339594587</v>
      </c>
      <c r="AL60" s="22">
        <f t="shared" si="4"/>
        <v>551.14032081646064</v>
      </c>
      <c r="AM60" s="62">
        <f t="shared" si="5"/>
        <v>816.93134113241445</v>
      </c>
      <c r="AN60" s="62">
        <f ca="1">AVERAGE(OFFSET($AM$3,0,0,'Données projet'!$E$10+1,1))-AVERAGE(OFFSET($H$3,0,0,'Données projet'!$E$10+1,1))</f>
        <v>693.87994318348024</v>
      </c>
      <c r="AO60" s="62">
        <f t="shared" si="36"/>
        <v>327.71043739333641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62.488460086169212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9.4</v>
      </c>
      <c r="BD60" s="13">
        <f>IF('Données projet'!$A$88&gt;35,BD59+BC60-BL59,IF(A60&lt;'Données projet'!$A$88,$BA$205^A60,IF(A60='Données projet'!$A$88,'Données projet'!$B$88,BD59+BC60-BL59)))</f>
        <v>272.7999999999999</v>
      </c>
      <c r="BE60" s="14">
        <f>BD60*VLOOKUP('Données projet'!$B$11,Paramètres!$A$1:$I$89,3,0)*VLOOKUP('Données projet'!$B$11,Paramètres!$A$1:$I$89,5,0)</f>
        <v>229.80671999999993</v>
      </c>
      <c r="BF60" s="14">
        <f t="shared" si="37"/>
        <v>56.240887831657908</v>
      </c>
      <c r="BG60" s="22">
        <f t="shared" si="7"/>
        <v>498.1995836401374</v>
      </c>
      <c r="BH60" s="62">
        <f t="shared" si="8"/>
        <v>763.99060395609115</v>
      </c>
      <c r="BI60" s="62">
        <f ca="1">AVERAGE(OFFSET($BH$3,0,0,'Données projet'!$E$11+1,1))-AVERAGE(OFFSET($H$3,0,0,'Données projet'!$E$11+1,1))</f>
        <v>513.7388209355762</v>
      </c>
      <c r="BJ60" s="62">
        <f t="shared" si="38"/>
        <v>328.24603121433927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62.488460086169212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7.3</v>
      </c>
      <c r="BY60" s="13">
        <f>IF('Données projet'!$A$114&gt;35,BY59+BX60-CG59,IF(A60&lt;'Données projet'!$A$114,$BV$205^A60,IF(A60='Données projet'!$A$114,'Données projet'!$B$114,BY59+BX60-CG59)))</f>
        <v>338.70000000000016</v>
      </c>
      <c r="BZ60" s="14">
        <f>BY60*VLOOKUP('Données projet'!$B$12,Paramètres!$A$1:$I$89,3,0)*VLOOKUP('Données projet'!$B$12,Paramètres!$A$1:$I$89,5,0)</f>
        <v>269.46972000000011</v>
      </c>
      <c r="CA60" s="14">
        <f t="shared" si="39"/>
        <v>64.736717615333134</v>
      </c>
      <c r="CB60" s="22">
        <f t="shared" si="10"/>
        <v>582.07621218003862</v>
      </c>
      <c r="CC60" s="62">
        <f t="shared" si="11"/>
        <v>847.86723249599231</v>
      </c>
      <c r="CD60" s="62">
        <f ca="1">AVERAGE(OFFSET($CC$3,0,0,'Données projet'!$E$12+1,1))-AVERAGE(OFFSET($H$3,0,0,'Données projet'!$E$12+1,1))</f>
        <v>447.25854887589878</v>
      </c>
      <c r="CE60" s="62">
        <f t="shared" si="40"/>
        <v>480.13390593590157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62.488460086169212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9.375</v>
      </c>
      <c r="CT60" s="13">
        <f>IF('Données projet'!$A$140&gt;35,CT59+CS60-DB59,IF(A60&lt;'Données projet'!$A$140,$CQ$205^A60,IF(A60='Données projet'!$A$140,'Données projet'!$B$140,CT59+CS60-DB59)))</f>
        <v>268.87499999999994</v>
      </c>
      <c r="CU60" s="18">
        <f>CT60*VLOOKUP('Données projet'!$B$13,Paramètres!$A$1:$I$89,3,0)*VLOOKUP('Données projet'!$B$13,Paramètres!$A$1:$I$89,5,0)</f>
        <v>209.72249999999997</v>
      </c>
      <c r="CV60" s="14">
        <f t="shared" si="41"/>
        <v>51.874940300502296</v>
      </c>
      <c r="CW60" s="22">
        <f t="shared" si="13"/>
        <v>455.61554185670815</v>
      </c>
      <c r="CX60" s="62">
        <f t="shared" si="14"/>
        <v>721.40656217266189</v>
      </c>
      <c r="CY60" s="62">
        <f ca="1">AVERAGE(OFFSET($CX$3,0,0,'Données projet'!$E$13+1,1))-AVERAGE(OFFSET($H$3,0,0,'Données projet'!$E$13+1,1))</f>
        <v>308.52515801950324</v>
      </c>
      <c r="CZ60" s="62">
        <f t="shared" si="42"/>
        <v>299.05420638408953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62.488460086169212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7.3</v>
      </c>
      <c r="DO60" s="13">
        <f>IF('Données projet'!$A$166&gt;35,DO59+DN60-DW59,IF(A60&lt;'Données projet'!$A$166,$DL$205^A60,IF(A60='Données projet'!$A$166,'Données projet'!$B$166,DO59+DN60-DW59)))</f>
        <v>338.70000000000016</v>
      </c>
      <c r="DP60" s="18">
        <f>DO60*VLOOKUP('Données projet'!$B$14,Paramètres!$A$1:$I$89,3,0)*VLOOKUP('Données projet'!$B$14,Paramètres!$A$1:$I$89,5,0)</f>
        <v>248.33484000000013</v>
      </c>
      <c r="DQ60" s="14">
        <f t="shared" si="43"/>
        <v>60.22923333258133</v>
      </c>
      <c r="DR60" s="22">
        <f t="shared" si="16"/>
        <v>537.41576105424599</v>
      </c>
      <c r="DS60" s="62">
        <f t="shared" si="17"/>
        <v>803.20678137019968</v>
      </c>
      <c r="DT60" s="62">
        <f ca="1">AVERAGE(OFFSET($DS$3,0,0,'Données projet'!$E$14+1,1))-AVERAGE(OFFSET($H$3,0,0,'Données projet'!$E$14+1,1))</f>
        <v>416.72317068678774</v>
      </c>
      <c r="DU60" s="62">
        <f t="shared" si="44"/>
        <v>447.32457429495537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62.488460086169212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5.5128205128205137</v>
      </c>
      <c r="EJ60" s="13">
        <f>IF('Données projet'!$A$192&gt;35,EJ59+EI60-ER59,IF(A60&lt;'Données projet'!$A$192,$EG$205^A60,IF(A60='Données projet'!$A$192,'Données projet'!$B$192,EJ59+EI60-ER59)))</f>
        <v>221.28205128205133</v>
      </c>
      <c r="EK60" s="18">
        <f>EJ60*VLOOKUP('Données projet'!$B$15,Paramètres!$A$1:$I$89,3,0)*VLOOKUP('Données projet'!$B$15,Paramètres!$A$1:$I$89,5,0)</f>
        <v>210.57200000000006</v>
      </c>
      <c r="EL60" s="14">
        <f t="shared" si="45"/>
        <v>52.060562294525177</v>
      </c>
      <c r="EM60" s="22">
        <f t="shared" si="19"/>
        <v>457.41837932963148</v>
      </c>
      <c r="EN60" s="62">
        <f t="shared" si="20"/>
        <v>723.20939964558522</v>
      </c>
      <c r="EO60" s="62">
        <f ca="1">AVERAGE(OFFSET($EN$3,0,0,'Données projet'!$E$15+1,1))-AVERAGE(OFFSET($H$3,0,0,'Données projet'!$E$15+1,1))</f>
        <v>454.78867027701426</v>
      </c>
      <c r="EP60" s="62">
        <f t="shared" si="46"/>
        <v>366.45346303927056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0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62.488460086169212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6.1538461538461551</v>
      </c>
      <c r="FE60" s="13">
        <f>IF('Données projet'!$A$218&gt;35,FE59+FD60-FM59,IF(A60&lt;'Données projet'!$A$218,$FB$205^A60,IF(A60='Données projet'!$A$218,'Données projet'!$B$218,FE59+FD60-FM59)))</f>
        <v>270.64102564102564</v>
      </c>
      <c r="FF60" s="18">
        <f>FE60*VLOOKUP('Données projet'!$B$16,Paramètres!$A$1:$I$89,3,0)*VLOOKUP('Données projet'!$B$16,Paramètres!$A$1:$I$89,5,0)</f>
        <v>181.54599999999999</v>
      </c>
      <c r="FG60" s="14">
        <f t="shared" si="47"/>
        <v>45.665971295569292</v>
      </c>
      <c r="FH60" s="22">
        <f t="shared" si="22"/>
        <v>395.7275166731165</v>
      </c>
      <c r="FI60" s="62">
        <f t="shared" si="23"/>
        <v>661.5185369890703</v>
      </c>
      <c r="FJ60" s="62">
        <f ca="1">AVERAGE(OFFSET($FI$3,0,0,'Données projet'!$E$16+1,1))-AVERAGE(OFFSET($H$3,0,0,'Données projet'!$E$16+1,1))</f>
        <v>390.05579539539576</v>
      </c>
      <c r="FK60" s="62">
        <f t="shared" si="48"/>
        <v>323.72278615226139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projet'!$B$16,Paramètres!$A$1:$I$89,3,0)*0.475*44/12</f>
        <v>0</v>
      </c>
      <c r="FR60" s="23">
        <f>EXP(-LN(2)/25)*FR59+(1-EXP(-LN(2)/25))/(LN(2)/25)*Calculateur!FM60*Calculateur!FO60*VLOOKUP('Données projet'!$B$16,Paramètres!$A$1:$I$89,3,0)*0.475*44/12</f>
        <v>0</v>
      </c>
      <c r="FS60" s="23">
        <f>EXP(-LN(2)/2)*FS59+(1-EXP(-LN(2)/2))/(LN(2)/2)*FM60*FP60*VLOOKUP('Données projet'!$B$16,Paramètres!$A$1:$I$89,3,0)*0.475*44/12</f>
        <v>0</v>
      </c>
      <c r="FT60" s="24">
        <f t="shared" si="24"/>
        <v>0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62.488460086169212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9.4</v>
      </c>
      <c r="FZ60" s="13">
        <f>IF('Données projet'!$A$244&gt;35,FZ59+FY60-GH59,IF(A60&lt;'Données projet'!$A$244,$FW$205^A60,IF(A60='Données projet'!$A$244,'Données projet'!$B$244,FZ59+FY60-GH59)))</f>
        <v>272.7999999999999</v>
      </c>
      <c r="GA60" s="18">
        <f>FZ60*VLOOKUP('Données projet'!$B$17,Paramètres!$A$1:$I$89,3,0)*VLOOKUP('Données projet'!$B$17,Paramètres!$A$1:$I$89,5,0)</f>
        <v>263.85215999999991</v>
      </c>
      <c r="GB60" s="14">
        <f t="shared" si="49"/>
        <v>63.542798623648928</v>
      </c>
      <c r="GC60" s="22">
        <f t="shared" si="25"/>
        <v>570.21288626952162</v>
      </c>
      <c r="GD60" s="62">
        <f t="shared" si="26"/>
        <v>836.00390658547531</v>
      </c>
      <c r="GE60" s="62">
        <f ca="1">AVERAGE(OFFSET($GD$3,0,0,'Données projet'!$E$17+1,1))-AVERAGE(OFFSET($H$3,0,0,'Données projet'!$E$17+1,1))</f>
        <v>578.44111602076555</v>
      </c>
      <c r="GF60" s="62">
        <f t="shared" si="50"/>
        <v>368.08542661432784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>
        <f>EXP(-LN(2)/35)*GL59+(1-EXP(-LN(2)/35))/(LN(2)/35)*GH60*GI60*VLOOKUP('Données projet'!$B$17,Paramètres!$A$1:$I$89,3,0)*0.475*44/12</f>
        <v>0</v>
      </c>
      <c r="GM60" s="23">
        <f>EXP(-LN(2)/25)*GM59+(1-EXP(-LN(2)/25))/(LN(2)/25)*Calculateur!GH60*Calculateur!GJ60*VLOOKUP('Données projet'!$B$17,Paramètres!$A$1:$I$89,3,0)*0.475*44/12</f>
        <v>0</v>
      </c>
      <c r="GN60" s="23">
        <f>EXP(-LN(2)/2)*GN59+(1-EXP(-LN(2)/2))/(LN(2)/2)*GH60*GK60*VLOOKUP('Données projet'!$B$17,Paramètres!$A$1:$I$89,3,0)*0.475*44/12</f>
        <v>0</v>
      </c>
      <c r="GO60" s="23">
        <f t="shared" si="27"/>
        <v>0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62.488460086169212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4.0735000000000001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14.936166666666667</v>
      </c>
      <c r="H61" s="70">
        <f t="shared" si="1"/>
        <v>196.922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62.618768510386758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9.4</v>
      </c>
      <c r="N61" s="14">
        <f>IF('Données projet'!$A$36&gt;35,N60+M61-V60,IF(A61&lt;'Données projet'!$A$36,$K$205^A61,IF(A61='Données projet'!$A$36,'Données projet'!$B$36,N60+M61-V60)))</f>
        <v>282.19999999999987</v>
      </c>
      <c r="O61" s="14">
        <f>N61*VLOOKUP('Données projet'!$B$9,Paramètres!$A$1:$I$89,3,0)*VLOOKUP('Données projet'!$B$9,Paramètres!$A$1:$I$89,5,0)</f>
        <v>255.33455999999987</v>
      </c>
      <c r="P61" s="14">
        <f t="shared" si="33"/>
        <v>61.726849101638756</v>
      </c>
      <c r="Q61" s="22">
        <f t="shared" si="53"/>
        <v>552.21528751868721</v>
      </c>
      <c r="R61" s="62">
        <f t="shared" si="0"/>
        <v>818.48410539010524</v>
      </c>
      <c r="S61" s="62">
        <f ca="1">AVERAGE(OFFSET($R$3,0,0,'Données projet'!$E$9+1,1))-AVERAGE(OFFSET($H$3,0,0,'Données projet'!$E$9+1,1))</f>
        <v>546.11281471711925</v>
      </c>
      <c r="T61" s="62">
        <f t="shared" si="34"/>
        <v>348.18069831447099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62.618768510386758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13</v>
      </c>
      <c r="AI61" s="14">
        <f>IF('Données projet'!$A$62&gt;35,AI60+AH61-AQ60,IF(A61&lt;'Données projet'!$A$62,$AF$205^A61,IF(A61='Données projet'!$A$62,'Données projet'!$B$62,AI60+AH61-AQ60)))</f>
        <v>310.00000000000006</v>
      </c>
      <c r="AJ61" s="14">
        <f>AI61*VLOOKUP('Données projet'!$B$10,Paramètres!$A$1:$I$89,3,0)*VLOOKUP('Données projet'!$B$10,Paramètres!$A$1:$I$89,5,0)</f>
        <v>265.98000000000008</v>
      </c>
      <c r="AK61" s="14">
        <f t="shared" si="35"/>
        <v>63.995380422211646</v>
      </c>
      <c r="AL61" s="22">
        <f t="shared" si="4"/>
        <v>574.7071209020188</v>
      </c>
      <c r="AM61" s="62">
        <f t="shared" si="5"/>
        <v>840.97593877343684</v>
      </c>
      <c r="AN61" s="62">
        <f ca="1">AVERAGE(OFFSET($AM$3,0,0,'Données projet'!$E$10+1,1))-AVERAGE(OFFSET($H$3,0,0,'Données projet'!$E$10+1,1))</f>
        <v>693.87994318348024</v>
      </c>
      <c r="AO61" s="62">
        <f t="shared" si="36"/>
        <v>327.71043739333641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62.618768510386758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9.4</v>
      </c>
      <c r="BD61" s="13">
        <f>IF('Données projet'!$A$88&gt;35,BD60+BC61-BL60,IF(A61&lt;'Données projet'!$A$88,$BA$205^A61,IF(A61='Données projet'!$A$88,'Données projet'!$B$88,BD60+BC61-BL60)))</f>
        <v>282.19999999999987</v>
      </c>
      <c r="BE61" s="14">
        <f>BD61*VLOOKUP('Données projet'!$B$11,Paramètres!$A$1:$I$89,3,0)*VLOOKUP('Données projet'!$B$11,Paramètres!$A$1:$I$89,5,0)</f>
        <v>237.72527999999994</v>
      </c>
      <c r="BF61" s="14">
        <f t="shared" si="37"/>
        <v>57.949842464086196</v>
      </c>
      <c r="BG61" s="22">
        <f t="shared" si="7"/>
        <v>514.96750495828326</v>
      </c>
      <c r="BH61" s="62">
        <f t="shared" si="8"/>
        <v>781.23632282970129</v>
      </c>
      <c r="BI61" s="62">
        <f ca="1">AVERAGE(OFFSET($BH$3,0,0,'Données projet'!$E$11+1,1))-AVERAGE(OFFSET($H$3,0,0,'Données projet'!$E$11+1,1))</f>
        <v>513.7388209355762</v>
      </c>
      <c r="BJ61" s="62">
        <f t="shared" si="38"/>
        <v>328.24603121433927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62.618768510386758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7.3</v>
      </c>
      <c r="BY61" s="13">
        <f>IF('Données projet'!$A$114&gt;35,BY60+BX61-CG60,IF(A61&lt;'Données projet'!$A$114,$BV$205^A61,IF(A61='Données projet'!$A$114,'Données projet'!$B$114,BY60+BX61-CG60)))</f>
        <v>346.00000000000017</v>
      </c>
      <c r="BZ61" s="14">
        <f>BY61*VLOOKUP('Données projet'!$B$12,Paramètres!$A$1:$I$89,3,0)*VLOOKUP('Données projet'!$B$12,Paramètres!$A$1:$I$89,5,0)</f>
        <v>275.27760000000018</v>
      </c>
      <c r="CA61" s="14">
        <f t="shared" si="39"/>
        <v>65.968044203800289</v>
      </c>
      <c r="CB61" s="22">
        <f t="shared" si="10"/>
        <v>594.33616365495243</v>
      </c>
      <c r="CC61" s="62">
        <f t="shared" si="11"/>
        <v>860.60498152637047</v>
      </c>
      <c r="CD61" s="62">
        <f ca="1">AVERAGE(OFFSET($CC$3,0,0,'Données projet'!$E$12+1,1))-AVERAGE(OFFSET($H$3,0,0,'Données projet'!$E$12+1,1))</f>
        <v>447.25854887589878</v>
      </c>
      <c r="CE61" s="62">
        <f t="shared" si="40"/>
        <v>480.13390593590157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62.618768510386758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9.375</v>
      </c>
      <c r="CT61" s="13">
        <f>IF('Données projet'!$A$140&gt;35,CT60+CS61-DB60,IF(A61&lt;'Données projet'!$A$140,$CQ$205^A61,IF(A61='Données projet'!$A$140,'Données projet'!$B$140,CT60+CS61-DB60)))</f>
        <v>278.24999999999994</v>
      </c>
      <c r="CU61" s="18">
        <f>CT61*VLOOKUP('Données projet'!$B$13,Paramètres!$A$1:$I$89,3,0)*VLOOKUP('Données projet'!$B$13,Paramètres!$A$1:$I$89,5,0)</f>
        <v>217.03499999999997</v>
      </c>
      <c r="CV61" s="14">
        <f t="shared" si="41"/>
        <v>53.469949591969474</v>
      </c>
      <c r="CW61" s="22">
        <f t="shared" si="13"/>
        <v>471.12945387268002</v>
      </c>
      <c r="CX61" s="62">
        <f t="shared" si="14"/>
        <v>737.39827174409811</v>
      </c>
      <c r="CY61" s="62">
        <f ca="1">AVERAGE(OFFSET($CX$3,0,0,'Données projet'!$E$13+1,1))-AVERAGE(OFFSET($H$3,0,0,'Données projet'!$E$13+1,1))</f>
        <v>308.52515801950324</v>
      </c>
      <c r="CZ61" s="62">
        <f t="shared" si="42"/>
        <v>299.05420638408953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62.618768510386758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7.3</v>
      </c>
      <c r="DO61" s="13">
        <f>IF('Données projet'!$A$166&gt;35,DO60+DN61-DW60,IF(A61&lt;'Données projet'!$A$166,$DL$205^A61,IF(A61='Données projet'!$A$166,'Données projet'!$B$166,DO60+DN61-DW60)))</f>
        <v>346.00000000000017</v>
      </c>
      <c r="DP61" s="18">
        <f>DO61*VLOOKUP('Données projet'!$B$14,Paramètres!$A$1:$I$89,3,0)*VLOOKUP('Données projet'!$B$14,Paramètres!$A$1:$I$89,5,0)</f>
        <v>253.6872000000001</v>
      </c>
      <c r="DQ61" s="14">
        <f t="shared" si="43"/>
        <v>61.374825187362525</v>
      </c>
      <c r="DR61" s="22">
        <f t="shared" si="16"/>
        <v>548.73302720132324</v>
      </c>
      <c r="DS61" s="62">
        <f t="shared" si="17"/>
        <v>815.00184507274139</v>
      </c>
      <c r="DT61" s="62">
        <f ca="1">AVERAGE(OFFSET($DS$3,0,0,'Données projet'!$E$14+1,1))-AVERAGE(OFFSET($H$3,0,0,'Données projet'!$E$14+1,1))</f>
        <v>416.72317068678774</v>
      </c>
      <c r="DU61" s="62">
        <f t="shared" si="44"/>
        <v>447.32457429495537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62.618768510386758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5.5128205128205137</v>
      </c>
      <c r="EJ61" s="13">
        <f>IF('Données projet'!$A$192&gt;35,EJ60+EI61-ER60,IF(A61&lt;'Données projet'!$A$192,$EG$205^A61,IF(A61='Données projet'!$A$192,'Données projet'!$B$192,EJ60+EI61-ER60)))</f>
        <v>226.79487179487185</v>
      </c>
      <c r="EK61" s="18">
        <f>EJ61*VLOOKUP('Données projet'!$B$15,Paramètres!$A$1:$I$89,3,0)*VLOOKUP('Données projet'!$B$15,Paramètres!$A$1:$I$89,5,0)</f>
        <v>215.81800000000007</v>
      </c>
      <c r="EL61" s="14">
        <f t="shared" si="45"/>
        <v>53.204935913742531</v>
      </c>
      <c r="EM61" s="22">
        <f t="shared" si="19"/>
        <v>468.54828004976827</v>
      </c>
      <c r="EN61" s="62">
        <f t="shared" si="20"/>
        <v>734.81709792118636</v>
      </c>
      <c r="EO61" s="62">
        <f ca="1">AVERAGE(OFFSET($EN$3,0,0,'Données projet'!$E$15+1,1))-AVERAGE(OFFSET($H$3,0,0,'Données projet'!$E$15+1,1))</f>
        <v>454.78867027701426</v>
      </c>
      <c r="EP61" s="62">
        <f t="shared" si="46"/>
        <v>366.45346303927056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0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62.618768510386758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6.1538461538461551</v>
      </c>
      <c r="FE61" s="13">
        <f>IF('Données projet'!$A$218&gt;35,FE60+FD61-FM60,IF(A61&lt;'Données projet'!$A$218,$FB$205^A61,IF(A61='Données projet'!$A$218,'Données projet'!$B$218,FE60+FD61-FM60)))</f>
        <v>276.79487179487177</v>
      </c>
      <c r="FF61" s="18">
        <f>FE61*VLOOKUP('Données projet'!$B$16,Paramètres!$A$1:$I$89,3,0)*VLOOKUP('Données projet'!$B$16,Paramètres!$A$1:$I$89,5,0)</f>
        <v>185.67399999999998</v>
      </c>
      <c r="FG61" s="14">
        <f t="shared" si="47"/>
        <v>46.582257433649239</v>
      </c>
      <c r="FH61" s="22">
        <f t="shared" si="22"/>
        <v>404.51298169693899</v>
      </c>
      <c r="FI61" s="62">
        <f t="shared" si="23"/>
        <v>670.78179956835709</v>
      </c>
      <c r="FJ61" s="62">
        <f ca="1">AVERAGE(OFFSET($FI$3,0,0,'Données projet'!$E$16+1,1))-AVERAGE(OFFSET($H$3,0,0,'Données projet'!$E$16+1,1))</f>
        <v>390.05579539539576</v>
      </c>
      <c r="FK61" s="62">
        <f t="shared" si="48"/>
        <v>323.72278615226139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projet'!$B$16,Paramètres!$A$1:$I$89,3,0)*0.475*44/12</f>
        <v>0</v>
      </c>
      <c r="FR61" s="23">
        <f>EXP(-LN(2)/25)*FR60+(1-EXP(-LN(2)/25))/(LN(2)/25)*Calculateur!FM61*Calculateur!FO61*VLOOKUP('Données projet'!$B$16,Paramètres!$A$1:$I$89,3,0)*0.475*44/12</f>
        <v>0</v>
      </c>
      <c r="FS61" s="23">
        <f>EXP(-LN(2)/2)*FS60+(1-EXP(-LN(2)/2))/(LN(2)/2)*FM61*FP61*VLOOKUP('Données projet'!$B$16,Paramètres!$A$1:$I$89,3,0)*0.475*44/12</f>
        <v>0</v>
      </c>
      <c r="FT61" s="24">
        <f t="shared" si="24"/>
        <v>0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62.618768510386758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9.4</v>
      </c>
      <c r="FZ61" s="13">
        <f>IF('Données projet'!$A$244&gt;35,FZ60+FY61-GH60,IF(A61&lt;'Données projet'!$A$244,$FW$205^A61,IF(A61='Données projet'!$A$244,'Données projet'!$B$244,FZ60+FY61-GH60)))</f>
        <v>282.19999999999987</v>
      </c>
      <c r="GA61" s="18">
        <f>FZ61*VLOOKUP('Données projet'!$B$17,Paramètres!$A$1:$I$89,3,0)*VLOOKUP('Données projet'!$B$17,Paramètres!$A$1:$I$89,5,0)</f>
        <v>272.94383999999985</v>
      </c>
      <c r="GB61" s="14">
        <f t="shared" si="49"/>
        <v>65.47363158614381</v>
      </c>
      <c r="GC61" s="22">
        <f t="shared" si="25"/>
        <v>589.41042967920009</v>
      </c>
      <c r="GD61" s="62">
        <f t="shared" si="26"/>
        <v>855.67924755061813</v>
      </c>
      <c r="GE61" s="62">
        <f ca="1">AVERAGE(OFFSET($GD$3,0,0,'Données projet'!$E$17+1,1))-AVERAGE(OFFSET($H$3,0,0,'Données projet'!$E$17+1,1))</f>
        <v>578.44111602076555</v>
      </c>
      <c r="GF61" s="62">
        <f t="shared" si="50"/>
        <v>368.08542661432784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>
        <f>EXP(-LN(2)/35)*GL60+(1-EXP(-LN(2)/35))/(LN(2)/35)*GH61*GI61*VLOOKUP('Données projet'!$B$17,Paramètres!$A$1:$I$89,3,0)*0.475*44/12</f>
        <v>0</v>
      </c>
      <c r="GM61" s="23">
        <f>EXP(-LN(2)/25)*GM60+(1-EXP(-LN(2)/25))/(LN(2)/25)*Calculateur!GH61*Calculateur!GJ61*VLOOKUP('Données projet'!$B$17,Paramètres!$A$1:$I$89,3,0)*0.475*44/12</f>
        <v>0</v>
      </c>
      <c r="GN61" s="23">
        <f>EXP(-LN(2)/2)*GN60+(1-EXP(-LN(2)/2))/(LN(2)/2)*GH61*GK61*VLOOKUP('Données projet'!$B$17,Paramètres!$A$1:$I$89,3,0)*0.475*44/12</f>
        <v>0</v>
      </c>
      <c r="GO61" s="23">
        <f t="shared" si="27"/>
        <v>0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62.618768510386758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4.0735000000000001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14.936166666666667</v>
      </c>
      <c r="H62" s="70">
        <f t="shared" si="1"/>
        <v>196.922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62.746816374770106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9.4</v>
      </c>
      <c r="N62" s="14">
        <f>IF('Données projet'!$A$36&gt;35,N61+M62-V61,IF(A62&lt;'Données projet'!$A$36,$K$205^A62,IF(A62='Données projet'!$A$36,'Données projet'!$B$36,N61+M62-V61)))</f>
        <v>291.59999999999985</v>
      </c>
      <c r="O62" s="14">
        <f>N62*VLOOKUP('Données projet'!$B$9,Paramètres!$A$1:$I$89,3,0)*VLOOKUP('Données projet'!$B$9,Paramètres!$A$1:$I$89,5,0)</f>
        <v>263.83967999999987</v>
      </c>
      <c r="P62" s="14">
        <f t="shared" si="33"/>
        <v>63.540142934904836</v>
      </c>
      <c r="Q62" s="22">
        <f t="shared" si="53"/>
        <v>570.18652494495905</v>
      </c>
      <c r="R62" s="62">
        <f t="shared" si="0"/>
        <v>836.92485165244943</v>
      </c>
      <c r="S62" s="62">
        <f ca="1">AVERAGE(OFFSET($R$3,0,0,'Données projet'!$E$9+1,1))-AVERAGE(OFFSET($H$3,0,0,'Données projet'!$E$9+1,1))</f>
        <v>546.11281471711925</v>
      </c>
      <c r="T62" s="62">
        <f t="shared" si="34"/>
        <v>348.18069831447099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62.746816374770106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13</v>
      </c>
      <c r="AI62" s="14">
        <f>IF('Données projet'!$A$62&gt;35,AI61+AH62-AQ61,IF(A62&lt;'Données projet'!$A$62,$AF$205^A62,IF(A62='Données projet'!$A$62,'Données projet'!$B$62,AI61+AH62-AQ61)))</f>
        <v>323.00000000000006</v>
      </c>
      <c r="AJ62" s="14">
        <f>AI62*VLOOKUP('Données projet'!$B$10,Paramètres!$A$1:$I$89,3,0)*VLOOKUP('Données projet'!$B$10,Paramètres!$A$1:$I$89,5,0)</f>
        <v>277.13400000000007</v>
      </c>
      <c r="AK62" s="14">
        <f t="shared" si="35"/>
        <v>66.360978503745613</v>
      </c>
      <c r="AL62" s="22">
        <f t="shared" si="4"/>
        <v>598.25375422735704</v>
      </c>
      <c r="AM62" s="62">
        <f t="shared" si="5"/>
        <v>864.99208093484742</v>
      </c>
      <c r="AN62" s="62">
        <f ca="1">AVERAGE(OFFSET($AM$3,0,0,'Données projet'!$E$10+1,1))-AVERAGE(OFFSET($H$3,0,0,'Données projet'!$E$10+1,1))</f>
        <v>693.87994318348024</v>
      </c>
      <c r="AO62" s="62">
        <f t="shared" si="36"/>
        <v>327.71043739333641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62.746816374770106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9.4</v>
      </c>
      <c r="BD62" s="13">
        <f>IF('Données projet'!$A$88&gt;35,BD61+BC62-BL61,IF(A62&lt;'Données projet'!$A$88,$BA$205^A62,IF(A62='Données projet'!$A$88,'Données projet'!$B$88,BD61+BC62-BL61)))</f>
        <v>291.59999999999985</v>
      </c>
      <c r="BE62" s="14">
        <f>BD62*VLOOKUP('Données projet'!$B$11,Paramètres!$A$1:$I$89,3,0)*VLOOKUP('Données projet'!$B$11,Paramètres!$A$1:$I$89,5,0)</f>
        <v>245.64383999999993</v>
      </c>
      <c r="BF62" s="14">
        <f t="shared" si="37"/>
        <v>59.652182588492046</v>
      </c>
      <c r="BG62" s="22">
        <f t="shared" si="7"/>
        <v>531.7239060082901</v>
      </c>
      <c r="BH62" s="62">
        <f t="shared" si="8"/>
        <v>798.46223271578049</v>
      </c>
      <c r="BI62" s="62">
        <f ca="1">AVERAGE(OFFSET($BH$3,0,0,'Données projet'!$E$11+1,1))-AVERAGE(OFFSET($H$3,0,0,'Données projet'!$E$11+1,1))</f>
        <v>513.7388209355762</v>
      </c>
      <c r="BJ62" s="62">
        <f t="shared" si="38"/>
        <v>328.24603121433927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62.746816374770106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7.3</v>
      </c>
      <c r="BY62" s="13">
        <f>IF('Données projet'!$A$114&gt;35,BY61+BX62-CG61,IF(A62&lt;'Données projet'!$A$114,$BV$205^A62,IF(A62='Données projet'!$A$114,'Données projet'!$B$114,BY61+BX62-CG61)))</f>
        <v>353.30000000000018</v>
      </c>
      <c r="BZ62" s="14">
        <f>BY62*VLOOKUP('Données projet'!$B$12,Paramètres!$A$1:$I$89,3,0)*VLOOKUP('Données projet'!$B$12,Paramètres!$A$1:$I$89,5,0)</f>
        <v>281.08548000000019</v>
      </c>
      <c r="CA62" s="14">
        <f t="shared" si="39"/>
        <v>67.196350326707176</v>
      </c>
      <c r="CB62" s="22">
        <f t="shared" si="10"/>
        <v>606.59085448568192</v>
      </c>
      <c r="CC62" s="62">
        <f t="shared" si="11"/>
        <v>873.3291811931723</v>
      </c>
      <c r="CD62" s="62">
        <f ca="1">AVERAGE(OFFSET($CC$3,0,0,'Données projet'!$E$12+1,1))-AVERAGE(OFFSET($H$3,0,0,'Données projet'!$E$12+1,1))</f>
        <v>447.25854887589878</v>
      </c>
      <c r="CE62" s="62">
        <f t="shared" si="40"/>
        <v>480.13390593590157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62.746816374770106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9.375</v>
      </c>
      <c r="CT62" s="13">
        <f>IF('Données projet'!$A$140&gt;35,CT61+CS62-DB61,IF(A62&lt;'Données projet'!$A$140,$CQ$205^A62,IF(A62='Données projet'!$A$140,'Données projet'!$B$140,CT61+CS62-DB61)))</f>
        <v>287.62499999999994</v>
      </c>
      <c r="CU62" s="18">
        <f>CT62*VLOOKUP('Données projet'!$B$13,Paramètres!$A$1:$I$89,3,0)*VLOOKUP('Données projet'!$B$13,Paramètres!$A$1:$I$89,5,0)</f>
        <v>224.34749999999997</v>
      </c>
      <c r="CV62" s="14">
        <f t="shared" si="41"/>
        <v>55.058714525680479</v>
      </c>
      <c r="CW62" s="22">
        <f t="shared" si="13"/>
        <v>486.63249029889352</v>
      </c>
      <c r="CX62" s="62">
        <f t="shared" si="14"/>
        <v>753.37081700638396</v>
      </c>
      <c r="CY62" s="62">
        <f ca="1">AVERAGE(OFFSET($CX$3,0,0,'Données projet'!$E$13+1,1))-AVERAGE(OFFSET($H$3,0,0,'Données projet'!$E$13+1,1))</f>
        <v>308.52515801950324</v>
      </c>
      <c r="CZ62" s="62">
        <f t="shared" si="42"/>
        <v>299.05420638408953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62.746816374770106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7.3</v>
      </c>
      <c r="DO62" s="13">
        <f>IF('Données projet'!$A$166&gt;35,DO61+DN62-DW61,IF(A62&lt;'Données projet'!$A$166,$DL$205^A62,IF(A62='Données projet'!$A$166,'Données projet'!$B$166,DO61+DN62-DW61)))</f>
        <v>353.30000000000018</v>
      </c>
      <c r="DP62" s="18">
        <f>DO62*VLOOKUP('Données projet'!$B$14,Paramètres!$A$1:$I$89,3,0)*VLOOKUP('Données projet'!$B$14,Paramètres!$A$1:$I$89,5,0)</f>
        <v>259.03956000000011</v>
      </c>
      <c r="DQ62" s="14">
        <f t="shared" si="43"/>
        <v>62.517606885378036</v>
      </c>
      <c r="DR62" s="22">
        <f t="shared" si="16"/>
        <v>560.0453989920336</v>
      </c>
      <c r="DS62" s="62">
        <f t="shared" si="17"/>
        <v>826.78372569952398</v>
      </c>
      <c r="DT62" s="62">
        <f ca="1">AVERAGE(OFFSET($DS$3,0,0,'Données projet'!$E$14+1,1))-AVERAGE(OFFSET($H$3,0,0,'Données projet'!$E$14+1,1))</f>
        <v>416.72317068678774</v>
      </c>
      <c r="DU62" s="62">
        <f t="shared" si="44"/>
        <v>447.32457429495537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62.746816374770106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5.5128205128205137</v>
      </c>
      <c r="EJ62" s="13">
        <f>IF('Données projet'!$A$192&gt;35,EJ61+EI62-ER61,IF(A62&lt;'Données projet'!$A$192,$EG$205^A62,IF(A62='Données projet'!$A$192,'Données projet'!$B$192,EJ61+EI62-ER61)))</f>
        <v>232.30769230769238</v>
      </c>
      <c r="EK62" s="18">
        <f>EJ62*VLOOKUP('Données projet'!$B$15,Paramètres!$A$1:$I$89,3,0)*VLOOKUP('Données projet'!$B$15,Paramètres!$A$1:$I$89,5,0)</f>
        <v>221.06400000000008</v>
      </c>
      <c r="EL62" s="14">
        <f t="shared" si="45"/>
        <v>54.346075887575317</v>
      </c>
      <c r="EM62" s="22">
        <f t="shared" si="19"/>
        <v>479.67254883752707</v>
      </c>
      <c r="EN62" s="62">
        <f t="shared" si="20"/>
        <v>746.41087554501746</v>
      </c>
      <c r="EO62" s="62">
        <f ca="1">AVERAGE(OFFSET($EN$3,0,0,'Données projet'!$E$15+1,1))-AVERAGE(OFFSET($H$3,0,0,'Données projet'!$E$15+1,1))</f>
        <v>454.78867027701426</v>
      </c>
      <c r="EP62" s="62">
        <f t="shared" si="46"/>
        <v>366.45346303927056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0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62.746816374770106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6.1538461538461551</v>
      </c>
      <c r="FE62" s="13">
        <f>IF('Données projet'!$A$218&gt;35,FE61+FD62-FM61,IF(A62&lt;'Données projet'!$A$218,$FB$205^A62,IF(A62='Données projet'!$A$218,'Données projet'!$B$218,FE61+FD62-FM61)))</f>
        <v>282.9487179487179</v>
      </c>
      <c r="FF62" s="18">
        <f>FE62*VLOOKUP('Données projet'!$B$16,Paramètres!$A$1:$I$89,3,0)*VLOOKUP('Données projet'!$B$16,Paramètres!$A$1:$I$89,5,0)</f>
        <v>189.80199999999996</v>
      </c>
      <c r="FG62" s="14">
        <f t="shared" si="47"/>
        <v>47.496175206468138</v>
      </c>
      <c r="FH62" s="22">
        <f t="shared" si="22"/>
        <v>413.29432181793192</v>
      </c>
      <c r="FI62" s="62">
        <f t="shared" si="23"/>
        <v>680.03264852542225</v>
      </c>
      <c r="FJ62" s="62">
        <f ca="1">AVERAGE(OFFSET($FI$3,0,0,'Données projet'!$E$16+1,1))-AVERAGE(OFFSET($H$3,0,0,'Données projet'!$E$16+1,1))</f>
        <v>390.05579539539576</v>
      </c>
      <c r="FK62" s="62">
        <f t="shared" si="48"/>
        <v>323.72278615226139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projet'!$B$16,Paramètres!$A$1:$I$89,3,0)*0.475*44/12</f>
        <v>0</v>
      </c>
      <c r="FR62" s="23">
        <f>EXP(-LN(2)/25)*FR61+(1-EXP(-LN(2)/25))/(LN(2)/25)*Calculateur!FM62*Calculateur!FO62*VLOOKUP('Données projet'!$B$16,Paramètres!$A$1:$I$89,3,0)*0.475*44/12</f>
        <v>0</v>
      </c>
      <c r="FS62" s="23">
        <f>EXP(-LN(2)/2)*FS61+(1-EXP(-LN(2)/2))/(LN(2)/2)*FM62*FP62*VLOOKUP('Données projet'!$B$16,Paramètres!$A$1:$I$89,3,0)*0.475*44/12</f>
        <v>0</v>
      </c>
      <c r="FT62" s="24">
        <f t="shared" si="24"/>
        <v>0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62.746816374770106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9.4</v>
      </c>
      <c r="FZ62" s="13">
        <f>IF('Données projet'!$A$244&gt;35,FZ61+FY62-GH61,IF(A62&lt;'Données projet'!$A$244,$FW$205^A62,IF(A62='Données projet'!$A$244,'Données projet'!$B$244,FZ61+FY62-GH61)))</f>
        <v>291.59999999999985</v>
      </c>
      <c r="GA62" s="18">
        <f>FZ62*VLOOKUP('Données projet'!$B$17,Paramètres!$A$1:$I$89,3,0)*VLOOKUP('Données projet'!$B$17,Paramètres!$A$1:$I$89,5,0)</f>
        <v>282.03551999999991</v>
      </c>
      <c r="GB62" s="14">
        <f t="shared" si="49"/>
        <v>67.396991260654303</v>
      </c>
      <c r="GC62" s="22">
        <f t="shared" si="25"/>
        <v>608.59495711230613</v>
      </c>
      <c r="GD62" s="62">
        <f t="shared" si="26"/>
        <v>875.33328381979652</v>
      </c>
      <c r="GE62" s="62">
        <f ca="1">AVERAGE(OFFSET($GD$3,0,0,'Données projet'!$E$17+1,1))-AVERAGE(OFFSET($H$3,0,0,'Données projet'!$E$17+1,1))</f>
        <v>578.44111602076555</v>
      </c>
      <c r="GF62" s="62">
        <f t="shared" si="50"/>
        <v>368.08542661432784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>
        <f>EXP(-LN(2)/35)*GL61+(1-EXP(-LN(2)/35))/(LN(2)/35)*GH62*GI62*VLOOKUP('Données projet'!$B$17,Paramètres!$A$1:$I$89,3,0)*0.475*44/12</f>
        <v>0</v>
      </c>
      <c r="GM62" s="23">
        <f>EXP(-LN(2)/25)*GM61+(1-EXP(-LN(2)/25))/(LN(2)/25)*Calculateur!GH62*Calculateur!GJ62*VLOOKUP('Données projet'!$B$17,Paramètres!$A$1:$I$89,3,0)*0.475*44/12</f>
        <v>0</v>
      </c>
      <c r="GN62" s="23">
        <f>EXP(-LN(2)/2)*GN61+(1-EXP(-LN(2)/2))/(LN(2)/2)*GH62*GK62*VLOOKUP('Données projet'!$B$17,Paramètres!$A$1:$I$89,3,0)*0.475*44/12</f>
        <v>0</v>
      </c>
      <c r="GO62" s="23">
        <f t="shared" si="27"/>
        <v>0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62.746816374770106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4.0735000000000001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14.936166666666667</v>
      </c>
      <c r="H63" s="70">
        <f t="shared" si="1"/>
        <v>196.922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62.872642894978554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301</v>
      </c>
      <c r="L63" s="13">
        <f>VLOOKUP(A63,'Données projet'!$A$35:$I$55,9,0)</f>
        <v>9.4</v>
      </c>
      <c r="M63" s="13">
        <f t="array" ref="M63">INDEX(L:L,MIN(IF(ISNUMBER(L63:L259),ROW(L63:L259),"")))</f>
        <v>9.4</v>
      </c>
      <c r="N63" s="14">
        <f>IF('Données projet'!$A$36&gt;35,N62+M63-V62,IF(A63&lt;'Données projet'!$A$36,$K$205^A63,IF(A63='Données projet'!$A$36,'Données projet'!$B$36,N62+M63-V62)))</f>
        <v>300.99999999999983</v>
      </c>
      <c r="O63" s="14">
        <f>N63*VLOOKUP('Données projet'!$B$9,Paramètres!$A$1:$I$89,3,0)*VLOOKUP('Données projet'!$B$9,Paramètres!$A$1:$I$89,5,0)</f>
        <v>272.34479999999985</v>
      </c>
      <c r="P63" s="14">
        <f t="shared" si="33"/>
        <v>65.346644318451652</v>
      </c>
      <c r="Q63" s="22">
        <f t="shared" si="53"/>
        <v>588.14593218796961</v>
      </c>
      <c r="R63" s="62">
        <f t="shared" si="0"/>
        <v>855.34562280289106</v>
      </c>
      <c r="S63" s="62">
        <f ca="1">AVERAGE(OFFSET($R$3,0,0,'Données projet'!$E$9+1,1))-AVERAGE(OFFSET($H$3,0,0,'Données projet'!$E$9+1,1))</f>
        <v>546.11281471711925</v>
      </c>
      <c r="T63" s="62">
        <f t="shared" si="34"/>
        <v>348.18069831447099</v>
      </c>
      <c r="U63" s="16">
        <f>IF(ISNA(VLOOKUP(A63,'Données projet'!$A$35:$I$55,3,0)),0,VLOOKUP(A63,'Données projet'!$A$35:$I$55,3,0))</f>
        <v>5</v>
      </c>
      <c r="V63" s="16">
        <f>IF(ISNA(VLOOKUP(A63,'Données projet'!$A$35:$I$55,4,0)),0,VLOOKUP(A63,'Données projet'!$A$35:$I$55,4,0))</f>
        <v>56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62.872642894978554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336</v>
      </c>
      <c r="AG63" s="13">
        <f>VLOOKUP(A63,'Données projet'!$A$61:$I$81,9,0)</f>
        <v>13</v>
      </c>
      <c r="AH63" s="13">
        <f t="array" ref="AH63">INDEX(AG:AG,MIN(IF(ISNUMBER(AG63:AG259),ROW(AG63:AG259),"")))</f>
        <v>13</v>
      </c>
      <c r="AI63" s="14">
        <f>IF('Données projet'!$A$62&gt;35,AI62+AH63-AQ62,IF(A63&lt;'Données projet'!$A$62,$AF$205^A63,IF(A63='Données projet'!$A$62,'Données projet'!$B$62,AI62+AH63-AQ62)))</f>
        <v>336.00000000000006</v>
      </c>
      <c r="AJ63" s="14">
        <f>AI63*VLOOKUP('Données projet'!$B$10,Paramètres!$A$1:$I$89,3,0)*VLOOKUP('Données projet'!$B$10,Paramètres!$A$1:$I$89,5,0)</f>
        <v>288.28800000000007</v>
      </c>
      <c r="AK63" s="14">
        <f t="shared" si="35"/>
        <v>68.715516926722444</v>
      </c>
      <c r="AL63" s="22">
        <f t="shared" si="4"/>
        <v>621.78112531404167</v>
      </c>
      <c r="AM63" s="62">
        <f t="shared" si="5"/>
        <v>888.98081592896301</v>
      </c>
      <c r="AN63" s="62">
        <f ca="1">AVERAGE(OFFSET($AM$3,0,0,'Données projet'!$E$10+1,1))-AVERAGE(OFFSET($H$3,0,0,'Données projet'!$E$10+1,1))</f>
        <v>693.87994318348024</v>
      </c>
      <c r="AO63" s="62">
        <f t="shared" si="36"/>
        <v>327.71043739333641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62.872642894978554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301</v>
      </c>
      <c r="BB63" s="13">
        <f>VLOOKUP(A63,'Données projet'!$A$87:$I$107,9,0)</f>
        <v>9.4</v>
      </c>
      <c r="BC63" s="13">
        <f t="array" ref="BC63">INDEX(BB:BB,MIN(IF(ISNUMBER(BB63:BB259),ROW(BB63:BB259),"")))</f>
        <v>9.4</v>
      </c>
      <c r="BD63" s="13">
        <f>IF('Données projet'!$A$88&gt;35,BD62+BC63-BL62,IF(A63&lt;'Données projet'!$A$88,$BA$205^A63,IF(A63='Données projet'!$A$88,'Données projet'!$B$88,BD62+BC63-BL62)))</f>
        <v>300.99999999999983</v>
      </c>
      <c r="BE63" s="14">
        <f>BD63*VLOOKUP('Données projet'!$B$11,Paramètres!$A$1:$I$89,3,0)*VLOOKUP('Données projet'!$B$11,Paramètres!$A$1:$I$89,5,0)</f>
        <v>253.56239999999985</v>
      </c>
      <c r="BF63" s="14">
        <f t="shared" si="37"/>
        <v>61.348145886656177</v>
      </c>
      <c r="BG63" s="22">
        <f t="shared" si="7"/>
        <v>548.46920075259266</v>
      </c>
      <c r="BH63" s="62">
        <f t="shared" si="8"/>
        <v>815.66889136751411</v>
      </c>
      <c r="BI63" s="62">
        <f ca="1">AVERAGE(OFFSET($BH$3,0,0,'Données projet'!$E$11+1,1))-AVERAGE(OFFSET($H$3,0,0,'Données projet'!$E$11+1,1))</f>
        <v>513.7388209355762</v>
      </c>
      <c r="BJ63" s="62">
        <f t="shared" si="38"/>
        <v>328.24603121433927</v>
      </c>
      <c r="BK63" s="16">
        <f>IF(ISNA(VLOOKUP(A63,'Données projet'!$A$87:$I$107,3,0)),0,VLOOKUP(A63,'Données projet'!$A$87:$I$107,3,0))</f>
        <v>5</v>
      </c>
      <c r="BL63" s="16">
        <f>IF(ISNA(VLOOKUP(A63,'Données projet'!$A$87:$I$107,4,0)),0,VLOOKUP(A63,'Données projet'!$A$87:$I$107,4,0))</f>
        <v>56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62.872642894978554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360.59999999999997</v>
      </c>
      <c r="BW63" s="13">
        <f>VLOOKUP(A63,'Données projet'!$A$113:$I$133,9,0)</f>
        <v>7.3</v>
      </c>
      <c r="BX63" s="13">
        <f t="array" ref="BX63">INDEX(BW:BW,MIN(IF(ISNUMBER(BW63:BW259),ROW(BW63:BW259),"")))</f>
        <v>7.3</v>
      </c>
      <c r="BY63" s="13">
        <f>IF('Données projet'!$A$114&gt;35,BY62+BX63-CG62,IF(A63&lt;'Données projet'!$A$114,$BV$205^A63,IF(A63='Données projet'!$A$114,'Données projet'!$B$114,BY62+BX63-CG62)))</f>
        <v>360.60000000000019</v>
      </c>
      <c r="BZ63" s="14">
        <f>BY63*VLOOKUP('Données projet'!$B$12,Paramètres!$A$1:$I$89,3,0)*VLOOKUP('Données projet'!$B$12,Paramètres!$A$1:$I$89,5,0)</f>
        <v>286.89336000000014</v>
      </c>
      <c r="CA63" s="14">
        <f t="shared" si="39"/>
        <v>68.421705584684858</v>
      </c>
      <c r="CB63" s="22">
        <f t="shared" si="10"/>
        <v>618.84040589332631</v>
      </c>
      <c r="CC63" s="62">
        <f t="shared" si="11"/>
        <v>886.04009650824764</v>
      </c>
      <c r="CD63" s="62">
        <f ca="1">AVERAGE(OFFSET($CC$3,0,0,'Données projet'!$E$12+1,1))-AVERAGE(OFFSET($H$3,0,0,'Données projet'!$E$12+1,1))</f>
        <v>447.25854887589878</v>
      </c>
      <c r="CE63" s="62">
        <f t="shared" si="40"/>
        <v>480.13390593590157</v>
      </c>
      <c r="CF63" s="16">
        <f>IF(ISNA(VLOOKUP(A63,'Données projet'!$A$113:$I$133,3,0)),0,VLOOKUP(A63,'Données projet'!$A$113:$I$133,3,0))</f>
        <v>5</v>
      </c>
      <c r="CG63" s="16">
        <f>IF(ISNA(VLOOKUP(A63,'Données projet'!$A$113:$I$133,4,0)),0,VLOOKUP(A63,'Données projet'!$A$113:$I$133,4,0))</f>
        <v>35.099999999999994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62.872642894978554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297</v>
      </c>
      <c r="CR63" s="13">
        <f>VLOOKUP(A63,'Données projet'!$A$139:$I$159,9,0)</f>
        <v>9.375</v>
      </c>
      <c r="CS63" s="13">
        <f t="array" ref="CS63">INDEX(CR:CR,MIN(IF(ISNUMBER(CR63:CR259),ROW(CR63:CR259),"")))</f>
        <v>9.375</v>
      </c>
      <c r="CT63" s="13">
        <f>IF('Données projet'!$A$140&gt;35,CT62+CS63-DB62,IF(A63&lt;'Données projet'!$A$140,$CQ$205^A63,IF(A63='Données projet'!$A$140,'Données projet'!$B$140,CT62+CS63-DB62)))</f>
        <v>296.99999999999994</v>
      </c>
      <c r="CU63" s="18">
        <f>CT63*VLOOKUP('Données projet'!$B$13,Paramètres!$A$1:$I$89,3,0)*VLOOKUP('Données projet'!$B$13,Paramètres!$A$1:$I$89,5,0)</f>
        <v>231.65999999999997</v>
      </c>
      <c r="CV63" s="14">
        <f t="shared" si="41"/>
        <v>56.641461975682766</v>
      </c>
      <c r="CW63" s="22">
        <f t="shared" si="13"/>
        <v>502.12504627431412</v>
      </c>
      <c r="CX63" s="62">
        <f t="shared" si="14"/>
        <v>769.32473688923551</v>
      </c>
      <c r="CY63" s="62">
        <f ca="1">AVERAGE(OFFSET($CX$3,0,0,'Données projet'!$E$13+1,1))-AVERAGE(OFFSET($H$3,0,0,'Données projet'!$E$13+1,1))</f>
        <v>308.52515801950324</v>
      </c>
      <c r="CZ63" s="62">
        <f t="shared" si="42"/>
        <v>299.05420638408953</v>
      </c>
      <c r="DA63" s="16">
        <f>IF(ISNA(VLOOKUP(A63,'Données projet'!$A$139:$I$159,3,0)),0,VLOOKUP(A63,'Données projet'!$A$139:$I$159,3,0))</f>
        <v>7</v>
      </c>
      <c r="DB63" s="16">
        <f>IF(ISNA(VLOOKUP(A63,'Données projet'!$A$139:$I$159,4,0)),0,VLOOKUP(A63,'Données projet'!$A$139:$I$159,4,0))</f>
        <v>47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62.872642894978554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360.59999999999997</v>
      </c>
      <c r="DM63" s="13">
        <f>VLOOKUP(A63,'Données projet'!$A$165:$I$185,9,0)</f>
        <v>7.3</v>
      </c>
      <c r="DN63" s="13">
        <f t="array" ref="DN63">INDEX(DM:DM,MIN(IF(ISNUMBER(DM63:DM259),ROW(DM63:DM259),"")))</f>
        <v>7.3</v>
      </c>
      <c r="DO63" s="13">
        <f>IF('Données projet'!$A$166&gt;35,DO62+DN63-DW62,IF(A63&lt;'Données projet'!$A$166,$DL$205^A63,IF(A63='Données projet'!$A$166,'Données projet'!$B$166,DO62+DN63-DW62)))</f>
        <v>360.60000000000019</v>
      </c>
      <c r="DP63" s="18">
        <f>DO63*VLOOKUP('Données projet'!$B$14,Paramètres!$A$1:$I$89,3,0)*VLOOKUP('Données projet'!$B$14,Paramètres!$A$1:$I$89,5,0)</f>
        <v>264.39192000000014</v>
      </c>
      <c r="DQ63" s="14">
        <f t="shared" si="43"/>
        <v>63.657643181110203</v>
      </c>
      <c r="DR63" s="22">
        <f t="shared" si="16"/>
        <v>571.35298920710045</v>
      </c>
      <c r="DS63" s="62">
        <f t="shared" si="17"/>
        <v>838.5526798220219</v>
      </c>
      <c r="DT63" s="62">
        <f ca="1">AVERAGE(OFFSET($DS$3,0,0,'Données projet'!$E$14+1,1))-AVERAGE(OFFSET($H$3,0,0,'Données projet'!$E$14+1,1))</f>
        <v>416.72317068678774</v>
      </c>
      <c r="DU63" s="62">
        <f t="shared" si="44"/>
        <v>447.32457429495537</v>
      </c>
      <c r="DV63" s="16">
        <f>IF(ISNA(VLOOKUP(A63,'Données projet'!$A$165:$I$185,3,0)),0,VLOOKUP(A63,'Données projet'!$A$165:$I$185,3,0))</f>
        <v>5</v>
      </c>
      <c r="DW63" s="16">
        <f>IF(ISNA(VLOOKUP(A63,'Données projet'!$A$165:$I$185,4,0)),0,VLOOKUP(A63,'Données projet'!$A$165:$I$185,4,0))</f>
        <v>35.099999999999994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62.872642894978554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237.82051282051282</v>
      </c>
      <c r="EH63" s="13">
        <f>VLOOKUP(A63,'Données projet'!$A$191:$I$211,9,0)</f>
        <v>5.5128205128205137</v>
      </c>
      <c r="EI63" s="13">
        <f t="array" ref="EI63">INDEX(EH:EH,MIN(IF(ISNUMBER(EH63:EH259),ROW(EH63:EH259),"")))</f>
        <v>5.5128205128205137</v>
      </c>
      <c r="EJ63" s="13">
        <f>IF('Données projet'!$A$192&gt;35,EJ62+EI63-ER62,IF(A63&lt;'Données projet'!$A$192,$EG$205^A63,IF(A63='Données projet'!$A$192,'Données projet'!$B$192,EJ62+EI63-ER62)))</f>
        <v>237.8205128205129</v>
      </c>
      <c r="EK63" s="18">
        <f>EJ63*VLOOKUP('Données projet'!$B$15,Paramètres!$A$1:$I$89,3,0)*VLOOKUP('Données projet'!$B$15,Paramètres!$A$1:$I$89,5,0)</f>
        <v>226.31000000000009</v>
      </c>
      <c r="EL63" s="14">
        <f t="shared" si="45"/>
        <v>55.484067782810527</v>
      </c>
      <c r="EM63" s="22">
        <f t="shared" si="19"/>
        <v>490.79133472172845</v>
      </c>
      <c r="EN63" s="62">
        <f t="shared" si="20"/>
        <v>757.99102533664984</v>
      </c>
      <c r="EO63" s="62">
        <f ca="1">AVERAGE(OFFSET($EN$3,0,0,'Données projet'!$E$15+1,1))-AVERAGE(OFFSET($H$3,0,0,'Données projet'!$E$15+1,1))</f>
        <v>454.78867027701426</v>
      </c>
      <c r="EP63" s="62">
        <f t="shared" si="46"/>
        <v>366.45346303927056</v>
      </c>
      <c r="EQ63" s="16">
        <f>IF(ISNA(VLOOKUP(A63,'Données projet'!$A$191:$I$211,3,0)),0,VLOOKUP(A63,'Données projet'!$A$191:$I$211,3,0))</f>
        <v>5</v>
      </c>
      <c r="ER63" s="16">
        <f>IF(ISNA(VLOOKUP(A63,'Données projet'!$A$191:$I$211,4,0)),0,VLOOKUP(A63,'Données projet'!$A$191:$I$211,4,0))</f>
        <v>35.256410256410255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0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62.872642894978554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>
        <f>VLOOKUP(A63,'Données projet'!$A$217:$I$237,2,0)</f>
        <v>289.10256410256409</v>
      </c>
      <c r="FC63" s="13">
        <f>VLOOKUP(A63,'Données projet'!$A$217:$I$237,9,0)</f>
        <v>6.1538461538461551</v>
      </c>
      <c r="FD63" s="13">
        <f t="array" ref="FD63">INDEX(FC:FC,MIN(IF(ISNUMBER(FC63:FC259),ROW(FC63:FC259),"")))</f>
        <v>6.1538461538461551</v>
      </c>
      <c r="FE63" s="13">
        <f>IF('Données projet'!$A$218&gt;35,FE62+FD63-FM62,IF(A63&lt;'Données projet'!$A$218,$FB$205^A63,IF(A63='Données projet'!$A$218,'Données projet'!$B$218,FE62+FD63-FM62)))</f>
        <v>289.10256410256403</v>
      </c>
      <c r="FF63" s="18">
        <f>FE63*VLOOKUP('Données projet'!$B$16,Paramètres!$A$1:$I$89,3,0)*VLOOKUP('Données projet'!$B$16,Paramètres!$A$1:$I$89,5,0)</f>
        <v>193.92999999999995</v>
      </c>
      <c r="FG63" s="14">
        <f t="shared" si="47"/>
        <v>48.407782055683938</v>
      </c>
      <c r="FH63" s="22">
        <f t="shared" si="22"/>
        <v>422.07163708031607</v>
      </c>
      <c r="FI63" s="62">
        <f t="shared" si="23"/>
        <v>689.27132769523746</v>
      </c>
      <c r="FJ63" s="62">
        <f ca="1">AVERAGE(OFFSET($FI$3,0,0,'Données projet'!$E$16+1,1))-AVERAGE(OFFSET($H$3,0,0,'Données projet'!$E$16+1,1))</f>
        <v>390.05579539539576</v>
      </c>
      <c r="FK63" s="62">
        <f t="shared" si="48"/>
        <v>323.72278615226139</v>
      </c>
      <c r="FL63" s="16">
        <f>IF(ISNA(VLOOKUP(A63,'Données projet'!$A$217:$I$237,3,0)),0,VLOOKUP(A63,'Données projet'!$A$217:$I$237,3,0))</f>
        <v>5</v>
      </c>
      <c r="FM63" s="16">
        <f>IF(ISNA(VLOOKUP(A63,'Données projet'!$A$217:$I$237,4,0)),0,VLOOKUP(A63,'Données projet'!$A$217:$I$237,4,0))</f>
        <v>35.256410256410255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projet'!$B$16,Paramètres!$A$1:$I$89,3,0)*0.475*44/12</f>
        <v>0</v>
      </c>
      <c r="FR63" s="23">
        <f>EXP(-LN(2)/25)*FR62+(1-EXP(-LN(2)/25))/(LN(2)/25)*Calculateur!FM63*Calculateur!FO63*VLOOKUP('Données projet'!$B$16,Paramètres!$A$1:$I$89,3,0)*0.475*44/12</f>
        <v>0</v>
      </c>
      <c r="FS63" s="23">
        <f>EXP(-LN(2)/2)*FS62+(1-EXP(-LN(2)/2))/(LN(2)/2)*FM63*FP63*VLOOKUP('Données projet'!$B$16,Paramètres!$A$1:$I$89,3,0)*0.475*44/12</f>
        <v>0</v>
      </c>
      <c r="FT63" s="24">
        <f t="shared" si="24"/>
        <v>0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62.872642894978554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>
        <f>VLOOKUP(A63,'Données projet'!$A$243:$I$263,2,0)</f>
        <v>301</v>
      </c>
      <c r="FX63" s="13">
        <f>VLOOKUP(A63,'Données projet'!$A$243:$I$263,9,0)</f>
        <v>9.4</v>
      </c>
      <c r="FY63" s="13">
        <f t="array" ref="FY63">INDEX(FX:FX,MIN(IF(ISNUMBER(FX63:FX259),ROW(FX63:FX259),"")))</f>
        <v>9.4</v>
      </c>
      <c r="FZ63" s="13">
        <f>IF('Données projet'!$A$244&gt;35,FZ62+FY63-GH62,IF(A63&lt;'Données projet'!$A$244,$FW$205^A63,IF(A63='Données projet'!$A$244,'Données projet'!$B$244,FZ62+FY63-GH62)))</f>
        <v>300.99999999999983</v>
      </c>
      <c r="GA63" s="18">
        <f>FZ63*VLOOKUP('Données projet'!$B$17,Paramètres!$A$1:$I$89,3,0)*VLOOKUP('Données projet'!$B$17,Paramètres!$A$1:$I$89,5,0)</f>
        <v>291.12719999999985</v>
      </c>
      <c r="GB63" s="14">
        <f t="shared" si="49"/>
        <v>69.313146187847352</v>
      </c>
      <c r="GC63" s="22">
        <f t="shared" si="25"/>
        <v>627.76693627716713</v>
      </c>
      <c r="GD63" s="62">
        <f t="shared" si="26"/>
        <v>894.96662689208847</v>
      </c>
      <c r="GE63" s="62">
        <f ca="1">AVERAGE(OFFSET($GD$3,0,0,'Données projet'!$E$17+1,1))-AVERAGE(OFFSET($H$3,0,0,'Données projet'!$E$17+1,1))</f>
        <v>578.44111602076555</v>
      </c>
      <c r="GF63" s="62">
        <f t="shared" si="50"/>
        <v>368.08542661432784</v>
      </c>
      <c r="GG63" s="16">
        <f>IF(ISNA(VLOOKUP(A63,'Données projet'!$A$243:$I$263,3,0)),0,VLOOKUP(A63,'Données projet'!$A$243:$I$263,3,0))</f>
        <v>5</v>
      </c>
      <c r="GH63" s="16">
        <f>IF(ISNA(VLOOKUP(A63,'Données projet'!$A$243:$I$263,4,0)),0,VLOOKUP(A63,'Données projet'!$A$243:$I$263,4,0))</f>
        <v>56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>
        <f>EXP(-LN(2)/35)*GL62+(1-EXP(-LN(2)/35))/(LN(2)/35)*GH63*GI63*VLOOKUP('Données projet'!$B$17,Paramètres!$A$1:$I$89,3,0)*0.475*44/12</f>
        <v>0</v>
      </c>
      <c r="GM63" s="23">
        <f>EXP(-LN(2)/25)*GM62+(1-EXP(-LN(2)/25))/(LN(2)/25)*Calculateur!GH63*Calculateur!GJ63*VLOOKUP('Données projet'!$B$17,Paramètres!$A$1:$I$89,3,0)*0.475*44/12</f>
        <v>0</v>
      </c>
      <c r="GN63" s="23">
        <f>EXP(-LN(2)/2)*GN62+(1-EXP(-LN(2)/2))/(LN(2)/2)*GH63*GK63*VLOOKUP('Données projet'!$B$17,Paramètres!$A$1:$I$89,3,0)*0.475*44/12</f>
        <v>0</v>
      </c>
      <c r="GO63" s="23">
        <f t="shared" si="27"/>
        <v>0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62.872642894978554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4.0735000000000001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14.936166666666667</v>
      </c>
      <c r="H64" s="70">
        <f t="shared" si="1"/>
        <v>196.922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62.99628660636732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8.8000000000000007</v>
      </c>
      <c r="N64" s="14">
        <f>IF('Données projet'!$A$36&gt;35,N63+M64-V63,IF(A64&lt;'Données projet'!$A$36,$K$205^A64,IF(A64='Données projet'!$A$36,'Données projet'!$B$36,N63+M64-V63)))</f>
        <v>253.79999999999984</v>
      </c>
      <c r="O64" s="14">
        <f>N64*VLOOKUP('Données projet'!$B$9,Paramètres!$A$1:$I$89,3,0)*VLOOKUP('Données projet'!$B$9,Paramètres!$A$1:$I$89,5,0)</f>
        <v>229.63823999999985</v>
      </c>
      <c r="P64" s="14">
        <f t="shared" si="33"/>
        <v>56.204453396569633</v>
      </c>
      <c r="Q64" s="22">
        <f t="shared" si="53"/>
        <v>497.84269099902514</v>
      </c>
      <c r="R64" s="62">
        <f t="shared" si="0"/>
        <v>765.49574188903864</v>
      </c>
      <c r="S64" s="62">
        <f ca="1">AVERAGE(OFFSET($R$3,0,0,'Données projet'!$E$9+1,1))-AVERAGE(OFFSET($H$3,0,0,'Données projet'!$E$9+1,1))</f>
        <v>546.11281471711925</v>
      </c>
      <c r="T64" s="62">
        <f t="shared" si="34"/>
        <v>348.18069831447099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62.99628660636732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12.4</v>
      </c>
      <c r="AI64" s="14">
        <f>IF('Données projet'!$A$62&gt;35,AI63+AH64-AQ63,IF(A64&lt;'Données projet'!$A$62,$AF$205^A64,IF(A64='Données projet'!$A$62,'Données projet'!$B$62,AI63+AH64-AQ63)))</f>
        <v>348.40000000000003</v>
      </c>
      <c r="AJ64" s="14">
        <f>AI64*VLOOKUP('Données projet'!$B$10,Paramètres!$A$1:$I$89,3,0)*VLOOKUP('Données projet'!$B$10,Paramètres!$A$1:$I$89,5,0)</f>
        <v>298.92720000000008</v>
      </c>
      <c r="AK64" s="14">
        <f t="shared" si="35"/>
        <v>70.951516519653637</v>
      </c>
      <c r="AL64" s="22">
        <f t="shared" si="4"/>
        <v>644.20543127173016</v>
      </c>
      <c r="AM64" s="62">
        <f t="shared" si="5"/>
        <v>911.85848216174372</v>
      </c>
      <c r="AN64" s="62">
        <f ca="1">AVERAGE(OFFSET($AM$3,0,0,'Données projet'!$E$10+1,1))-AVERAGE(OFFSET($H$3,0,0,'Données projet'!$E$10+1,1))</f>
        <v>693.87994318348024</v>
      </c>
      <c r="AO64" s="62">
        <f t="shared" si="36"/>
        <v>327.71043739333641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62.99628660636732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8.8000000000000007</v>
      </c>
      <c r="BD64" s="13">
        <f>IF('Données projet'!$A$88&gt;35,BD63+BC64-BL63,IF(A64&lt;'Données projet'!$A$88,$BA$205^A64,IF(A64='Données projet'!$A$88,'Données projet'!$B$88,BD63+BC64-BL63)))</f>
        <v>253.79999999999984</v>
      </c>
      <c r="BE64" s="14">
        <f>BD64*VLOOKUP('Données projet'!$B$11,Paramètres!$A$1:$I$89,3,0)*VLOOKUP('Données projet'!$B$11,Paramètres!$A$1:$I$89,5,0)</f>
        <v>213.80111999999991</v>
      </c>
      <c r="BF64" s="14">
        <f t="shared" si="37"/>
        <v>52.765356850602878</v>
      </c>
      <c r="BG64" s="22">
        <f t="shared" si="7"/>
        <v>464.26994718146648</v>
      </c>
      <c r="BH64" s="62">
        <f t="shared" si="8"/>
        <v>731.92299807147992</v>
      </c>
      <c r="BI64" s="62">
        <f ca="1">AVERAGE(OFFSET($BH$3,0,0,'Données projet'!$E$11+1,1))-AVERAGE(OFFSET($H$3,0,0,'Données projet'!$E$11+1,1))</f>
        <v>513.7388209355762</v>
      </c>
      <c r="BJ64" s="62">
        <f t="shared" si="38"/>
        <v>328.24603121433927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62.99628660636732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6.1</v>
      </c>
      <c r="BY64" s="13">
        <f>IF('Données projet'!$A$114&gt;35,BY63+BX64-CG63,IF(A64&lt;'Données projet'!$A$114,$BV$205^A64,IF(A64='Données projet'!$A$114,'Données projet'!$B$114,BY63+BX64-CG63)))</f>
        <v>331.60000000000025</v>
      </c>
      <c r="BZ64" s="14">
        <f>BY64*VLOOKUP('Données projet'!$B$12,Paramètres!$A$1:$I$89,3,0)*VLOOKUP('Données projet'!$B$12,Paramètres!$A$1:$I$89,5,0)</f>
        <v>263.82096000000018</v>
      </c>
      <c r="CA64" s="14">
        <f t="shared" si="39"/>
        <v>63.53615937437236</v>
      </c>
      <c r="CB64" s="22">
        <f t="shared" si="10"/>
        <v>570.14698291036541</v>
      </c>
      <c r="CC64" s="62">
        <f t="shared" si="11"/>
        <v>837.80003380037897</v>
      </c>
      <c r="CD64" s="62">
        <f ca="1">AVERAGE(OFFSET($CC$3,0,0,'Données projet'!$E$12+1,1))-AVERAGE(OFFSET($H$3,0,0,'Données projet'!$E$12+1,1))</f>
        <v>447.25854887589878</v>
      </c>
      <c r="CE64" s="62">
        <f t="shared" si="40"/>
        <v>480.13390593590157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62.99628660636732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8.6666666666666661</v>
      </c>
      <c r="CT64" s="13">
        <f>IF('Données projet'!$A$140&gt;35,CT63+CS64-DB63,IF(A64&lt;'Données projet'!$A$140,$CQ$205^A64,IF(A64='Données projet'!$A$140,'Données projet'!$B$140,CT63+CS64-DB63)))</f>
        <v>258.66666666666663</v>
      </c>
      <c r="CU64" s="18">
        <f>CT64*VLOOKUP('Données projet'!$B$13,Paramètres!$A$1:$I$89,3,0)*VLOOKUP('Données projet'!$B$13,Paramètres!$A$1:$I$89,5,0)</f>
        <v>201.76</v>
      </c>
      <c r="CV64" s="14">
        <f t="shared" si="41"/>
        <v>50.130765000424212</v>
      </c>
      <c r="CW64" s="22">
        <f t="shared" si="13"/>
        <v>438.70974904240546</v>
      </c>
      <c r="CX64" s="62">
        <f t="shared" si="14"/>
        <v>706.36279993241897</v>
      </c>
      <c r="CY64" s="62">
        <f ca="1">AVERAGE(OFFSET($CX$3,0,0,'Données projet'!$E$13+1,1))-AVERAGE(OFFSET($H$3,0,0,'Données projet'!$E$13+1,1))</f>
        <v>308.52515801950324</v>
      </c>
      <c r="CZ64" s="62">
        <f t="shared" si="42"/>
        <v>299.05420638408953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62.99628660636732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6.1</v>
      </c>
      <c r="DO64" s="13">
        <f>IF('Données projet'!$A$166&gt;35,DO63+DN64-DW63,IF(A64&lt;'Données projet'!$A$166,$DL$205^A64,IF(A64='Données projet'!$A$166,'Données projet'!$B$166,DO63+DN64-DW63)))</f>
        <v>331.60000000000025</v>
      </c>
      <c r="DP64" s="18">
        <f>DO64*VLOOKUP('Données projet'!$B$14,Paramètres!$A$1:$I$89,3,0)*VLOOKUP('Données projet'!$B$14,Paramètres!$A$1:$I$89,5,0)</f>
        <v>243.1291200000002</v>
      </c>
      <c r="DQ64" s="14">
        <f t="shared" si="43"/>
        <v>59.112267488655796</v>
      </c>
      <c r="DR64" s="22">
        <f t="shared" si="16"/>
        <v>526.40374987607595</v>
      </c>
      <c r="DS64" s="62">
        <f t="shared" si="17"/>
        <v>794.05680076608951</v>
      </c>
      <c r="DT64" s="62">
        <f ca="1">AVERAGE(OFFSET($DS$3,0,0,'Données projet'!$E$14+1,1))-AVERAGE(OFFSET($H$3,0,0,'Données projet'!$E$14+1,1))</f>
        <v>416.72317068678774</v>
      </c>
      <c r="DU64" s="62">
        <f t="shared" si="44"/>
        <v>447.32457429495537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62.99628660636732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5.2564102564102537</v>
      </c>
      <c r="EJ64" s="13">
        <f>IF('Données projet'!$A$192&gt;35,EJ63+EI64-ER63,IF(A64&lt;'Données projet'!$A$192,$EG$205^A64,IF(A64='Données projet'!$A$192,'Données projet'!$B$192,EJ63+EI64-ER63)))</f>
        <v>207.8205128205129</v>
      </c>
      <c r="EK64" s="18">
        <f>EJ64*VLOOKUP('Données projet'!$B$15,Paramètres!$A$1:$I$89,3,0)*VLOOKUP('Données projet'!$B$15,Paramètres!$A$1:$I$89,5,0)</f>
        <v>197.76200000000009</v>
      </c>
      <c r="EL64" s="14">
        <f t="shared" si="45"/>
        <v>49.252001403322879</v>
      </c>
      <c r="EM64" s="22">
        <f t="shared" si="19"/>
        <v>430.21605244412081</v>
      </c>
      <c r="EN64" s="62">
        <f t="shared" si="20"/>
        <v>697.86910333413425</v>
      </c>
      <c r="EO64" s="62">
        <f ca="1">AVERAGE(OFFSET($EN$3,0,0,'Données projet'!$E$15+1,1))-AVERAGE(OFFSET($H$3,0,0,'Données projet'!$E$15+1,1))</f>
        <v>454.78867027701426</v>
      </c>
      <c r="EP64" s="62">
        <f t="shared" si="46"/>
        <v>366.45346303927056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0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62.99628660636732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5.7692307692307683</v>
      </c>
      <c r="FE64" s="13">
        <f>IF('Données projet'!$A$218&gt;35,FE63+FD64-FM63,IF(A64&lt;'Données projet'!$A$218,$FB$205^A64,IF(A64='Données projet'!$A$218,'Données projet'!$B$218,FE63+FD64-FM63)))</f>
        <v>259.61538461538453</v>
      </c>
      <c r="FF64" s="18">
        <f>FE64*VLOOKUP('Données projet'!$B$16,Paramètres!$A$1:$I$89,3,0)*VLOOKUP('Données projet'!$B$16,Paramètres!$A$1:$I$89,5,0)</f>
        <v>174.14999999999995</v>
      </c>
      <c r="FG64" s="14">
        <f t="shared" si="47"/>
        <v>44.018176829931868</v>
      </c>
      <c r="FH64" s="22">
        <f t="shared" si="22"/>
        <v>379.97624131213121</v>
      </c>
      <c r="FI64" s="62">
        <f t="shared" si="23"/>
        <v>647.62929220214471</v>
      </c>
      <c r="FJ64" s="62">
        <f ca="1">AVERAGE(OFFSET($FI$3,0,0,'Données projet'!$E$16+1,1))-AVERAGE(OFFSET($H$3,0,0,'Données projet'!$E$16+1,1))</f>
        <v>390.05579539539576</v>
      </c>
      <c r="FK64" s="62">
        <f t="shared" si="48"/>
        <v>323.72278615226139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projet'!$B$16,Paramètres!$A$1:$I$89,3,0)*0.475*44/12</f>
        <v>0</v>
      </c>
      <c r="FR64" s="23">
        <f>EXP(-LN(2)/25)*FR63+(1-EXP(-LN(2)/25))/(LN(2)/25)*Calculateur!FM64*Calculateur!FO64*VLOOKUP('Données projet'!$B$16,Paramètres!$A$1:$I$89,3,0)*0.475*44/12</f>
        <v>0</v>
      </c>
      <c r="FS64" s="23">
        <f>EXP(-LN(2)/2)*FS63+(1-EXP(-LN(2)/2))/(LN(2)/2)*FM64*FP64*VLOOKUP('Données projet'!$B$16,Paramètres!$A$1:$I$89,3,0)*0.475*44/12</f>
        <v>0</v>
      </c>
      <c r="FT64" s="24">
        <f t="shared" si="24"/>
        <v>0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62.99628660636732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8.8000000000000007</v>
      </c>
      <c r="FZ64" s="13">
        <f>IF('Données projet'!$A$244&gt;35,FZ63+FY64-GH63,IF(A64&lt;'Données projet'!$A$244,$FW$205^A64,IF(A64='Données projet'!$A$244,'Données projet'!$B$244,FZ63+FY64-GH63)))</f>
        <v>253.79999999999984</v>
      </c>
      <c r="GA64" s="18">
        <f>FZ64*VLOOKUP('Données projet'!$B$17,Paramètres!$A$1:$I$89,3,0)*VLOOKUP('Données projet'!$B$17,Paramètres!$A$1:$I$89,5,0)</f>
        <v>245.47535999999985</v>
      </c>
      <c r="GB64" s="14">
        <f t="shared" si="49"/>
        <v>59.616029794883701</v>
      </c>
      <c r="GC64" s="22">
        <f t="shared" si="25"/>
        <v>531.36750389275539</v>
      </c>
      <c r="GD64" s="62">
        <f t="shared" si="26"/>
        <v>799.02055478276884</v>
      </c>
      <c r="GE64" s="62">
        <f ca="1">AVERAGE(OFFSET($GD$3,0,0,'Données projet'!$E$17+1,1))-AVERAGE(OFFSET($H$3,0,0,'Données projet'!$E$17+1,1))</f>
        <v>578.44111602076555</v>
      </c>
      <c r="GF64" s="62">
        <f t="shared" si="50"/>
        <v>368.08542661432784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>
        <f>EXP(-LN(2)/35)*GL63+(1-EXP(-LN(2)/35))/(LN(2)/35)*GH64*GI64*VLOOKUP('Données projet'!$B$17,Paramètres!$A$1:$I$89,3,0)*0.475*44/12</f>
        <v>0</v>
      </c>
      <c r="GM64" s="23">
        <f>EXP(-LN(2)/25)*GM63+(1-EXP(-LN(2)/25))/(LN(2)/25)*Calculateur!GH64*Calculateur!GJ64*VLOOKUP('Données projet'!$B$17,Paramètres!$A$1:$I$89,3,0)*0.475*44/12</f>
        <v>0</v>
      </c>
      <c r="GN64" s="23">
        <f>EXP(-LN(2)/2)*GN63+(1-EXP(-LN(2)/2))/(LN(2)/2)*GH64*GK64*VLOOKUP('Données projet'!$B$17,Paramètres!$A$1:$I$89,3,0)*0.475*44/12</f>
        <v>0</v>
      </c>
      <c r="GO64" s="23">
        <f t="shared" si="27"/>
        <v>0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62.99628660636732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4.0735000000000001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14.936166666666667</v>
      </c>
      <c r="H65" s="70">
        <f t="shared" si="1"/>
        <v>196.922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63.117785375789438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8.8000000000000007</v>
      </c>
      <c r="N65" s="14">
        <f>IF('Données projet'!$A$36&gt;35,N64+M65-V64,IF(A65&lt;'Données projet'!$A$36,$K$205^A65,IF(A65='Données projet'!$A$36,'Données projet'!$B$36,N64+M65-V64)))</f>
        <v>262.59999999999985</v>
      </c>
      <c r="O65" s="14">
        <f>N65*VLOOKUP('Données projet'!$B$9,Paramètres!$A$1:$I$89,3,0)*VLOOKUP('Données projet'!$B$9,Paramètres!$A$1:$I$89,5,0)</f>
        <v>237.60047999999986</v>
      </c>
      <c r="P65" s="14">
        <f t="shared" si="33"/>
        <v>57.922960533442058</v>
      </c>
      <c r="Q65" s="22">
        <f t="shared" si="53"/>
        <v>514.70332559574479</v>
      </c>
      <c r="R65" s="62">
        <f t="shared" si="0"/>
        <v>782.80187197363944</v>
      </c>
      <c r="S65" s="62">
        <f ca="1">AVERAGE(OFFSET($R$3,0,0,'Données projet'!$E$9+1,1))-AVERAGE(OFFSET($H$3,0,0,'Données projet'!$E$9+1,1))</f>
        <v>546.11281471711925</v>
      </c>
      <c r="T65" s="62">
        <f t="shared" si="34"/>
        <v>348.18069831447099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63.117785375789438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12.4</v>
      </c>
      <c r="AI65" s="14">
        <f>IF('Données projet'!$A$62&gt;35,AI64+AH65-AQ64,IF(A65&lt;'Données projet'!$A$62,$AF$205^A65,IF(A65='Données projet'!$A$62,'Données projet'!$B$62,AI64+AH65-AQ64)))</f>
        <v>360.8</v>
      </c>
      <c r="AJ65" s="14">
        <f>AI65*VLOOKUP('Données projet'!$B$10,Paramètres!$A$1:$I$89,3,0)*VLOOKUP('Données projet'!$B$10,Paramètres!$A$1:$I$89,5,0)</f>
        <v>309.56640000000004</v>
      </c>
      <c r="AK65" s="14">
        <f t="shared" si="35"/>
        <v>73.178269858732605</v>
      </c>
      <c r="AL65" s="22">
        <f t="shared" si="4"/>
        <v>666.61363333729264</v>
      </c>
      <c r="AM65" s="62">
        <f t="shared" si="5"/>
        <v>934.71217971518718</v>
      </c>
      <c r="AN65" s="62">
        <f ca="1">AVERAGE(OFFSET($AM$3,0,0,'Données projet'!$E$10+1,1))-AVERAGE(OFFSET($H$3,0,0,'Données projet'!$E$10+1,1))</f>
        <v>693.87994318348024</v>
      </c>
      <c r="AO65" s="62">
        <f t="shared" si="36"/>
        <v>327.71043739333641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63.117785375789438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8.8000000000000007</v>
      </c>
      <c r="BD65" s="13">
        <f>IF('Données projet'!$A$88&gt;35,BD64+BC65-BL64,IF(A65&lt;'Données projet'!$A$88,$BA$205^A65,IF(A65='Données projet'!$A$88,'Données projet'!$B$88,BD64+BC65-BL64)))</f>
        <v>262.59999999999985</v>
      </c>
      <c r="BE65" s="14">
        <f>BD65*VLOOKUP('Données projet'!$B$11,Paramètres!$A$1:$I$89,3,0)*VLOOKUP('Données projet'!$B$11,Paramètres!$A$1:$I$89,5,0)</f>
        <v>221.21423999999988</v>
      </c>
      <c r="BF65" s="14">
        <f t="shared" si="37"/>
        <v>54.378710185570377</v>
      </c>
      <c r="BG65" s="22">
        <f t="shared" si="7"/>
        <v>479.99105490653488</v>
      </c>
      <c r="BH65" s="62">
        <f t="shared" si="8"/>
        <v>748.08960128442948</v>
      </c>
      <c r="BI65" s="62">
        <f ca="1">AVERAGE(OFFSET($BH$3,0,0,'Données projet'!$E$11+1,1))-AVERAGE(OFFSET($H$3,0,0,'Données projet'!$E$11+1,1))</f>
        <v>513.7388209355762</v>
      </c>
      <c r="BJ65" s="62">
        <f t="shared" si="38"/>
        <v>328.24603121433927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63.117785375789438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6.1</v>
      </c>
      <c r="BY65" s="13">
        <f>IF('Données projet'!$A$114&gt;35,BY64+BX65-CG64,IF(A65&lt;'Données projet'!$A$114,$BV$205^A65,IF(A65='Données projet'!$A$114,'Données projet'!$B$114,BY64+BX65-CG64)))</f>
        <v>337.70000000000027</v>
      </c>
      <c r="BZ65" s="14">
        <f>BY65*VLOOKUP('Données projet'!$B$12,Paramètres!$A$1:$I$89,3,0)*VLOOKUP('Données projet'!$B$12,Paramètres!$A$1:$I$89,5,0)</f>
        <v>268.67412000000024</v>
      </c>
      <c r="CA65" s="14">
        <f t="shared" si="39"/>
        <v>64.567803521413538</v>
      </c>
      <c r="CB65" s="22">
        <f t="shared" si="10"/>
        <v>580.39635013312909</v>
      </c>
      <c r="CC65" s="62">
        <f t="shared" si="11"/>
        <v>848.49489651102363</v>
      </c>
      <c r="CD65" s="62">
        <f ca="1">AVERAGE(OFFSET($CC$3,0,0,'Données projet'!$E$12+1,1))-AVERAGE(OFFSET($H$3,0,0,'Données projet'!$E$12+1,1))</f>
        <v>447.25854887589878</v>
      </c>
      <c r="CE65" s="62">
        <f t="shared" si="40"/>
        <v>480.13390593590157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63.117785375789438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8.6666666666666661</v>
      </c>
      <c r="CT65" s="13">
        <f>IF('Données projet'!$A$140&gt;35,CT64+CS65-DB64,IF(A65&lt;'Données projet'!$A$140,$CQ$205^A65,IF(A65='Données projet'!$A$140,'Données projet'!$B$140,CT64+CS65-DB64)))</f>
        <v>267.33333333333331</v>
      </c>
      <c r="CU65" s="18">
        <f>CT65*VLOOKUP('Données projet'!$B$13,Paramètres!$A$1:$I$89,3,0)*VLOOKUP('Données projet'!$B$13,Paramètres!$A$1:$I$89,5,0)</f>
        <v>208.51999999999998</v>
      </c>
      <c r="CV65" s="14">
        <f t="shared" si="41"/>
        <v>51.612035456318509</v>
      </c>
      <c r="CW65" s="22">
        <f t="shared" si="13"/>
        <v>453.06329508642131</v>
      </c>
      <c r="CX65" s="62">
        <f t="shared" si="14"/>
        <v>721.1618414643159</v>
      </c>
      <c r="CY65" s="62">
        <f ca="1">AVERAGE(OFFSET($CX$3,0,0,'Données projet'!$E$13+1,1))-AVERAGE(OFFSET($H$3,0,0,'Données projet'!$E$13+1,1))</f>
        <v>308.52515801950324</v>
      </c>
      <c r="CZ65" s="62">
        <f t="shared" si="42"/>
        <v>299.05420638408953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63.117785375789438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6.1</v>
      </c>
      <c r="DO65" s="13">
        <f>IF('Données projet'!$A$166&gt;35,DO64+DN65-DW64,IF(A65&lt;'Données projet'!$A$166,$DL$205^A65,IF(A65='Données projet'!$A$166,'Données projet'!$B$166,DO64+DN65-DW64)))</f>
        <v>337.70000000000027</v>
      </c>
      <c r="DP65" s="18">
        <f>DO65*VLOOKUP('Données projet'!$B$14,Paramètres!$A$1:$I$89,3,0)*VLOOKUP('Données projet'!$B$14,Paramètres!$A$1:$I$89,5,0)</f>
        <v>247.60164000000017</v>
      </c>
      <c r="DQ65" s="14">
        <f t="shared" si="43"/>
        <v>60.072080379039576</v>
      </c>
      <c r="DR65" s="22">
        <f t="shared" si="16"/>
        <v>535.86506299349423</v>
      </c>
      <c r="DS65" s="62">
        <f t="shared" si="17"/>
        <v>803.96360937138888</v>
      </c>
      <c r="DT65" s="62">
        <f ca="1">AVERAGE(OFFSET($DS$3,0,0,'Données projet'!$E$14+1,1))-AVERAGE(OFFSET($H$3,0,0,'Données projet'!$E$14+1,1))</f>
        <v>416.72317068678774</v>
      </c>
      <c r="DU65" s="62">
        <f t="shared" si="44"/>
        <v>447.32457429495537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63.117785375789438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5.2564102564102537</v>
      </c>
      <c r="EJ65" s="13">
        <f>IF('Données projet'!$A$192&gt;35,EJ64+EI65-ER64,IF(A65&lt;'Données projet'!$A$192,$EG$205^A65,IF(A65='Données projet'!$A$192,'Données projet'!$B$192,EJ64+EI65-ER64)))</f>
        <v>213.07692307692315</v>
      </c>
      <c r="EK65" s="18">
        <f>EJ65*VLOOKUP('Données projet'!$B$15,Paramètres!$A$1:$I$89,3,0)*VLOOKUP('Données projet'!$B$15,Paramètres!$A$1:$I$89,5,0)</f>
        <v>202.7640000000001</v>
      </c>
      <c r="EL65" s="14">
        <f t="shared" si="45"/>
        <v>50.351125180505704</v>
      </c>
      <c r="EM65" s="22">
        <f t="shared" si="19"/>
        <v>440.84217635604756</v>
      </c>
      <c r="EN65" s="62">
        <f t="shared" si="20"/>
        <v>708.94072273394215</v>
      </c>
      <c r="EO65" s="62">
        <f ca="1">AVERAGE(OFFSET($EN$3,0,0,'Données projet'!$E$15+1,1))-AVERAGE(OFFSET($H$3,0,0,'Données projet'!$E$15+1,1))</f>
        <v>454.78867027701426</v>
      </c>
      <c r="EP65" s="62">
        <f t="shared" si="46"/>
        <v>366.45346303927056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0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63.117785375789438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5.7692307692307683</v>
      </c>
      <c r="FE65" s="13">
        <f>IF('Données projet'!$A$218&gt;35,FE64+FD65-FM64,IF(A65&lt;'Données projet'!$A$218,$FB$205^A65,IF(A65='Données projet'!$A$218,'Données projet'!$B$218,FE64+FD65-FM64)))</f>
        <v>265.3846153846153</v>
      </c>
      <c r="FF65" s="18">
        <f>FE65*VLOOKUP('Données projet'!$B$16,Paramètres!$A$1:$I$89,3,0)*VLOOKUP('Données projet'!$B$16,Paramètres!$A$1:$I$89,5,0)</f>
        <v>178.01999999999995</v>
      </c>
      <c r="FG65" s="14">
        <f t="shared" si="47"/>
        <v>44.881389467952083</v>
      </c>
      <c r="FH65" s="22">
        <f t="shared" si="22"/>
        <v>388.21991999001648</v>
      </c>
      <c r="FI65" s="62">
        <f t="shared" si="23"/>
        <v>656.31846636791101</v>
      </c>
      <c r="FJ65" s="62">
        <f ca="1">AVERAGE(OFFSET($FI$3,0,0,'Données projet'!$E$16+1,1))-AVERAGE(OFFSET($H$3,0,0,'Données projet'!$E$16+1,1))</f>
        <v>390.05579539539576</v>
      </c>
      <c r="FK65" s="62">
        <f t="shared" si="48"/>
        <v>323.72278615226139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projet'!$B$16,Paramètres!$A$1:$I$89,3,0)*0.475*44/12</f>
        <v>0</v>
      </c>
      <c r="FR65" s="23">
        <f>EXP(-LN(2)/25)*FR64+(1-EXP(-LN(2)/25))/(LN(2)/25)*Calculateur!FM65*Calculateur!FO65*VLOOKUP('Données projet'!$B$16,Paramètres!$A$1:$I$89,3,0)*0.475*44/12</f>
        <v>0</v>
      </c>
      <c r="FS65" s="23">
        <f>EXP(-LN(2)/2)*FS64+(1-EXP(-LN(2)/2))/(LN(2)/2)*FM65*FP65*VLOOKUP('Données projet'!$B$16,Paramètres!$A$1:$I$89,3,0)*0.475*44/12</f>
        <v>0</v>
      </c>
      <c r="FT65" s="24">
        <f t="shared" si="24"/>
        <v>0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63.117785375789438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8.8000000000000007</v>
      </c>
      <c r="FZ65" s="13">
        <f>IF('Données projet'!$A$244&gt;35,FZ64+FY65-GH64,IF(A65&lt;'Données projet'!$A$244,$FW$205^A65,IF(A65='Données projet'!$A$244,'Données projet'!$B$244,FZ64+FY65-GH64)))</f>
        <v>262.59999999999985</v>
      </c>
      <c r="GA65" s="18">
        <f>FZ65*VLOOKUP('Données projet'!$B$17,Paramètres!$A$1:$I$89,3,0)*VLOOKUP('Données projet'!$B$17,Paramètres!$A$1:$I$89,5,0)</f>
        <v>253.98671999999985</v>
      </c>
      <c r="GB65" s="14">
        <f t="shared" si="49"/>
        <v>61.438849277739124</v>
      </c>
      <c r="GC65" s="22">
        <f t="shared" si="25"/>
        <v>549.36619982539537</v>
      </c>
      <c r="GD65" s="62">
        <f t="shared" si="26"/>
        <v>817.46474620328991</v>
      </c>
      <c r="GE65" s="62">
        <f ca="1">AVERAGE(OFFSET($GD$3,0,0,'Données projet'!$E$17+1,1))-AVERAGE(OFFSET($H$3,0,0,'Données projet'!$E$17+1,1))</f>
        <v>578.44111602076555</v>
      </c>
      <c r="GF65" s="62">
        <f t="shared" si="50"/>
        <v>368.08542661432784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>
        <f>EXP(-LN(2)/35)*GL64+(1-EXP(-LN(2)/35))/(LN(2)/35)*GH65*GI65*VLOOKUP('Données projet'!$B$17,Paramètres!$A$1:$I$89,3,0)*0.475*44/12</f>
        <v>0</v>
      </c>
      <c r="GM65" s="23">
        <f>EXP(-LN(2)/25)*GM64+(1-EXP(-LN(2)/25))/(LN(2)/25)*Calculateur!GH65*Calculateur!GJ65*VLOOKUP('Données projet'!$B$17,Paramètres!$A$1:$I$89,3,0)*0.475*44/12</f>
        <v>0</v>
      </c>
      <c r="GN65" s="23">
        <f>EXP(-LN(2)/2)*GN64+(1-EXP(-LN(2)/2))/(LN(2)/2)*GH65*GK65*VLOOKUP('Données projet'!$B$17,Paramètres!$A$1:$I$89,3,0)*0.475*44/12</f>
        <v>0</v>
      </c>
      <c r="GO65" s="23">
        <f t="shared" si="27"/>
        <v>0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63.117785375789438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4.0735000000000001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14.936166666666667</v>
      </c>
      <c r="H66" s="70">
        <f t="shared" si="1"/>
        <v>196.922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63.237176413192628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8.8000000000000007</v>
      </c>
      <c r="N66" s="14">
        <f>IF('Données projet'!$A$36&gt;35,N65+M66-V65,IF(A66&lt;'Données projet'!$A$36,$K$205^A66,IF(A66='Données projet'!$A$36,'Données projet'!$B$36,N65+M66-V65)))</f>
        <v>271.39999999999986</v>
      </c>
      <c r="O66" s="14">
        <f>N66*VLOOKUP('Données projet'!$B$9,Paramètres!$A$1:$I$89,3,0)*VLOOKUP('Données projet'!$B$9,Paramètres!$A$1:$I$89,5,0)</f>
        <v>245.56271999999987</v>
      </c>
      <c r="P66" s="14">
        <f t="shared" si="33"/>
        <v>59.634776048276848</v>
      </c>
      <c r="Q66" s="22">
        <f t="shared" si="53"/>
        <v>531.5523056174153</v>
      </c>
      <c r="R66" s="62">
        <f t="shared" si="0"/>
        <v>800.08861913245494</v>
      </c>
      <c r="S66" s="62">
        <f ca="1">AVERAGE(OFFSET($R$3,0,0,'Données projet'!$E$9+1,1))-AVERAGE(OFFSET($H$3,0,0,'Données projet'!$E$9+1,1))</f>
        <v>546.11281471711925</v>
      </c>
      <c r="T66" s="62">
        <f t="shared" si="34"/>
        <v>348.18069831447099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63.237176413192628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12.4</v>
      </c>
      <c r="AI66" s="14">
        <f>IF('Données projet'!$A$62&gt;35,AI65+AH66-AQ65,IF(A66&lt;'Données projet'!$A$62,$AF$205^A66,IF(A66='Données projet'!$A$62,'Données projet'!$B$62,AI65+AH66-AQ65)))</f>
        <v>373.2</v>
      </c>
      <c r="AJ66" s="14">
        <f>AI66*VLOOKUP('Données projet'!$B$10,Paramètres!$A$1:$I$89,3,0)*VLOOKUP('Données projet'!$B$10,Paramètres!$A$1:$I$89,5,0)</f>
        <v>320.20560000000006</v>
      </c>
      <c r="AK66" s="14">
        <f t="shared" si="35"/>
        <v>75.39613114202001</v>
      </c>
      <c r="AL66" s="22">
        <f t="shared" si="4"/>
        <v>689.006348405685</v>
      </c>
      <c r="AM66" s="62">
        <f t="shared" si="5"/>
        <v>957.54266192072464</v>
      </c>
      <c r="AN66" s="62">
        <f ca="1">AVERAGE(OFFSET($AM$3,0,0,'Données projet'!$E$10+1,1))-AVERAGE(OFFSET($H$3,0,0,'Données projet'!$E$10+1,1))</f>
        <v>693.87994318348024</v>
      </c>
      <c r="AO66" s="62">
        <f t="shared" si="36"/>
        <v>327.71043739333641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63.237176413192628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8.8000000000000007</v>
      </c>
      <c r="BD66" s="13">
        <f>IF('Données projet'!$A$88&gt;35,BD65+BC66-BL65,IF(A66&lt;'Données projet'!$A$88,$BA$205^A66,IF(A66='Données projet'!$A$88,'Données projet'!$B$88,BD65+BC66-BL65)))</f>
        <v>271.39999999999986</v>
      </c>
      <c r="BE66" s="14">
        <f>BD66*VLOOKUP('Données projet'!$B$11,Paramètres!$A$1:$I$89,3,0)*VLOOKUP('Données projet'!$B$11,Paramètres!$A$1:$I$89,5,0)</f>
        <v>228.6273599999999</v>
      </c>
      <c r="BF66" s="14">
        <f t="shared" si="37"/>
        <v>55.985781352428646</v>
      </c>
      <c r="BG66" s="22">
        <f t="shared" si="7"/>
        <v>495.70122118881301</v>
      </c>
      <c r="BH66" s="62">
        <f t="shared" si="8"/>
        <v>764.23753470385259</v>
      </c>
      <c r="BI66" s="62">
        <f ca="1">AVERAGE(OFFSET($BH$3,0,0,'Données projet'!$E$11+1,1))-AVERAGE(OFFSET($H$3,0,0,'Données projet'!$E$11+1,1))</f>
        <v>513.7388209355762</v>
      </c>
      <c r="BJ66" s="62">
        <f t="shared" si="38"/>
        <v>328.24603121433927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63.237176413192628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6.1</v>
      </c>
      <c r="BY66" s="13">
        <f>IF('Données projet'!$A$114&gt;35,BY65+BX66-CG65,IF(A66&lt;'Données projet'!$A$114,$BV$205^A66,IF(A66='Données projet'!$A$114,'Données projet'!$B$114,BY65+BX66-CG65)))</f>
        <v>343.8000000000003</v>
      </c>
      <c r="BZ66" s="14">
        <f>BY66*VLOOKUP('Données projet'!$B$12,Paramètres!$A$1:$I$89,3,0)*VLOOKUP('Données projet'!$B$12,Paramètres!$A$1:$I$89,5,0)</f>
        <v>273.52728000000025</v>
      </c>
      <c r="CA66" s="14">
        <f t="shared" si="39"/>
        <v>65.597280712156035</v>
      </c>
      <c r="CB66" s="22">
        <f t="shared" si="10"/>
        <v>590.64194324033883</v>
      </c>
      <c r="CC66" s="62">
        <f t="shared" si="11"/>
        <v>859.17825675537847</v>
      </c>
      <c r="CD66" s="62">
        <f ca="1">AVERAGE(OFFSET($CC$3,0,0,'Données projet'!$E$12+1,1))-AVERAGE(OFFSET($H$3,0,0,'Données projet'!$E$12+1,1))</f>
        <v>447.25854887589878</v>
      </c>
      <c r="CE66" s="62">
        <f t="shared" si="40"/>
        <v>480.13390593590157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63.237176413192628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8.6666666666666661</v>
      </c>
      <c r="CT66" s="13">
        <f>IF('Données projet'!$A$140&gt;35,CT65+CS66-DB65,IF(A66&lt;'Données projet'!$A$140,$CQ$205^A66,IF(A66='Données projet'!$A$140,'Données projet'!$B$140,CT65+CS66-DB65)))</f>
        <v>276</v>
      </c>
      <c r="CU66" s="18">
        <f>CT66*VLOOKUP('Données projet'!$B$13,Paramètres!$A$1:$I$89,3,0)*VLOOKUP('Données projet'!$B$13,Paramètres!$A$1:$I$89,5,0)</f>
        <v>215.28</v>
      </c>
      <c r="CV66" s="14">
        <f t="shared" si="41"/>
        <v>53.087725740853138</v>
      </c>
      <c r="CW66" s="22">
        <f t="shared" si="13"/>
        <v>467.40712233198587</v>
      </c>
      <c r="CX66" s="62">
        <f t="shared" si="14"/>
        <v>735.94343584702551</v>
      </c>
      <c r="CY66" s="62">
        <f ca="1">AVERAGE(OFFSET($CX$3,0,0,'Données projet'!$E$13+1,1))-AVERAGE(OFFSET($H$3,0,0,'Données projet'!$E$13+1,1))</f>
        <v>308.52515801950324</v>
      </c>
      <c r="CZ66" s="62">
        <f t="shared" si="42"/>
        <v>299.05420638408953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63.237176413192628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6.1</v>
      </c>
      <c r="DO66" s="13">
        <f>IF('Données projet'!$A$166&gt;35,DO65+DN66-DW65,IF(A66&lt;'Données projet'!$A$166,$DL$205^A66,IF(A66='Données projet'!$A$166,'Données projet'!$B$166,DO65+DN66-DW65)))</f>
        <v>343.8000000000003</v>
      </c>
      <c r="DP66" s="18">
        <f>DO66*VLOOKUP('Données projet'!$B$14,Paramètres!$A$1:$I$89,3,0)*VLOOKUP('Données projet'!$B$14,Paramètres!$A$1:$I$89,5,0)</f>
        <v>252.07416000000021</v>
      </c>
      <c r="DQ66" s="14">
        <f t="shared" si="43"/>
        <v>61.029877193827687</v>
      </c>
      <c r="DR66" s="22">
        <f t="shared" si="16"/>
        <v>545.32286477925015</v>
      </c>
      <c r="DS66" s="62">
        <f t="shared" si="17"/>
        <v>813.85917829428979</v>
      </c>
      <c r="DT66" s="62">
        <f ca="1">AVERAGE(OFFSET($DS$3,0,0,'Données projet'!$E$14+1,1))-AVERAGE(OFFSET($H$3,0,0,'Données projet'!$E$14+1,1))</f>
        <v>416.72317068678774</v>
      </c>
      <c r="DU66" s="62">
        <f t="shared" si="44"/>
        <v>447.32457429495537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63.237176413192628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5.2564102564102537</v>
      </c>
      <c r="EJ66" s="13">
        <f>IF('Données projet'!$A$192&gt;35,EJ65+EI66-ER65,IF(A66&lt;'Données projet'!$A$192,$EG$205^A66,IF(A66='Données projet'!$A$192,'Données projet'!$B$192,EJ65+EI66-ER65)))</f>
        <v>218.3333333333334</v>
      </c>
      <c r="EK66" s="18">
        <f>EJ66*VLOOKUP('Données projet'!$B$15,Paramètres!$A$1:$I$89,3,0)*VLOOKUP('Données projet'!$B$15,Paramètres!$A$1:$I$89,5,0)</f>
        <v>207.76600000000005</v>
      </c>
      <c r="EL66" s="14">
        <f t="shared" si="45"/>
        <v>51.447097034747465</v>
      </c>
      <c r="EM66" s="22">
        <f t="shared" si="19"/>
        <v>451.46281066885194</v>
      </c>
      <c r="EN66" s="62">
        <f t="shared" si="20"/>
        <v>719.99912418389158</v>
      </c>
      <c r="EO66" s="62">
        <f ca="1">AVERAGE(OFFSET($EN$3,0,0,'Données projet'!$E$15+1,1))-AVERAGE(OFFSET($H$3,0,0,'Données projet'!$E$15+1,1))</f>
        <v>454.78867027701426</v>
      </c>
      <c r="EP66" s="62">
        <f t="shared" si="46"/>
        <v>366.45346303927056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0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63.237176413192628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5.7692307692307683</v>
      </c>
      <c r="FE66" s="13">
        <f>IF('Données projet'!$A$218&gt;35,FE65+FD66-FM65,IF(A66&lt;'Données projet'!$A$218,$FB$205^A66,IF(A66='Données projet'!$A$218,'Données projet'!$B$218,FE65+FD66-FM65)))</f>
        <v>271.15384615384608</v>
      </c>
      <c r="FF66" s="18">
        <f>FE66*VLOOKUP('Données projet'!$B$16,Paramètres!$A$1:$I$89,3,0)*VLOOKUP('Données projet'!$B$16,Paramètres!$A$1:$I$89,5,0)</f>
        <v>181.88999999999996</v>
      </c>
      <c r="FG66" s="14">
        <f t="shared" si="47"/>
        <v>45.742420382341599</v>
      </c>
      <c r="FH66" s="22">
        <f t="shared" si="22"/>
        <v>396.4597988325782</v>
      </c>
      <c r="FI66" s="62">
        <f t="shared" si="23"/>
        <v>664.99611234761778</v>
      </c>
      <c r="FJ66" s="62">
        <f ca="1">AVERAGE(OFFSET($FI$3,0,0,'Données projet'!$E$16+1,1))-AVERAGE(OFFSET($H$3,0,0,'Données projet'!$E$16+1,1))</f>
        <v>390.05579539539576</v>
      </c>
      <c r="FK66" s="62">
        <f t="shared" si="48"/>
        <v>323.72278615226139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projet'!$B$16,Paramètres!$A$1:$I$89,3,0)*0.475*44/12</f>
        <v>0</v>
      </c>
      <c r="FR66" s="23">
        <f>EXP(-LN(2)/25)*FR65+(1-EXP(-LN(2)/25))/(LN(2)/25)*Calculateur!FM66*Calculateur!FO66*VLOOKUP('Données projet'!$B$16,Paramètres!$A$1:$I$89,3,0)*0.475*44/12</f>
        <v>0</v>
      </c>
      <c r="FS66" s="23">
        <f>EXP(-LN(2)/2)*FS65+(1-EXP(-LN(2)/2))/(LN(2)/2)*FM66*FP66*VLOOKUP('Données projet'!$B$16,Paramètres!$A$1:$I$89,3,0)*0.475*44/12</f>
        <v>0</v>
      </c>
      <c r="FT66" s="24">
        <f t="shared" si="24"/>
        <v>0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63.237176413192628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8.8000000000000007</v>
      </c>
      <c r="FZ66" s="13">
        <f>IF('Données projet'!$A$244&gt;35,FZ65+FY66-GH65,IF(A66&lt;'Données projet'!$A$244,$FW$205^A66,IF(A66='Données projet'!$A$244,'Données projet'!$B$244,FZ65+FY66-GH65)))</f>
        <v>271.39999999999986</v>
      </c>
      <c r="GA66" s="18">
        <f>FZ66*VLOOKUP('Données projet'!$B$17,Paramètres!$A$1:$I$89,3,0)*VLOOKUP('Données projet'!$B$17,Paramètres!$A$1:$I$89,5,0)</f>
        <v>262.4980799999999</v>
      </c>
      <c r="GB66" s="14">
        <f t="shared" si="49"/>
        <v>63.254570961138086</v>
      </c>
      <c r="GC66" s="22">
        <f t="shared" si="25"/>
        <v>567.3525337573152</v>
      </c>
      <c r="GD66" s="62">
        <f t="shared" si="26"/>
        <v>835.88884727235484</v>
      </c>
      <c r="GE66" s="62">
        <f ca="1">AVERAGE(OFFSET($GD$3,0,0,'Données projet'!$E$17+1,1))-AVERAGE(OFFSET($H$3,0,0,'Données projet'!$E$17+1,1))</f>
        <v>578.44111602076555</v>
      </c>
      <c r="GF66" s="62">
        <f t="shared" si="50"/>
        <v>368.08542661432784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>
        <f>EXP(-LN(2)/35)*GL65+(1-EXP(-LN(2)/35))/(LN(2)/35)*GH66*GI66*VLOOKUP('Données projet'!$B$17,Paramètres!$A$1:$I$89,3,0)*0.475*44/12</f>
        <v>0</v>
      </c>
      <c r="GM66" s="23">
        <f>EXP(-LN(2)/25)*GM65+(1-EXP(-LN(2)/25))/(LN(2)/25)*Calculateur!GH66*Calculateur!GJ66*VLOOKUP('Données projet'!$B$17,Paramètres!$A$1:$I$89,3,0)*0.475*44/12</f>
        <v>0</v>
      </c>
      <c r="GN66" s="23">
        <f>EXP(-LN(2)/2)*GN65+(1-EXP(-LN(2)/2))/(LN(2)/2)*GH66*GK66*VLOOKUP('Données projet'!$B$17,Paramètres!$A$1:$I$89,3,0)*0.475*44/12</f>
        <v>0</v>
      </c>
      <c r="GO66" s="23">
        <f t="shared" si="27"/>
        <v>0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63.237176413192628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4.0735000000000001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14.936166666666667</v>
      </c>
      <c r="H67" s="70">
        <f t="shared" si="1"/>
        <v>196.922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63.354496283015251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8.8000000000000007</v>
      </c>
      <c r="N67" s="14">
        <f>IF('Données projet'!$A$36&gt;35,N66+M67-V66,IF(A67&lt;'Données projet'!$A$36,$K$205^A67,IF(A67='Données projet'!$A$36,'Données projet'!$B$36,N66+M67-V66)))</f>
        <v>280.19999999999987</v>
      </c>
      <c r="O67" s="14">
        <f>N67*VLOOKUP('Données projet'!$B$9,Paramètres!$A$1:$I$89,3,0)*VLOOKUP('Données projet'!$B$9,Paramètres!$A$1:$I$89,5,0)</f>
        <v>253.52495999999985</v>
      </c>
      <c r="P67" s="14">
        <f t="shared" si="33"/>
        <v>61.34014179842216</v>
      </c>
      <c r="Q67" s="22">
        <f t="shared" ref="Q67:Q98" si="54">(O67+P67)*0.475*44/12</f>
        <v>548.39005229891836</v>
      </c>
      <c r="R67" s="62">
        <f t="shared" ref="R67:R130" si="55">Q67+(I67+J67)*44/12</f>
        <v>817.35653866997427</v>
      </c>
      <c r="S67" s="62">
        <f ca="1">AVERAGE(OFFSET($R$3,0,0,'Données projet'!$E$9+1,1))-AVERAGE(OFFSET($H$3,0,0,'Données projet'!$E$9+1,1))</f>
        <v>546.11281471711925</v>
      </c>
      <c r="T67" s="62">
        <f t="shared" si="34"/>
        <v>348.18069831447099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63.354496283015251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12.4</v>
      </c>
      <c r="AI67" s="14">
        <f>IF('Données projet'!$A$62&gt;35,AI66+AH67-AQ66,IF(A67&lt;'Données projet'!$A$62,$AF$205^A67,IF(A67='Données projet'!$A$62,'Données projet'!$B$62,AI66+AH67-AQ66)))</f>
        <v>385.59999999999997</v>
      </c>
      <c r="AJ67" s="14">
        <f>AI67*VLOOKUP('Données projet'!$B$10,Paramètres!$A$1:$I$89,3,0)*VLOOKUP('Données projet'!$B$10,Paramètres!$A$1:$I$89,5,0)</f>
        <v>330.84480000000002</v>
      </c>
      <c r="AK67" s="14">
        <f t="shared" si="35"/>
        <v>77.605429694617001</v>
      </c>
      <c r="AL67" s="22">
        <f t="shared" si="4"/>
        <v>711.38415005145782</v>
      </c>
      <c r="AM67" s="62">
        <f t="shared" si="5"/>
        <v>980.35063642251373</v>
      </c>
      <c r="AN67" s="62">
        <f ca="1">AVERAGE(OFFSET($AM$3,0,0,'Données projet'!$E$10+1,1))-AVERAGE(OFFSET($H$3,0,0,'Données projet'!$E$10+1,1))</f>
        <v>693.87994318348024</v>
      </c>
      <c r="AO67" s="62">
        <f t="shared" si="36"/>
        <v>327.71043739333641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63.354496283015251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8.8000000000000007</v>
      </c>
      <c r="BD67" s="13">
        <f>IF('Données projet'!$A$88&gt;35,BD66+BC67-BL66,IF(A67&lt;'Données projet'!$A$88,$BA$205^A67,IF(A67='Données projet'!$A$88,'Données projet'!$B$88,BD66+BC67-BL66)))</f>
        <v>280.19999999999987</v>
      </c>
      <c r="BE67" s="14">
        <f>BD67*VLOOKUP('Données projet'!$B$11,Paramètres!$A$1:$I$89,3,0)*VLOOKUP('Données projet'!$B$11,Paramètres!$A$1:$I$89,5,0)</f>
        <v>236.04047999999992</v>
      </c>
      <c r="BF67" s="14">
        <f t="shared" si="37"/>
        <v>57.586797409506879</v>
      </c>
      <c r="BG67" s="22">
        <f t="shared" si="7"/>
        <v>511.40084148822433</v>
      </c>
      <c r="BH67" s="62">
        <f t="shared" si="8"/>
        <v>780.36732785928029</v>
      </c>
      <c r="BI67" s="62">
        <f ca="1">AVERAGE(OFFSET($BH$3,0,0,'Données projet'!$E$11+1,1))-AVERAGE(OFFSET($H$3,0,0,'Données projet'!$E$11+1,1))</f>
        <v>513.7388209355762</v>
      </c>
      <c r="BJ67" s="62">
        <f t="shared" si="38"/>
        <v>328.24603121433927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63.354496283015251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6.1</v>
      </c>
      <c r="BY67" s="13">
        <f>IF('Données projet'!$A$114&gt;35,BY66+BX67-CG66,IF(A67&lt;'Données projet'!$A$114,$BV$205^A67,IF(A67='Données projet'!$A$114,'Données projet'!$B$114,BY66+BX67-CG66)))</f>
        <v>349.90000000000032</v>
      </c>
      <c r="BZ67" s="14">
        <f>BY67*VLOOKUP('Données projet'!$B$12,Paramètres!$A$1:$I$89,3,0)*VLOOKUP('Données projet'!$B$12,Paramètres!$A$1:$I$89,5,0)</f>
        <v>278.38044000000025</v>
      </c>
      <c r="CA67" s="14">
        <f t="shared" si="39"/>
        <v>66.624633830225619</v>
      </c>
      <c r="CB67" s="22">
        <f t="shared" si="10"/>
        <v>600.88383692097671</v>
      </c>
      <c r="CC67" s="62">
        <f t="shared" si="11"/>
        <v>869.85032329203261</v>
      </c>
      <c r="CD67" s="62">
        <f ca="1">AVERAGE(OFFSET($CC$3,0,0,'Données projet'!$E$12+1,1))-AVERAGE(OFFSET($H$3,0,0,'Données projet'!$E$12+1,1))</f>
        <v>447.25854887589878</v>
      </c>
      <c r="CE67" s="62">
        <f t="shared" si="40"/>
        <v>480.13390593590157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63.354496283015251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8.6666666666666661</v>
      </c>
      <c r="CT67" s="13">
        <f>IF('Données projet'!$A$140&gt;35,CT66+CS67-DB66,IF(A67&lt;'Données projet'!$A$140,$CQ$205^A67,IF(A67='Données projet'!$A$140,'Données projet'!$B$140,CT66+CS67-DB66)))</f>
        <v>284.66666666666669</v>
      </c>
      <c r="CU67" s="18">
        <f>CT67*VLOOKUP('Données projet'!$B$13,Paramètres!$A$1:$I$89,3,0)*VLOOKUP('Données projet'!$B$13,Paramètres!$A$1:$I$89,5,0)</f>
        <v>222.04000000000002</v>
      </c>
      <c r="CV67" s="14">
        <f t="shared" si="41"/>
        <v>54.558031180803596</v>
      </c>
      <c r="CW67" s="22">
        <f t="shared" si="13"/>
        <v>481.74157097323291</v>
      </c>
      <c r="CX67" s="62">
        <f t="shared" si="14"/>
        <v>750.70805734428882</v>
      </c>
      <c r="CY67" s="62">
        <f ca="1">AVERAGE(OFFSET($CX$3,0,0,'Données projet'!$E$13+1,1))-AVERAGE(OFFSET($H$3,0,0,'Données projet'!$E$13+1,1))</f>
        <v>308.52515801950324</v>
      </c>
      <c r="CZ67" s="62">
        <f t="shared" si="42"/>
        <v>299.05420638408953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63.354496283015251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6.1</v>
      </c>
      <c r="DO67" s="13">
        <f>IF('Données projet'!$A$166&gt;35,DO66+DN67-DW66,IF(A67&lt;'Données projet'!$A$166,$DL$205^A67,IF(A67='Données projet'!$A$166,'Données projet'!$B$166,DO66+DN67-DW66)))</f>
        <v>349.90000000000032</v>
      </c>
      <c r="DP67" s="18">
        <f>DO67*VLOOKUP('Données projet'!$B$14,Paramètres!$A$1:$I$89,3,0)*VLOOKUP('Données projet'!$B$14,Paramètres!$A$1:$I$89,5,0)</f>
        <v>256.54668000000021</v>
      </c>
      <c r="DQ67" s="14">
        <f t="shared" si="43"/>
        <v>61.985697830747227</v>
      </c>
      <c r="DR67" s="22">
        <f t="shared" si="16"/>
        <v>554.77722472188509</v>
      </c>
      <c r="DS67" s="62">
        <f t="shared" si="17"/>
        <v>823.743711092941</v>
      </c>
      <c r="DT67" s="62">
        <f ca="1">AVERAGE(OFFSET($DS$3,0,0,'Données projet'!$E$14+1,1))-AVERAGE(OFFSET($H$3,0,0,'Données projet'!$E$14+1,1))</f>
        <v>416.72317068678774</v>
      </c>
      <c r="DU67" s="62">
        <f t="shared" si="44"/>
        <v>447.32457429495537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63.354496283015251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5.2564102564102537</v>
      </c>
      <c r="EJ67" s="13">
        <f>IF('Données projet'!$A$192&gt;35,EJ66+EI67-ER66,IF(A67&lt;'Données projet'!$A$192,$EG$205^A67,IF(A67='Données projet'!$A$192,'Données projet'!$B$192,EJ66+EI67-ER66)))</f>
        <v>223.58974358974365</v>
      </c>
      <c r="EK67" s="18">
        <f>EJ67*VLOOKUP('Données projet'!$B$15,Paramètres!$A$1:$I$89,3,0)*VLOOKUP('Données projet'!$B$15,Paramètres!$A$1:$I$89,5,0)</f>
        <v>212.76800000000006</v>
      </c>
      <c r="EL67" s="14">
        <f t="shared" si="45"/>
        <v>52.540001579827276</v>
      </c>
      <c r="EM67" s="22">
        <f t="shared" si="19"/>
        <v>462.07810275153253</v>
      </c>
      <c r="EN67" s="62">
        <f t="shared" si="20"/>
        <v>731.04458912258838</v>
      </c>
      <c r="EO67" s="62">
        <f ca="1">AVERAGE(OFFSET($EN$3,0,0,'Données projet'!$E$15+1,1))-AVERAGE(OFFSET($H$3,0,0,'Données projet'!$E$15+1,1))</f>
        <v>454.78867027701426</v>
      </c>
      <c r="EP67" s="62">
        <f t="shared" si="46"/>
        <v>366.45346303927056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0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63.354496283015251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5.7692307692307683</v>
      </c>
      <c r="FE67" s="13">
        <f>IF('Données projet'!$A$218&gt;35,FE66+FD67-FM66,IF(A67&lt;'Données projet'!$A$218,$FB$205^A67,IF(A67='Données projet'!$A$218,'Données projet'!$B$218,FE66+FD67-FM66)))</f>
        <v>276.92307692307685</v>
      </c>
      <c r="FF67" s="18">
        <f>FE67*VLOOKUP('Données projet'!$B$16,Paramètres!$A$1:$I$89,3,0)*VLOOKUP('Données projet'!$B$16,Paramètres!$A$1:$I$89,5,0)</f>
        <v>185.75999999999993</v>
      </c>
      <c r="FG67" s="14">
        <f t="shared" si="47"/>
        <v>46.601321339767978</v>
      </c>
      <c r="FH67" s="22">
        <f t="shared" si="22"/>
        <v>404.69596800009577</v>
      </c>
      <c r="FI67" s="62">
        <f t="shared" si="23"/>
        <v>673.66245437115163</v>
      </c>
      <c r="FJ67" s="62">
        <f ca="1">AVERAGE(OFFSET($FI$3,0,0,'Données projet'!$E$16+1,1))-AVERAGE(OFFSET($H$3,0,0,'Données projet'!$E$16+1,1))</f>
        <v>390.05579539539576</v>
      </c>
      <c r="FK67" s="62">
        <f t="shared" si="48"/>
        <v>323.72278615226139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projet'!$B$16,Paramètres!$A$1:$I$89,3,0)*0.475*44/12</f>
        <v>0</v>
      </c>
      <c r="FR67" s="23">
        <f>EXP(-LN(2)/25)*FR66+(1-EXP(-LN(2)/25))/(LN(2)/25)*Calculateur!FM67*Calculateur!FO67*VLOOKUP('Données projet'!$B$16,Paramètres!$A$1:$I$89,3,0)*0.475*44/12</f>
        <v>0</v>
      </c>
      <c r="FS67" s="23">
        <f>EXP(-LN(2)/2)*FS66+(1-EXP(-LN(2)/2))/(LN(2)/2)*FM67*FP67*VLOOKUP('Données projet'!$B$16,Paramètres!$A$1:$I$89,3,0)*0.475*44/12</f>
        <v>0</v>
      </c>
      <c r="FT67" s="24">
        <f t="shared" si="24"/>
        <v>0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63.354496283015251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8.8000000000000007</v>
      </c>
      <c r="FZ67" s="13">
        <f>IF('Données projet'!$A$244&gt;35,FZ66+FY67-GH66,IF(A67&lt;'Données projet'!$A$244,$FW$205^A67,IF(A67='Données projet'!$A$244,'Données projet'!$B$244,FZ66+FY67-GH66)))</f>
        <v>280.19999999999987</v>
      </c>
      <c r="GA67" s="18">
        <f>FZ67*VLOOKUP('Données projet'!$B$17,Paramètres!$A$1:$I$89,3,0)*VLOOKUP('Données projet'!$B$17,Paramètres!$A$1:$I$89,5,0)</f>
        <v>271.00943999999993</v>
      </c>
      <c r="GB67" s="14">
        <f t="shared" si="49"/>
        <v>65.063451383023647</v>
      </c>
      <c r="GC67" s="22">
        <f t="shared" si="25"/>
        <v>585.32695249209939</v>
      </c>
      <c r="GD67" s="62">
        <f t="shared" si="26"/>
        <v>854.2934388631553</v>
      </c>
      <c r="GE67" s="62">
        <f ca="1">AVERAGE(OFFSET($GD$3,0,0,'Données projet'!$E$17+1,1))-AVERAGE(OFFSET($H$3,0,0,'Données projet'!$E$17+1,1))</f>
        <v>578.44111602076555</v>
      </c>
      <c r="GF67" s="62">
        <f t="shared" si="50"/>
        <v>368.08542661432784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>
        <f>EXP(-LN(2)/35)*GL66+(1-EXP(-LN(2)/35))/(LN(2)/35)*GH67*GI67*VLOOKUP('Données projet'!$B$17,Paramètres!$A$1:$I$89,3,0)*0.475*44/12</f>
        <v>0</v>
      </c>
      <c r="GM67" s="23">
        <f>EXP(-LN(2)/25)*GM66+(1-EXP(-LN(2)/25))/(LN(2)/25)*Calculateur!GH67*Calculateur!GJ67*VLOOKUP('Données projet'!$B$17,Paramètres!$A$1:$I$89,3,0)*0.475*44/12</f>
        <v>0</v>
      </c>
      <c r="GN67" s="23">
        <f>EXP(-LN(2)/2)*GN66+(1-EXP(-LN(2)/2))/(LN(2)/2)*GH67*GK67*VLOOKUP('Données projet'!$B$17,Paramètres!$A$1:$I$89,3,0)*0.475*44/12</f>
        <v>0</v>
      </c>
      <c r="GO67" s="23">
        <f t="shared" si="27"/>
        <v>0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63.354496283015251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4.0735000000000001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14.936166666666667</v>
      </c>
      <c r="H68" s="70">
        <f t="shared" ref="H68:H131" si="56">(B68+E68+F68)*44/12+(C68+D68)*0.475*44/12</f>
        <v>196.922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63.469780915384376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289</v>
      </c>
      <c r="L68" s="13">
        <f>VLOOKUP(A68,'Données projet'!$A$35:$I$55,9,0)</f>
        <v>8.8000000000000007</v>
      </c>
      <c r="M68" s="13">
        <f t="array" ref="M68">INDEX(L:L,MIN(IF(ISNUMBER(L68:L264),ROW(L68:L264),"")))</f>
        <v>8.8000000000000007</v>
      </c>
      <c r="N68" s="14">
        <f>IF('Données projet'!$A$36&gt;35,N67+M68-V67,IF(A68&lt;'Données projet'!$A$36,$K$205^A68,IF(A68='Données projet'!$A$36,'Données projet'!$B$36,N67+M68-V67)))</f>
        <v>288.99999999999989</v>
      </c>
      <c r="O68" s="14">
        <f>N68*VLOOKUP('Données projet'!$B$9,Paramètres!$A$1:$I$89,3,0)*VLOOKUP('Données projet'!$B$9,Paramètres!$A$1:$I$89,5,0)</f>
        <v>261.48719999999986</v>
      </c>
      <c r="P68" s="14">
        <f t="shared" si="33"/>
        <v>63.039283586802334</v>
      </c>
      <c r="Q68" s="22">
        <f t="shared" si="54"/>
        <v>565.21695891368051</v>
      </c>
      <c r="R68" s="62">
        <f t="shared" si="55"/>
        <v>834.6061556034233</v>
      </c>
      <c r="S68" s="62">
        <f ca="1">AVERAGE(OFFSET($R$3,0,0,'Données projet'!$E$9+1,1))-AVERAGE(OFFSET($H$3,0,0,'Données projet'!$E$9+1,1))</f>
        <v>546.11281471711925</v>
      </c>
      <c r="T68" s="62">
        <f t="shared" si="34"/>
        <v>348.18069831447099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63.469780915384376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398</v>
      </c>
      <c r="AG68" s="13">
        <f>VLOOKUP(A68,'Données projet'!$A$61:$I$81,9,0)</f>
        <v>12.4</v>
      </c>
      <c r="AH68" s="13">
        <f t="array" ref="AH68">INDEX(AG:AG,MIN(IF(ISNUMBER(AG68:AG264),ROW(AG68:AG264),"")))</f>
        <v>12.4</v>
      </c>
      <c r="AI68" s="14">
        <f>IF('Données projet'!$A$62&gt;35,AI67+AH68-AQ67,IF(A68&lt;'Données projet'!$A$62,$AF$205^A68,IF(A68='Données projet'!$A$62,'Données projet'!$B$62,AI67+AH68-AQ67)))</f>
        <v>397.99999999999994</v>
      </c>
      <c r="AJ68" s="14">
        <f>AI68*VLOOKUP('Données projet'!$B$10,Paramètres!$A$1:$I$89,3,0)*VLOOKUP('Données projet'!$B$10,Paramètres!$A$1:$I$89,5,0)</f>
        <v>341.48399999999998</v>
      </c>
      <c r="AK68" s="14">
        <f t="shared" si="35"/>
        <v>79.806472458430065</v>
      </c>
      <c r="AL68" s="22">
        <f t="shared" ref="AL68:AL131" si="58">(AJ68+AK68)*0.475*44/12</f>
        <v>733.74757286509896</v>
      </c>
      <c r="AM68" s="62">
        <f t="shared" ref="AM68:AM131" si="59">AL68+(AD68+AE68)*44/12</f>
        <v>1003.1367695548417</v>
      </c>
      <c r="AN68" s="62">
        <f ca="1">AVERAGE(OFFSET($AM$3,0,0,'Données projet'!$E$10+1,1))-AVERAGE(OFFSET($H$3,0,0,'Données projet'!$E$10+1,1))</f>
        <v>693.87994318348024</v>
      </c>
      <c r="AO68" s="62">
        <f t="shared" si="36"/>
        <v>327.71043739333641</v>
      </c>
      <c r="AP68" s="16">
        <f>IF(ISNA(VLOOKUP(A68,'Données projet'!$A$61:$I$81,3,0)),0,VLOOKUP(A68,'Données projet'!$A$61:$I$81,3,0))</f>
        <v>5</v>
      </c>
      <c r="AQ68" s="16">
        <f>IF(ISNA(VLOOKUP(A68,'Données projet'!$A$61:$I$81,4,0)),0,VLOOKUP(A68,'Données projet'!$A$61:$I$81,4,0))</f>
        <v>70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63.469780915384376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289</v>
      </c>
      <c r="BB68" s="13">
        <f>VLOOKUP(A68,'Données projet'!$A$87:$I$107,9,0)</f>
        <v>8.8000000000000007</v>
      </c>
      <c r="BC68" s="13">
        <f t="array" ref="BC68">INDEX(BB:BB,MIN(IF(ISNUMBER(BB68:BB264),ROW(BB68:BB264),"")))</f>
        <v>8.8000000000000007</v>
      </c>
      <c r="BD68" s="13">
        <f>IF('Données projet'!$A$88&gt;35,BD67+BC68-BL67,IF(A68&lt;'Données projet'!$A$88,$BA$205^A68,IF(A68='Données projet'!$A$88,'Données projet'!$B$88,BD67+BC68-BL67)))</f>
        <v>288.99999999999989</v>
      </c>
      <c r="BE68" s="14">
        <f>BD68*VLOOKUP('Données projet'!$B$11,Paramètres!$A$1:$I$89,3,0)*VLOOKUP('Données projet'!$B$11,Paramètres!$A$1:$I$89,5,0)</f>
        <v>243.45359999999991</v>
      </c>
      <c r="BF68" s="14">
        <f t="shared" si="37"/>
        <v>59.181970343065267</v>
      </c>
      <c r="BG68" s="22">
        <f t="shared" ref="BG68:BG131" si="61">(BE68+BF68)*0.475*44/12</f>
        <v>527.09028501417185</v>
      </c>
      <c r="BH68" s="62">
        <f t="shared" ref="BH68:BH131" si="62">BG68+(AY68+AZ68)*44/12</f>
        <v>796.47948170391464</v>
      </c>
      <c r="BI68" s="62">
        <f ca="1">AVERAGE(OFFSET($BH$3,0,0,'Données projet'!$E$11+1,1))-AVERAGE(OFFSET($H$3,0,0,'Données projet'!$E$11+1,1))</f>
        <v>513.7388209355762</v>
      </c>
      <c r="BJ68" s="62">
        <f t="shared" si="38"/>
        <v>328.24603121433927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63.469780915384376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356</v>
      </c>
      <c r="BW68" s="13">
        <f>VLOOKUP(A68,'Données projet'!$A$113:$I$133,9,0)</f>
        <v>6.1</v>
      </c>
      <c r="BX68" s="13">
        <f t="array" ref="BX68">INDEX(BW:BW,MIN(IF(ISNUMBER(BW68:BW264),ROW(BW68:BW264),"")))</f>
        <v>6.1</v>
      </c>
      <c r="BY68" s="13">
        <f>IF('Données projet'!$A$114&gt;35,BY67+BX68-CG67,IF(A68&lt;'Données projet'!$A$114,$BV$205^A68,IF(A68='Données projet'!$A$114,'Données projet'!$B$114,BY67+BX68-CG67)))</f>
        <v>356.00000000000034</v>
      </c>
      <c r="BZ68" s="14">
        <f>BY68*VLOOKUP('Données projet'!$B$12,Paramètres!$A$1:$I$89,3,0)*VLOOKUP('Données projet'!$B$12,Paramètres!$A$1:$I$89,5,0)</f>
        <v>283.23360000000025</v>
      </c>
      <c r="CA68" s="14">
        <f t="shared" si="39"/>
        <v>67.649904178362377</v>
      </c>
      <c r="CB68" s="22">
        <f t="shared" ref="CB68:CB131" si="64">(BZ68+CA68)*0.475*44/12</f>
        <v>611.12210311064825</v>
      </c>
      <c r="CC68" s="62">
        <f t="shared" ref="CC68:CC131" si="65">CB68+(BT68+BU68)*44/12</f>
        <v>880.51129980039104</v>
      </c>
      <c r="CD68" s="62">
        <f ca="1">AVERAGE(OFFSET($CC$3,0,0,'Données projet'!$E$12+1,1))-AVERAGE(OFFSET($H$3,0,0,'Données projet'!$E$12+1,1))</f>
        <v>447.25854887589878</v>
      </c>
      <c r="CE68" s="62">
        <f t="shared" si="40"/>
        <v>480.13390593590157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63.469780915384376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8.6666666666666661</v>
      </c>
      <c r="CT68" s="13">
        <f>IF('Données projet'!$A$140&gt;35,CT67+CS68-DB67,IF(A68&lt;'Données projet'!$A$140,$CQ$205^A68,IF(A68='Données projet'!$A$140,'Données projet'!$B$140,CT67+CS68-DB67)))</f>
        <v>293.33333333333337</v>
      </c>
      <c r="CU68" s="18">
        <f>CT68*VLOOKUP('Données projet'!$B$13,Paramètres!$A$1:$I$89,3,0)*VLOOKUP('Données projet'!$B$13,Paramètres!$A$1:$I$89,5,0)</f>
        <v>228.80000000000004</v>
      </c>
      <c r="CV68" s="14">
        <f t="shared" si="41"/>
        <v>56.023134533701196</v>
      </c>
      <c r="CW68" s="22">
        <f t="shared" ref="CW68:CW131" si="67">(CU68+CV68)*0.475*44/12</f>
        <v>496.06695931286299</v>
      </c>
      <c r="CX68" s="62">
        <f t="shared" ref="CX68:CX131" si="68">CW68+(CO68+CP68)*44/12</f>
        <v>765.45615600260567</v>
      </c>
      <c r="CY68" s="62">
        <f ca="1">AVERAGE(OFFSET($CX$3,0,0,'Données projet'!$E$13+1,1))-AVERAGE(OFFSET($H$3,0,0,'Données projet'!$E$13+1,1))</f>
        <v>308.52515801950324</v>
      </c>
      <c r="CZ68" s="62">
        <f t="shared" si="42"/>
        <v>299.05420638408953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63.469780915384376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356</v>
      </c>
      <c r="DM68" s="13">
        <f>VLOOKUP(A68,'Données projet'!$A$165:$I$185,9,0)</f>
        <v>6.1</v>
      </c>
      <c r="DN68" s="13">
        <f t="array" ref="DN68">INDEX(DM:DM,MIN(IF(ISNUMBER(DM68:DM264),ROW(DM68:DM264),"")))</f>
        <v>6.1</v>
      </c>
      <c r="DO68" s="13">
        <f>IF('Données projet'!$A$166&gt;35,DO67+DN68-DW67,IF(A68&lt;'Données projet'!$A$166,$DL$205^A68,IF(A68='Données projet'!$A$166,'Données projet'!$B$166,DO67+DN68-DW67)))</f>
        <v>356.00000000000034</v>
      </c>
      <c r="DP68" s="18">
        <f>DO68*VLOOKUP('Données projet'!$B$14,Paramètres!$A$1:$I$89,3,0)*VLOOKUP('Données projet'!$B$14,Paramètres!$A$1:$I$89,5,0)</f>
        <v>261.01920000000024</v>
      </c>
      <c r="DQ68" s="14">
        <f t="shared" si="43"/>
        <v>62.939580716713628</v>
      </c>
      <c r="DR68" s="22">
        <f t="shared" ref="DR68:DR131" si="70">(DP68+DQ68)*0.475*44/12</f>
        <v>564.22820974827664</v>
      </c>
      <c r="DS68" s="62">
        <f t="shared" ref="DS68:DS131" si="71">DR68+(DJ68+DK68)*44/12</f>
        <v>833.61740643801932</v>
      </c>
      <c r="DT68" s="62">
        <f ca="1">AVERAGE(OFFSET($DS$3,0,0,'Données projet'!$E$14+1,1))-AVERAGE(OFFSET($H$3,0,0,'Données projet'!$E$14+1,1))</f>
        <v>416.72317068678774</v>
      </c>
      <c r="DU68" s="62">
        <f t="shared" si="44"/>
        <v>447.32457429495537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63.469780915384376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>
        <f>VLOOKUP(A68,'Données projet'!$A$191:$I$211,2,0)</f>
        <v>228.84615384615384</v>
      </c>
      <c r="EH68" s="13">
        <f>VLOOKUP(A68,'Données projet'!$A$191:$I$211,9,0)</f>
        <v>5.2564102564102537</v>
      </c>
      <c r="EI68" s="13">
        <f t="array" ref="EI68">INDEX(EH:EH,MIN(IF(ISNUMBER(EH68:EH264),ROW(EH68:EH264),"")))</f>
        <v>5.2564102564102537</v>
      </c>
      <c r="EJ68" s="13">
        <f>IF('Données projet'!$A$192&gt;35,EJ67+EI68-ER67,IF(A68&lt;'Données projet'!$A$192,$EG$205^A68,IF(A68='Données projet'!$A$192,'Données projet'!$B$192,EJ67+EI68-ER67)))</f>
        <v>228.8461538461539</v>
      </c>
      <c r="EK68" s="18">
        <f>EJ68*VLOOKUP('Données projet'!$B$15,Paramètres!$A$1:$I$89,3,0)*VLOOKUP('Données projet'!$B$15,Paramètres!$A$1:$I$89,5,0)</f>
        <v>217.77000000000004</v>
      </c>
      <c r="EL68" s="14">
        <f t="shared" si="45"/>
        <v>53.629919224169953</v>
      </c>
      <c r="EM68" s="22">
        <f t="shared" ref="EM68:EM131" si="73">(EK68+EL68)*0.475*44/12</f>
        <v>472.68819264876271</v>
      </c>
      <c r="EN68" s="62">
        <f t="shared" ref="EN68:EN131" si="74">EM68+(EE68+EF68)*44/12</f>
        <v>742.07738933850544</v>
      </c>
      <c r="EO68" s="62">
        <f ca="1">AVERAGE(OFFSET($EN$3,0,0,'Données projet'!$E$15+1,1))-AVERAGE(OFFSET($H$3,0,0,'Données projet'!$E$15+1,1))</f>
        <v>454.78867027701426</v>
      </c>
      <c r="EP68" s="62">
        <f t="shared" si="46"/>
        <v>366.45346303927056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0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63.469780915384376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>
        <f>VLOOKUP(A68,'Données projet'!$A$217:$I$237,2,0)</f>
        <v>282.69230769230768</v>
      </c>
      <c r="FC68" s="13">
        <f>VLOOKUP(A68,'Données projet'!$A$217:$I$237,9,0)</f>
        <v>5.7692307692307683</v>
      </c>
      <c r="FD68" s="13">
        <f t="array" ref="FD68">INDEX(FC:FC,MIN(IF(ISNUMBER(FC68:FC264),ROW(FC68:FC264),"")))</f>
        <v>5.7692307692307683</v>
      </c>
      <c r="FE68" s="13">
        <f>IF('Données projet'!$A$218&gt;35,FE67+FD68-FM67,IF(A68&lt;'Données projet'!$A$218,$FB$205^A68,IF(A68='Données projet'!$A$218,'Données projet'!$B$218,FE67+FD68-FM67)))</f>
        <v>282.69230769230762</v>
      </c>
      <c r="FF68" s="18">
        <f>FE68*VLOOKUP('Données projet'!$B$16,Paramètres!$A$1:$I$89,3,0)*VLOOKUP('Données projet'!$B$16,Paramètres!$A$1:$I$89,5,0)</f>
        <v>189.62999999999997</v>
      </c>
      <c r="FG68" s="14">
        <f t="shared" si="47"/>
        <v>47.458141826690017</v>
      </c>
      <c r="FH68" s="22">
        <f t="shared" ref="FH68:FH131" si="76">(FF68+FG68)*0.475*44/12</f>
        <v>412.92851368148507</v>
      </c>
      <c r="FI68" s="62">
        <f t="shared" ref="FI68:FI131" si="77">FH68+(EZ68+FA68)*44/12</f>
        <v>682.3177103712278</v>
      </c>
      <c r="FJ68" s="62">
        <f ca="1">AVERAGE(OFFSET($FI$3,0,0,'Données projet'!$E$16+1,1))-AVERAGE(OFFSET($H$3,0,0,'Données projet'!$E$16+1,1))</f>
        <v>390.05579539539576</v>
      </c>
      <c r="FK68" s="62">
        <f t="shared" si="48"/>
        <v>323.72278615226139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projet'!$B$16,Paramètres!$A$1:$I$89,3,0)*0.475*44/12</f>
        <v>0</v>
      </c>
      <c r="FR68" s="23">
        <f>EXP(-LN(2)/25)*FR67+(1-EXP(-LN(2)/25))/(LN(2)/25)*Calculateur!FM68*Calculateur!FO68*VLOOKUP('Données projet'!$B$16,Paramètres!$A$1:$I$89,3,0)*0.475*44/12</f>
        <v>0</v>
      </c>
      <c r="FS68" s="23">
        <f>EXP(-LN(2)/2)*FS67+(1-EXP(-LN(2)/2))/(LN(2)/2)*FM68*FP68*VLOOKUP('Données projet'!$B$16,Paramètres!$A$1:$I$89,3,0)*0.475*44/12</f>
        <v>0</v>
      </c>
      <c r="FT68" s="24">
        <f t="shared" ref="FT68:FT131" si="78">SUM(FQ68:FS68)</f>
        <v>0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63.469780915384376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>
        <f>VLOOKUP(A68,'Données projet'!$A$243:$I$263,2,0)</f>
        <v>289</v>
      </c>
      <c r="FX68" s="13">
        <f>VLOOKUP(A68,'Données projet'!$A$243:$I$263,9,0)</f>
        <v>8.8000000000000007</v>
      </c>
      <c r="FY68" s="13">
        <f t="array" ref="FY68">INDEX(FX:FX,MIN(IF(ISNUMBER(FX68:FX264),ROW(FX68:FX264),"")))</f>
        <v>8.8000000000000007</v>
      </c>
      <c r="FZ68" s="13">
        <f>IF('Données projet'!$A$244&gt;35,FZ67+FY68-GH67,IF(A68&lt;'Données projet'!$A$244,$FW$205^A68,IF(A68='Données projet'!$A$244,'Données projet'!$B$244,FZ67+FY68-GH67)))</f>
        <v>288.99999999999989</v>
      </c>
      <c r="GA68" s="18">
        <f>FZ68*VLOOKUP('Données projet'!$B$17,Paramètres!$A$1:$I$89,3,0)*VLOOKUP('Données projet'!$B$17,Paramètres!$A$1:$I$89,5,0)</f>
        <v>279.52079999999989</v>
      </c>
      <c r="GB68" s="14">
        <f t="shared" si="49"/>
        <v>66.865730052421583</v>
      </c>
      <c r="GC68" s="22">
        <f t="shared" ref="GC68:GC131" si="79">(GA68+GB68)*0.475*44/12</f>
        <v>603.28987317463395</v>
      </c>
      <c r="GD68" s="62">
        <f t="shared" ref="GD68:GD131" si="80">GC68+(FU68+FV68)*44/12</f>
        <v>872.67906986437674</v>
      </c>
      <c r="GE68" s="62">
        <f ca="1">AVERAGE(OFFSET($GD$3,0,0,'Données projet'!$E$17+1,1))-AVERAGE(OFFSET($H$3,0,0,'Données projet'!$E$17+1,1))</f>
        <v>578.44111602076555</v>
      </c>
      <c r="GF68" s="62">
        <f t="shared" si="50"/>
        <v>368.08542661432784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>
        <f>EXP(-LN(2)/35)*GL67+(1-EXP(-LN(2)/35))/(LN(2)/35)*GH68*GI68*VLOOKUP('Données projet'!$B$17,Paramètres!$A$1:$I$89,3,0)*0.475*44/12</f>
        <v>0</v>
      </c>
      <c r="GM68" s="23">
        <f>EXP(-LN(2)/25)*GM67+(1-EXP(-LN(2)/25))/(LN(2)/25)*Calculateur!GH68*Calculateur!GJ68*VLOOKUP('Données projet'!$B$17,Paramètres!$A$1:$I$89,3,0)*0.475*44/12</f>
        <v>0</v>
      </c>
      <c r="GN68" s="23">
        <f>EXP(-LN(2)/2)*GN67+(1-EXP(-LN(2)/2))/(LN(2)/2)*GH68*GK68*VLOOKUP('Données projet'!$B$17,Paramètres!$A$1:$I$89,3,0)*0.475*44/12</f>
        <v>0</v>
      </c>
      <c r="GO68" s="23">
        <f t="shared" ref="GO68:GO131" si="81">SUM(GL68:GN68)</f>
        <v>0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63.469780915384376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4.0735000000000001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14.936166666666667</v>
      </c>
      <c r="H69" s="70">
        <f t="shared" si="56"/>
        <v>196.922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63.583065617119729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8.1999999999999993</v>
      </c>
      <c r="N69" s="14">
        <f>IF('Données projet'!$A$36&gt;35,N68+M69-V68,IF(A69&lt;'Données projet'!$A$36,$K$205^A69,IF(A69='Données projet'!$A$36,'Données projet'!$B$36,N68+M69-V68)))</f>
        <v>297.19999999999987</v>
      </c>
      <c r="O69" s="14">
        <f>N69*VLOOKUP('Données projet'!$B$9,Paramètres!$A$1:$I$89,3,0)*VLOOKUP('Données projet'!$B$9,Paramètres!$A$1:$I$89,5,0)</f>
        <v>268.9065599999999</v>
      </c>
      <c r="P69" s="14">
        <f t="shared" ref="P69:P132" si="87">EXP(-1.0587+0.8836*LN(O69)+0.284)</f>
        <v>64.617158945843769</v>
      </c>
      <c r="Q69" s="22">
        <f t="shared" si="54"/>
        <v>580.8871438306777</v>
      </c>
      <c r="R69" s="62">
        <f t="shared" si="55"/>
        <v>850.69171776011672</v>
      </c>
      <c r="S69" s="62">
        <f ca="1">AVERAGE(OFFSET($R$3,0,0,'Données projet'!$E$9+1,1))-AVERAGE(OFFSET($H$3,0,0,'Données projet'!$E$9+1,1))</f>
        <v>546.11281471711925</v>
      </c>
      <c r="T69" s="62">
        <f t="shared" ref="T69:T132" si="88">$T$3</f>
        <v>348.18069831447099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63.583065617119729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11.8</v>
      </c>
      <c r="AI69" s="14">
        <f>IF('Données projet'!$A$62&gt;35,AI68+AH69-AQ68,IF(A69&lt;'Données projet'!$A$62,$AF$205^A69,IF(A69='Données projet'!$A$62,'Données projet'!$B$62,AI68+AH69-AQ68)))</f>
        <v>339.79999999999995</v>
      </c>
      <c r="AJ69" s="14">
        <f>AI69*VLOOKUP('Données projet'!$B$10,Paramètres!$A$1:$I$89,3,0)*VLOOKUP('Données projet'!$B$10,Paramètres!$A$1:$I$89,5,0)</f>
        <v>291.54840000000002</v>
      </c>
      <c r="AK69" s="14">
        <f t="shared" ref="AK69:AK132" si="89">EXP(-1.0587+0.8836*LN(AJ69)+0.284)</f>
        <v>69.40174753959208</v>
      </c>
      <c r="AL69" s="22">
        <f t="shared" si="58"/>
        <v>628.65484029812285</v>
      </c>
      <c r="AM69" s="62">
        <f t="shared" si="59"/>
        <v>898.45941422756187</v>
      </c>
      <c r="AN69" s="62">
        <f ca="1">AVERAGE(OFFSET($AM$3,0,0,'Données projet'!$E$10+1,1))-AVERAGE(OFFSET($H$3,0,0,'Données projet'!$E$10+1,1))</f>
        <v>693.87994318348024</v>
      </c>
      <c r="AO69" s="62">
        <f t="shared" ref="AO69:AO132" si="90">$AO$3</f>
        <v>327.71043739333641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63.583065617119729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8.1999999999999993</v>
      </c>
      <c r="BD69" s="13">
        <f>IF('Données projet'!$A$88&gt;35,BD68+BC69-BL68,IF(A69&lt;'Données projet'!$A$88,$BA$205^A69,IF(A69='Données projet'!$A$88,'Données projet'!$B$88,BD68+BC69-BL68)))</f>
        <v>297.19999999999987</v>
      </c>
      <c r="BE69" s="14">
        <f>BD69*VLOOKUP('Données projet'!$B$11,Paramètres!$A$1:$I$89,3,0)*VLOOKUP('Données projet'!$B$11,Paramètres!$A$1:$I$89,5,0)</f>
        <v>250.36127999999991</v>
      </c>
      <c r="BF69" s="14">
        <f t="shared" ref="BF69:BF132" si="91">EXP(-1.0587+0.8836*LN(BE69)+0.284)</f>
        <v>60.663297023677963</v>
      </c>
      <c r="BG69" s="22">
        <f t="shared" si="61"/>
        <v>541.70113831623894</v>
      </c>
      <c r="BH69" s="62">
        <f t="shared" si="62"/>
        <v>811.50571224567796</v>
      </c>
      <c r="BI69" s="62">
        <f ca="1">AVERAGE(OFFSET($BH$3,0,0,'Données projet'!$E$11+1,1))-AVERAGE(OFFSET($H$3,0,0,'Données projet'!$E$11+1,1))</f>
        <v>513.7388209355762</v>
      </c>
      <c r="BJ69" s="62">
        <f t="shared" ref="BJ69:BJ132" si="92">$BJ$3</f>
        <v>328.24603121433927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63.583065617119729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5.1399999999999979</v>
      </c>
      <c r="BY69" s="13">
        <f>IF('Données projet'!$A$114&gt;35,BY68+BX69-CG68,IF(A69&lt;'Données projet'!$A$114,$BV$205^A69,IF(A69='Données projet'!$A$114,'Données projet'!$B$114,BY68+BX69-CG68)))</f>
        <v>361.14000000000033</v>
      </c>
      <c r="BZ69" s="14">
        <f>BY69*VLOOKUP('Données projet'!$B$12,Paramètres!$A$1:$I$89,3,0)*VLOOKUP('Données projet'!$B$12,Paramètres!$A$1:$I$89,5,0)</f>
        <v>287.32298400000025</v>
      </c>
      <c r="CA69" s="14">
        <f t="shared" ref="CA69:CA132" si="93">EXP(-1.0587+0.8836*LN(BZ69)+0.284)</f>
        <v>68.512232935024457</v>
      </c>
      <c r="CB69" s="22">
        <f t="shared" si="64"/>
        <v>619.74633616183473</v>
      </c>
      <c r="CC69" s="62">
        <f t="shared" si="65"/>
        <v>889.55091009127375</v>
      </c>
      <c r="CD69" s="62">
        <f ca="1">AVERAGE(OFFSET($CC$3,0,0,'Données projet'!$E$12+1,1))-AVERAGE(OFFSET($H$3,0,0,'Données projet'!$E$12+1,1))</f>
        <v>447.25854887589878</v>
      </c>
      <c r="CE69" s="62">
        <f t="shared" ref="CE69:CE132" si="94">$CE$3</f>
        <v>480.13390593590157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63.583065617119729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8.6666666666666661</v>
      </c>
      <c r="CT69" s="13">
        <f>IF('Données projet'!$A$140&gt;35,CT68+CS69-DB68,IF(A69&lt;'Données projet'!$A$140,$CQ$205^A69,IF(A69='Données projet'!$A$140,'Données projet'!$B$140,CT68+CS69-DB68)))</f>
        <v>302.00000000000006</v>
      </c>
      <c r="CU69" s="18">
        <f>CT69*VLOOKUP('Données projet'!$B$13,Paramètres!$A$1:$I$89,3,0)*VLOOKUP('Données projet'!$B$13,Paramètres!$A$1:$I$89,5,0)</f>
        <v>235.56000000000006</v>
      </c>
      <c r="CV69" s="14">
        <f t="shared" ref="CV69:CV132" si="95">EXP(-1.0587+0.8836*LN(CU69)+0.284)</f>
        <v>57.483207143847771</v>
      </c>
      <c r="CW69" s="22">
        <f t="shared" si="67"/>
        <v>510.38358577553487</v>
      </c>
      <c r="CX69" s="62">
        <f t="shared" si="68"/>
        <v>780.18815970497394</v>
      </c>
      <c r="CY69" s="62">
        <f ca="1">AVERAGE(OFFSET($CX$3,0,0,'Données projet'!$E$13+1,1))-AVERAGE(OFFSET($H$3,0,0,'Données projet'!$E$13+1,1))</f>
        <v>308.52515801950324</v>
      </c>
      <c r="CZ69" s="62">
        <f t="shared" ref="CZ69:CZ132" si="96">$CZ$3</f>
        <v>299.05420638408953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63.583065617119729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5.1399999999999979</v>
      </c>
      <c r="DO69" s="13">
        <f>IF('Données projet'!$A$166&gt;35,DO68+DN69-DW68,IF(A69&lt;'Données projet'!$A$166,$DL$205^A69,IF(A69='Données projet'!$A$166,'Données projet'!$B$166,DO68+DN69-DW68)))</f>
        <v>361.14000000000033</v>
      </c>
      <c r="DP69" s="18">
        <f>DO69*VLOOKUP('Données projet'!$B$14,Paramètres!$A$1:$I$89,3,0)*VLOOKUP('Données projet'!$B$14,Paramètres!$A$1:$I$89,5,0)</f>
        <v>264.78784800000022</v>
      </c>
      <c r="DQ69" s="14">
        <f t="shared" ref="DQ69:DQ132" si="97">EXP(-1.0587+0.8836*LN(DP69)+0.284)</f>
        <v>63.741867298542061</v>
      </c>
      <c r="DR69" s="22">
        <f t="shared" si="70"/>
        <v>572.18925414496107</v>
      </c>
      <c r="DS69" s="62">
        <f t="shared" si="71"/>
        <v>841.99382807440008</v>
      </c>
      <c r="DT69" s="62">
        <f ca="1">AVERAGE(OFFSET($DS$3,0,0,'Données projet'!$E$14+1,1))-AVERAGE(OFFSET($H$3,0,0,'Données projet'!$E$14+1,1))</f>
        <v>416.72317068678774</v>
      </c>
      <c r="DU69" s="62">
        <f t="shared" ref="DU69:DU132" si="98">$DU$3</f>
        <v>447.32457429495537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63.583065617119729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5</v>
      </c>
      <c r="EJ69" s="13">
        <f>IF('Données projet'!$A$192&gt;35,EJ68+EI69-ER68,IF(A69&lt;'Données projet'!$A$192,$EG$205^A69,IF(A69='Données projet'!$A$192,'Données projet'!$B$192,EJ68+EI69-ER68)))</f>
        <v>233.8461538461539</v>
      </c>
      <c r="EK69" s="18">
        <f>EJ69*VLOOKUP('Données projet'!$B$15,Paramètres!$A$1:$I$89,3,0)*VLOOKUP('Données projet'!$B$15,Paramètres!$A$1:$I$89,5,0)</f>
        <v>222.52800000000005</v>
      </c>
      <c r="EL69" s="14">
        <f t="shared" ref="EL69:EL132" si="99">EXP(-1.0587+0.8836*LN(EK69)+0.284)</f>
        <v>54.663968137001028</v>
      </c>
      <c r="EM69" s="22">
        <f t="shared" si="73"/>
        <v>482.77601117194354</v>
      </c>
      <c r="EN69" s="62">
        <f t="shared" si="74"/>
        <v>752.58058510138255</v>
      </c>
      <c r="EO69" s="62">
        <f ca="1">AVERAGE(OFFSET($EN$3,0,0,'Données projet'!$E$15+1,1))-AVERAGE(OFFSET($H$3,0,0,'Données projet'!$E$15+1,1))</f>
        <v>454.78867027701426</v>
      </c>
      <c r="EP69" s="62">
        <f t="shared" ref="EP69:EP132" si="100">$EP$3</f>
        <v>366.45346303927056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0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63.583065617119729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5.2564102564102537</v>
      </c>
      <c r="FE69" s="13">
        <f>IF('Données projet'!$A$218&gt;35,FE68+FD69-FM68,IF(A69&lt;'Données projet'!$A$218,$FB$205^A69,IF(A69='Données projet'!$A$218,'Données projet'!$B$218,FE68+FD69-FM68)))</f>
        <v>287.9487179487179</v>
      </c>
      <c r="FF69" s="18">
        <f>FE69*VLOOKUP('Données projet'!$B$16,Paramètres!$A$1:$I$89,3,0)*VLOOKUP('Données projet'!$B$16,Paramètres!$A$1:$I$89,5,0)</f>
        <v>193.15599999999998</v>
      </c>
      <c r="FG69" s="14">
        <f t="shared" ref="FG69:FG132" si="101">EXP(-1.0587+0.8836*LN(FF69)+0.284)</f>
        <v>48.237029240325811</v>
      </c>
      <c r="FH69" s="22">
        <f t="shared" si="76"/>
        <v>420.42619259356735</v>
      </c>
      <c r="FI69" s="62">
        <f t="shared" si="77"/>
        <v>690.23076652300642</v>
      </c>
      <c r="FJ69" s="62">
        <f ca="1">AVERAGE(OFFSET($FI$3,0,0,'Données projet'!$E$16+1,1))-AVERAGE(OFFSET($H$3,0,0,'Données projet'!$E$16+1,1))</f>
        <v>390.05579539539576</v>
      </c>
      <c r="FK69" s="62">
        <f t="shared" ref="FK69:FK132" si="102">$FK$3</f>
        <v>323.72278615226139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projet'!$B$16,Paramètres!$A$1:$I$89,3,0)*0.475*44/12</f>
        <v>0</v>
      </c>
      <c r="FR69" s="23">
        <f>EXP(-LN(2)/25)*FR68+(1-EXP(-LN(2)/25))/(LN(2)/25)*Calculateur!FM69*Calculateur!FO69*VLOOKUP('Données projet'!$B$16,Paramètres!$A$1:$I$89,3,0)*0.475*44/12</f>
        <v>0</v>
      </c>
      <c r="FS69" s="23">
        <f>EXP(-LN(2)/2)*FS68+(1-EXP(-LN(2)/2))/(LN(2)/2)*FM69*FP69*VLOOKUP('Données projet'!$B$16,Paramètres!$A$1:$I$89,3,0)*0.475*44/12</f>
        <v>0</v>
      </c>
      <c r="FT69" s="24">
        <f t="shared" si="78"/>
        <v>0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63.583065617119729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8.1999999999999993</v>
      </c>
      <c r="FZ69" s="13">
        <f>IF('Données projet'!$A$244&gt;35,FZ68+FY69-GH68,IF(A69&lt;'Données projet'!$A$244,$FW$205^A69,IF(A69='Données projet'!$A$244,'Données projet'!$B$244,FZ68+FY69-GH68)))</f>
        <v>297.19999999999987</v>
      </c>
      <c r="GA69" s="18">
        <f>FZ69*VLOOKUP('Données projet'!$B$17,Paramètres!$A$1:$I$89,3,0)*VLOOKUP('Données projet'!$B$17,Paramètres!$A$1:$I$89,5,0)</f>
        <v>287.45183999999989</v>
      </c>
      <c r="GB69" s="14">
        <f t="shared" ref="GB69:GB132" si="103">EXP(-1.0587+0.8836*LN(GA69)+0.284)</f>
        <v>68.539381493411568</v>
      </c>
      <c r="GC69" s="22">
        <f t="shared" si="79"/>
        <v>620.01804410102488</v>
      </c>
      <c r="GD69" s="62">
        <f t="shared" si="80"/>
        <v>889.8226180304639</v>
      </c>
      <c r="GE69" s="62">
        <f ca="1">AVERAGE(OFFSET($GD$3,0,0,'Données projet'!$E$17+1,1))-AVERAGE(OFFSET($H$3,0,0,'Données projet'!$E$17+1,1))</f>
        <v>578.44111602076555</v>
      </c>
      <c r="GF69" s="62">
        <f t="shared" ref="GF69:GF132" si="104">$GF$3</f>
        <v>368.08542661432784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>
        <f>EXP(-LN(2)/35)*GL68+(1-EXP(-LN(2)/35))/(LN(2)/35)*GH69*GI69*VLOOKUP('Données projet'!$B$17,Paramètres!$A$1:$I$89,3,0)*0.475*44/12</f>
        <v>0</v>
      </c>
      <c r="GM69" s="23">
        <f>EXP(-LN(2)/25)*GM68+(1-EXP(-LN(2)/25))/(LN(2)/25)*Calculateur!GH69*Calculateur!GJ69*VLOOKUP('Données projet'!$B$17,Paramètres!$A$1:$I$89,3,0)*0.475*44/12</f>
        <v>0</v>
      </c>
      <c r="GN69" s="23">
        <f>EXP(-LN(2)/2)*GN68+(1-EXP(-LN(2)/2))/(LN(2)/2)*GH69*GK69*VLOOKUP('Données projet'!$B$17,Paramètres!$A$1:$I$89,3,0)*0.475*44/12</f>
        <v>0</v>
      </c>
      <c r="GO69" s="23">
        <f t="shared" si="81"/>
        <v>0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63.583065617119729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4.0735000000000001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14.936166666666667</v>
      </c>
      <c r="H70" s="70">
        <f t="shared" si="56"/>
        <v>196.922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63.694385082546617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8.1999999999999993</v>
      </c>
      <c r="N70" s="14">
        <f>IF('Données projet'!$A$36&gt;35,N69+M70-V69,IF(A70&lt;'Données projet'!$A$36,$K$205^A70,IF(A70='Données projet'!$A$36,'Données projet'!$B$36,N69+M70-V69)))</f>
        <v>305.39999999999986</v>
      </c>
      <c r="O70" s="14">
        <f>N70*VLOOKUP('Données projet'!$B$9,Paramètres!$A$1:$I$89,3,0)*VLOOKUP('Données projet'!$B$9,Paramètres!$A$1:$I$89,5,0)</f>
        <v>276.32591999999988</v>
      </c>
      <c r="P70" s="14">
        <f t="shared" si="87"/>
        <v>66.189974290480777</v>
      </c>
      <c r="Q70" s="22">
        <f t="shared" si="54"/>
        <v>596.54851588925385</v>
      </c>
      <c r="R70" s="62">
        <f t="shared" si="55"/>
        <v>866.76126119192486</v>
      </c>
      <c r="S70" s="62">
        <f ca="1">AVERAGE(OFFSET($R$3,0,0,'Données projet'!$E$9+1,1))-AVERAGE(OFFSET($H$3,0,0,'Données projet'!$E$9+1,1))</f>
        <v>546.11281471711925</v>
      </c>
      <c r="T70" s="62">
        <f t="shared" si="88"/>
        <v>348.18069831447099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63.694385082546617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11.8</v>
      </c>
      <c r="AI70" s="14">
        <f>IF('Données projet'!$A$62&gt;35,AI69+AH70-AQ69,IF(A70&lt;'Données projet'!$A$62,$AF$205^A70,IF(A70='Données projet'!$A$62,'Données projet'!$B$62,AI69+AH70-AQ69)))</f>
        <v>351.59999999999997</v>
      </c>
      <c r="AJ70" s="14">
        <f>AI70*VLOOKUP('Données projet'!$B$10,Paramètres!$A$1:$I$89,3,0)*VLOOKUP('Données projet'!$B$10,Paramètres!$A$1:$I$89,5,0)</f>
        <v>301.6728</v>
      </c>
      <c r="AK70" s="14">
        <f t="shared" si="89"/>
        <v>71.527033039285058</v>
      </c>
      <c r="AL70" s="22">
        <f t="shared" si="58"/>
        <v>649.98970921008811</v>
      </c>
      <c r="AM70" s="62">
        <f t="shared" si="59"/>
        <v>920.202454512759</v>
      </c>
      <c r="AN70" s="62">
        <f ca="1">AVERAGE(OFFSET($AM$3,0,0,'Données projet'!$E$10+1,1))-AVERAGE(OFFSET($H$3,0,0,'Données projet'!$E$10+1,1))</f>
        <v>693.87994318348024</v>
      </c>
      <c r="AO70" s="62">
        <f t="shared" si="90"/>
        <v>327.71043739333641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63.694385082546617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8.1999999999999993</v>
      </c>
      <c r="BD70" s="13">
        <f>IF('Données projet'!$A$88&gt;35,BD69+BC70-BL69,IF(A70&lt;'Données projet'!$A$88,$BA$205^A70,IF(A70='Données projet'!$A$88,'Données projet'!$B$88,BD69+BC70-BL69)))</f>
        <v>305.39999999999986</v>
      </c>
      <c r="BE70" s="14">
        <f>BD70*VLOOKUP('Données projet'!$B$11,Paramètres!$A$1:$I$89,3,0)*VLOOKUP('Données projet'!$B$11,Paramètres!$A$1:$I$89,5,0)</f>
        <v>257.26895999999994</v>
      </c>
      <c r="BF70" s="14">
        <f t="shared" si="91"/>
        <v>62.139873307310033</v>
      </c>
      <c r="BG70" s="22">
        <f t="shared" si="61"/>
        <v>556.30371801023148</v>
      </c>
      <c r="BH70" s="62">
        <f t="shared" si="62"/>
        <v>826.51646331290249</v>
      </c>
      <c r="BI70" s="62">
        <f ca="1">AVERAGE(OFFSET($BH$3,0,0,'Données projet'!$E$11+1,1))-AVERAGE(OFFSET($H$3,0,0,'Données projet'!$E$11+1,1))</f>
        <v>513.7388209355762</v>
      </c>
      <c r="BJ70" s="62">
        <f t="shared" si="92"/>
        <v>328.24603121433927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63.694385082546617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5.1399999999999979</v>
      </c>
      <c r="BY70" s="13">
        <f>IF('Données projet'!$A$114&gt;35,BY69+BX70-CG69,IF(A70&lt;'Données projet'!$A$114,$BV$205^A70,IF(A70='Données projet'!$A$114,'Données projet'!$B$114,BY69+BX70-CG69)))</f>
        <v>366.28000000000031</v>
      </c>
      <c r="BZ70" s="14">
        <f>BY70*VLOOKUP('Données projet'!$B$12,Paramètres!$A$1:$I$89,3,0)*VLOOKUP('Données projet'!$B$12,Paramètres!$A$1:$I$89,5,0)</f>
        <v>291.41236800000024</v>
      </c>
      <c r="CA70" s="14">
        <f t="shared" si="93"/>
        <v>69.373134214476664</v>
      </c>
      <c r="CB70" s="22">
        <f t="shared" si="64"/>
        <v>628.36808302354723</v>
      </c>
      <c r="CC70" s="62">
        <f t="shared" si="65"/>
        <v>898.58082832621812</v>
      </c>
      <c r="CD70" s="62">
        <f ca="1">AVERAGE(OFFSET($CC$3,0,0,'Données projet'!$E$12+1,1))-AVERAGE(OFFSET($H$3,0,0,'Données projet'!$E$12+1,1))</f>
        <v>447.25854887589878</v>
      </c>
      <c r="CE70" s="62">
        <f t="shared" si="94"/>
        <v>480.13390593590157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63.694385082546617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8.6666666666666661</v>
      </c>
      <c r="CT70" s="13">
        <f>IF('Données projet'!$A$140&gt;35,CT69+CS70-DB69,IF(A70&lt;'Données projet'!$A$140,$CQ$205^A70,IF(A70='Données projet'!$A$140,'Données projet'!$B$140,CT69+CS70-DB69)))</f>
        <v>310.66666666666674</v>
      </c>
      <c r="CU70" s="18">
        <f>CT70*VLOOKUP('Données projet'!$B$13,Paramètres!$A$1:$I$89,3,0)*VLOOKUP('Données projet'!$B$13,Paramètres!$A$1:$I$89,5,0)</f>
        <v>242.32000000000008</v>
      </c>
      <c r="CV70" s="14">
        <f t="shared" si="95"/>
        <v>58.938409961900909</v>
      </c>
      <c r="CW70" s="22">
        <f t="shared" si="67"/>
        <v>524.69173068364421</v>
      </c>
      <c r="CX70" s="62">
        <f t="shared" si="68"/>
        <v>794.90447598631522</v>
      </c>
      <c r="CY70" s="62">
        <f ca="1">AVERAGE(OFFSET($CX$3,0,0,'Données projet'!$E$13+1,1))-AVERAGE(OFFSET($H$3,0,0,'Données projet'!$E$13+1,1))</f>
        <v>308.52515801950324</v>
      </c>
      <c r="CZ70" s="62">
        <f t="shared" si="96"/>
        <v>299.05420638408953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63.694385082546617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5.1399999999999979</v>
      </c>
      <c r="DO70" s="13">
        <f>IF('Données projet'!$A$166&gt;35,DO69+DN70-DW69,IF(A70&lt;'Données projet'!$A$166,$DL$205^A70,IF(A70='Données projet'!$A$166,'Données projet'!$B$166,DO69+DN70-DW69)))</f>
        <v>366.28000000000031</v>
      </c>
      <c r="DP70" s="18">
        <f>DO70*VLOOKUP('Données projet'!$B$14,Paramètres!$A$1:$I$89,3,0)*VLOOKUP('Données projet'!$B$14,Paramètres!$A$1:$I$89,5,0)</f>
        <v>268.55649600000021</v>
      </c>
      <c r="DQ70" s="14">
        <f t="shared" si="97"/>
        <v>64.542825795457887</v>
      </c>
      <c r="DR70" s="22">
        <f t="shared" si="70"/>
        <v>580.14798546042277</v>
      </c>
      <c r="DS70" s="62">
        <f t="shared" si="71"/>
        <v>850.36073076309367</v>
      </c>
      <c r="DT70" s="62">
        <f ca="1">AVERAGE(OFFSET($DS$3,0,0,'Données projet'!$E$14+1,1))-AVERAGE(OFFSET($H$3,0,0,'Données projet'!$E$14+1,1))</f>
        <v>416.72317068678774</v>
      </c>
      <c r="DU70" s="62">
        <f t="shared" si="98"/>
        <v>447.32457429495537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63.694385082546617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5</v>
      </c>
      <c r="EJ70" s="13">
        <f>IF('Données projet'!$A$192&gt;35,EJ69+EI70-ER69,IF(A70&lt;'Données projet'!$A$192,$EG$205^A70,IF(A70='Données projet'!$A$192,'Données projet'!$B$192,EJ69+EI70-ER69)))</f>
        <v>238.8461538461539</v>
      </c>
      <c r="EK70" s="18">
        <f>EJ70*VLOOKUP('Données projet'!$B$15,Paramètres!$A$1:$I$89,3,0)*VLOOKUP('Données projet'!$B$15,Paramètres!$A$1:$I$89,5,0)</f>
        <v>227.28600000000003</v>
      </c>
      <c r="EL70" s="14">
        <f t="shared" si="99"/>
        <v>55.695446485441053</v>
      </c>
      <c r="EM70" s="22">
        <f t="shared" si="73"/>
        <v>492.85935262880986</v>
      </c>
      <c r="EN70" s="62">
        <f t="shared" si="74"/>
        <v>763.07209793148081</v>
      </c>
      <c r="EO70" s="62">
        <f ca="1">AVERAGE(OFFSET($EN$3,0,0,'Données projet'!$E$15+1,1))-AVERAGE(OFFSET($H$3,0,0,'Données projet'!$E$15+1,1))</f>
        <v>454.78867027701426</v>
      </c>
      <c r="EP70" s="62">
        <f t="shared" si="100"/>
        <v>366.45346303927056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0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63.694385082546617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5.2564102564102537</v>
      </c>
      <c r="FE70" s="13">
        <f>IF('Données projet'!$A$218&gt;35,FE69+FD70-FM69,IF(A70&lt;'Données projet'!$A$218,$FB$205^A70,IF(A70='Données projet'!$A$218,'Données projet'!$B$218,FE69+FD70-FM69)))</f>
        <v>293.20512820512818</v>
      </c>
      <c r="FF70" s="18">
        <f>FE70*VLOOKUP('Données projet'!$B$16,Paramètres!$A$1:$I$89,3,0)*VLOOKUP('Données projet'!$B$16,Paramètres!$A$1:$I$89,5,0)</f>
        <v>196.68199999999999</v>
      </c>
      <c r="FG70" s="14">
        <f t="shared" si="101"/>
        <v>49.014263299588542</v>
      </c>
      <c r="FH70" s="22">
        <f t="shared" si="76"/>
        <v>427.92099191345005</v>
      </c>
      <c r="FI70" s="62">
        <f t="shared" si="77"/>
        <v>698.13373721612106</v>
      </c>
      <c r="FJ70" s="62">
        <f ca="1">AVERAGE(OFFSET($FI$3,0,0,'Données projet'!$E$16+1,1))-AVERAGE(OFFSET($H$3,0,0,'Données projet'!$E$16+1,1))</f>
        <v>390.05579539539576</v>
      </c>
      <c r="FK70" s="62">
        <f t="shared" si="102"/>
        <v>323.72278615226139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projet'!$B$16,Paramètres!$A$1:$I$89,3,0)*0.475*44/12</f>
        <v>0</v>
      </c>
      <c r="FR70" s="23">
        <f>EXP(-LN(2)/25)*FR69+(1-EXP(-LN(2)/25))/(LN(2)/25)*Calculateur!FM70*Calculateur!FO70*VLOOKUP('Données projet'!$B$16,Paramètres!$A$1:$I$89,3,0)*0.475*44/12</f>
        <v>0</v>
      </c>
      <c r="FS70" s="23">
        <f>EXP(-LN(2)/2)*FS69+(1-EXP(-LN(2)/2))/(LN(2)/2)*FM70*FP70*VLOOKUP('Données projet'!$B$16,Paramètres!$A$1:$I$89,3,0)*0.475*44/12</f>
        <v>0</v>
      </c>
      <c r="FT70" s="24">
        <f t="shared" si="78"/>
        <v>0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63.694385082546617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8.1999999999999993</v>
      </c>
      <c r="FZ70" s="13">
        <f>IF('Données projet'!$A$244&gt;35,FZ69+FY70-GH69,IF(A70&lt;'Données projet'!$A$244,$FW$205^A70,IF(A70='Données projet'!$A$244,'Données projet'!$B$244,FZ69+FY70-GH69)))</f>
        <v>305.39999999999986</v>
      </c>
      <c r="GA70" s="18">
        <f>FZ70*VLOOKUP('Données projet'!$B$17,Paramètres!$A$1:$I$89,3,0)*VLOOKUP('Données projet'!$B$17,Paramètres!$A$1:$I$89,5,0)</f>
        <v>295.38287999999989</v>
      </c>
      <c r="GB70" s="14">
        <f t="shared" si="103"/>
        <v>70.207665780176825</v>
      </c>
      <c r="GC70" s="22">
        <f t="shared" si="79"/>
        <v>636.73686723380786</v>
      </c>
      <c r="GD70" s="62">
        <f t="shared" si="80"/>
        <v>906.94961253647875</v>
      </c>
      <c r="GE70" s="62">
        <f ca="1">AVERAGE(OFFSET($GD$3,0,0,'Données projet'!$E$17+1,1))-AVERAGE(OFFSET($H$3,0,0,'Données projet'!$E$17+1,1))</f>
        <v>578.44111602076555</v>
      </c>
      <c r="GF70" s="62">
        <f t="shared" si="104"/>
        <v>368.08542661432784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>
        <f>EXP(-LN(2)/35)*GL69+(1-EXP(-LN(2)/35))/(LN(2)/35)*GH70*GI70*VLOOKUP('Données projet'!$B$17,Paramètres!$A$1:$I$89,3,0)*0.475*44/12</f>
        <v>0</v>
      </c>
      <c r="GM70" s="23">
        <f>EXP(-LN(2)/25)*GM69+(1-EXP(-LN(2)/25))/(LN(2)/25)*Calculateur!GH70*Calculateur!GJ70*VLOOKUP('Données projet'!$B$17,Paramètres!$A$1:$I$89,3,0)*0.475*44/12</f>
        <v>0</v>
      </c>
      <c r="GN70" s="23">
        <f>EXP(-LN(2)/2)*GN69+(1-EXP(-LN(2)/2))/(LN(2)/2)*GH70*GK70*VLOOKUP('Données projet'!$B$17,Paramètres!$A$1:$I$89,3,0)*0.475*44/12</f>
        <v>0</v>
      </c>
      <c r="GO70" s="23">
        <f t="shared" si="81"/>
        <v>0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63.694385082546617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4.0735000000000001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14.936166666666667</v>
      </c>
      <c r="H71" s="70">
        <f t="shared" si="56"/>
        <v>196.922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63.803773404121401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8.1999999999999993</v>
      </c>
      <c r="N71" s="14">
        <f>IF('Données projet'!$A$36&gt;35,N70+M71-V70,IF(A71&lt;'Données projet'!$A$36,$K$205^A71,IF(A71='Données projet'!$A$36,'Données projet'!$B$36,N70+M71-V70)))</f>
        <v>313.59999999999985</v>
      </c>
      <c r="O71" s="14">
        <f>N71*VLOOKUP('Données projet'!$B$9,Paramètres!$A$1:$I$89,3,0)*VLOOKUP('Données projet'!$B$9,Paramètres!$A$1:$I$89,5,0)</f>
        <v>283.74527999999987</v>
      </c>
      <c r="P71" s="14">
        <f t="shared" si="87"/>
        <v>67.757881096630001</v>
      </c>
      <c r="Q71" s="22">
        <f t="shared" si="54"/>
        <v>612.20133890996374</v>
      </c>
      <c r="R71" s="62">
        <f t="shared" si="55"/>
        <v>882.81517472507562</v>
      </c>
      <c r="S71" s="62">
        <f ca="1">AVERAGE(OFFSET($R$3,0,0,'Données projet'!$E$9+1,1))-AVERAGE(OFFSET($H$3,0,0,'Données projet'!$E$9+1,1))</f>
        <v>546.11281471711925</v>
      </c>
      <c r="T71" s="62">
        <f t="shared" si="88"/>
        <v>348.18069831447099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63.803773404121401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11.8</v>
      </c>
      <c r="AI71" s="14">
        <f>IF('Données projet'!$A$62&gt;35,AI70+AH71-AQ70,IF(A71&lt;'Données projet'!$A$62,$AF$205^A71,IF(A71='Données projet'!$A$62,'Données projet'!$B$62,AI70+AH71-AQ70)))</f>
        <v>363.4</v>
      </c>
      <c r="AJ71" s="14">
        <f>AI71*VLOOKUP('Données projet'!$B$10,Paramètres!$A$1:$I$89,3,0)*VLOOKUP('Données projet'!$B$10,Paramètres!$A$1:$I$89,5,0)</f>
        <v>311.79720000000003</v>
      </c>
      <c r="AK71" s="14">
        <f t="shared" si="89"/>
        <v>73.644030695714719</v>
      </c>
      <c r="AL71" s="22">
        <f t="shared" si="58"/>
        <v>671.31014346170321</v>
      </c>
      <c r="AM71" s="62">
        <f t="shared" si="59"/>
        <v>941.92397927681509</v>
      </c>
      <c r="AN71" s="62">
        <f ca="1">AVERAGE(OFFSET($AM$3,0,0,'Données projet'!$E$10+1,1))-AVERAGE(OFFSET($H$3,0,0,'Données projet'!$E$10+1,1))</f>
        <v>693.87994318348024</v>
      </c>
      <c r="AO71" s="62">
        <f t="shared" si="90"/>
        <v>327.71043739333641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63.803773404121401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8.1999999999999993</v>
      </c>
      <c r="BD71" s="13">
        <f>IF('Données projet'!$A$88&gt;35,BD70+BC71-BL70,IF(A71&lt;'Données projet'!$A$88,$BA$205^A71,IF(A71='Données projet'!$A$88,'Données projet'!$B$88,BD70+BC71-BL70)))</f>
        <v>313.59999999999985</v>
      </c>
      <c r="BE71" s="14">
        <f>BD71*VLOOKUP('Données projet'!$B$11,Paramètres!$A$1:$I$89,3,0)*VLOOKUP('Données projet'!$B$11,Paramètres!$A$1:$I$89,5,0)</f>
        <v>264.17663999999991</v>
      </c>
      <c r="BF71" s="14">
        <f t="shared" si="91"/>
        <v>63.61184140121204</v>
      </c>
      <c r="BG71" s="22">
        <f t="shared" si="61"/>
        <v>570.89827177377742</v>
      </c>
      <c r="BH71" s="62">
        <f t="shared" si="62"/>
        <v>841.51210758888919</v>
      </c>
      <c r="BI71" s="62">
        <f ca="1">AVERAGE(OFFSET($BH$3,0,0,'Données projet'!$E$11+1,1))-AVERAGE(OFFSET($H$3,0,0,'Données projet'!$E$11+1,1))</f>
        <v>513.7388209355762</v>
      </c>
      <c r="BJ71" s="62">
        <f t="shared" si="92"/>
        <v>328.24603121433927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63.803773404121401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5.1399999999999979</v>
      </c>
      <c r="BY71" s="13">
        <f>IF('Données projet'!$A$114&gt;35,BY70+BX71-CG70,IF(A71&lt;'Données projet'!$A$114,$BV$205^A71,IF(A71='Données projet'!$A$114,'Données projet'!$B$114,BY70+BX71-CG70)))</f>
        <v>371.4200000000003</v>
      </c>
      <c r="BZ71" s="14">
        <f>BY71*VLOOKUP('Données projet'!$B$12,Paramètres!$A$1:$I$89,3,0)*VLOOKUP('Données projet'!$B$12,Paramètres!$A$1:$I$89,5,0)</f>
        <v>295.50175200000024</v>
      </c>
      <c r="CA71" s="14">
        <f t="shared" si="93"/>
        <v>70.232630363396638</v>
      </c>
      <c r="CB71" s="22">
        <f t="shared" si="64"/>
        <v>636.98738261624953</v>
      </c>
      <c r="CC71" s="62">
        <f t="shared" si="65"/>
        <v>907.6012184313613</v>
      </c>
      <c r="CD71" s="62">
        <f ca="1">AVERAGE(OFFSET($CC$3,0,0,'Données projet'!$E$12+1,1))-AVERAGE(OFFSET($H$3,0,0,'Données projet'!$E$12+1,1))</f>
        <v>447.25854887589878</v>
      </c>
      <c r="CE71" s="62">
        <f t="shared" si="94"/>
        <v>480.13390593590157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63.803773404121401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8.6666666666666661</v>
      </c>
      <c r="CT71" s="13">
        <f>IF('Données projet'!$A$140&gt;35,CT70+CS71-DB70,IF(A71&lt;'Données projet'!$A$140,$CQ$205^A71,IF(A71='Données projet'!$A$140,'Données projet'!$B$140,CT70+CS71-DB70)))</f>
        <v>319.33333333333343</v>
      </c>
      <c r="CU71" s="18">
        <f>CT71*VLOOKUP('Données projet'!$B$13,Paramètres!$A$1:$I$89,3,0)*VLOOKUP('Données projet'!$B$13,Paramètres!$A$1:$I$89,5,0)</f>
        <v>249.08000000000007</v>
      </c>
      <c r="CV71" s="14">
        <f t="shared" si="95"/>
        <v>60.388894447487807</v>
      </c>
      <c r="CW71" s="22">
        <f t="shared" si="67"/>
        <v>538.99165782937473</v>
      </c>
      <c r="CX71" s="62">
        <f t="shared" si="68"/>
        <v>809.60549364448661</v>
      </c>
      <c r="CY71" s="62">
        <f ca="1">AVERAGE(OFFSET($CX$3,0,0,'Données projet'!$E$13+1,1))-AVERAGE(OFFSET($H$3,0,0,'Données projet'!$E$13+1,1))</f>
        <v>308.52515801950324</v>
      </c>
      <c r="CZ71" s="62">
        <f t="shared" si="96"/>
        <v>299.05420638408953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63.803773404121401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5.1399999999999979</v>
      </c>
      <c r="DO71" s="13">
        <f>IF('Données projet'!$A$166&gt;35,DO70+DN71-DW70,IF(A71&lt;'Données projet'!$A$166,$DL$205^A71,IF(A71='Données projet'!$A$166,'Données projet'!$B$166,DO70+DN71-DW70)))</f>
        <v>371.4200000000003</v>
      </c>
      <c r="DP71" s="18">
        <f>DO71*VLOOKUP('Données projet'!$B$14,Paramètres!$A$1:$I$89,3,0)*VLOOKUP('Données projet'!$B$14,Paramètres!$A$1:$I$89,5,0)</f>
        <v>272.32514400000019</v>
      </c>
      <c r="DQ71" s="14">
        <f t="shared" si="97"/>
        <v>65.342476998185759</v>
      </c>
      <c r="DR71" s="22">
        <f t="shared" si="70"/>
        <v>588.10443990517388</v>
      </c>
      <c r="DS71" s="62">
        <f t="shared" si="71"/>
        <v>858.71827572028565</v>
      </c>
      <c r="DT71" s="62">
        <f ca="1">AVERAGE(OFFSET($DS$3,0,0,'Données projet'!$E$14+1,1))-AVERAGE(OFFSET($H$3,0,0,'Données projet'!$E$14+1,1))</f>
        <v>416.72317068678774</v>
      </c>
      <c r="DU71" s="62">
        <f t="shared" si="98"/>
        <v>447.32457429495537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63.803773404121401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5</v>
      </c>
      <c r="EJ71" s="13">
        <f>IF('Données projet'!$A$192&gt;35,EJ70+EI71-ER70,IF(A71&lt;'Données projet'!$A$192,$EG$205^A71,IF(A71='Données projet'!$A$192,'Données projet'!$B$192,EJ70+EI71-ER70)))</f>
        <v>243.8461538461539</v>
      </c>
      <c r="EK71" s="18">
        <f>EJ71*VLOOKUP('Données projet'!$B$15,Paramètres!$A$1:$I$89,3,0)*VLOOKUP('Données projet'!$B$15,Paramètres!$A$1:$I$89,5,0)</f>
        <v>232.04400000000004</v>
      </c>
      <c r="EL71" s="14">
        <f t="shared" si="99"/>
        <v>56.724414281075624</v>
      </c>
      <c r="EM71" s="22">
        <f t="shared" si="73"/>
        <v>502.93832153954008</v>
      </c>
      <c r="EN71" s="62">
        <f t="shared" si="74"/>
        <v>773.55215735465185</v>
      </c>
      <c r="EO71" s="62">
        <f ca="1">AVERAGE(OFFSET($EN$3,0,0,'Données projet'!$E$15+1,1))-AVERAGE(OFFSET($H$3,0,0,'Données projet'!$E$15+1,1))</f>
        <v>454.78867027701426</v>
      </c>
      <c r="EP71" s="62">
        <f t="shared" si="100"/>
        <v>366.45346303927056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0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63.803773404121401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5.2564102564102537</v>
      </c>
      <c r="FE71" s="13">
        <f>IF('Données projet'!$A$218&gt;35,FE70+FD71-FM70,IF(A71&lt;'Données projet'!$A$218,$FB$205^A71,IF(A71='Données projet'!$A$218,'Données projet'!$B$218,FE70+FD71-FM70)))</f>
        <v>298.46153846153845</v>
      </c>
      <c r="FF71" s="18">
        <f>FE71*VLOOKUP('Données projet'!$B$16,Paramètres!$A$1:$I$89,3,0)*VLOOKUP('Données projet'!$B$16,Paramètres!$A$1:$I$89,5,0)</f>
        <v>200.208</v>
      </c>
      <c r="FG71" s="14">
        <f t="shared" si="101"/>
        <v>49.789877064057393</v>
      </c>
      <c r="FH71" s="22">
        <f t="shared" si="76"/>
        <v>435.41296921989988</v>
      </c>
      <c r="FI71" s="62">
        <f t="shared" si="77"/>
        <v>706.02680503501165</v>
      </c>
      <c r="FJ71" s="62">
        <f ca="1">AVERAGE(OFFSET($FI$3,0,0,'Données projet'!$E$16+1,1))-AVERAGE(OFFSET($H$3,0,0,'Données projet'!$E$16+1,1))</f>
        <v>390.05579539539576</v>
      </c>
      <c r="FK71" s="62">
        <f t="shared" si="102"/>
        <v>323.72278615226139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projet'!$B$16,Paramètres!$A$1:$I$89,3,0)*0.475*44/12</f>
        <v>0</v>
      </c>
      <c r="FR71" s="23">
        <f>EXP(-LN(2)/25)*FR70+(1-EXP(-LN(2)/25))/(LN(2)/25)*Calculateur!FM71*Calculateur!FO71*VLOOKUP('Données projet'!$B$16,Paramètres!$A$1:$I$89,3,0)*0.475*44/12</f>
        <v>0</v>
      </c>
      <c r="FS71" s="23">
        <f>EXP(-LN(2)/2)*FS70+(1-EXP(-LN(2)/2))/(LN(2)/2)*FM71*FP71*VLOOKUP('Données projet'!$B$16,Paramètres!$A$1:$I$89,3,0)*0.475*44/12</f>
        <v>0</v>
      </c>
      <c r="FT71" s="24">
        <f t="shared" si="78"/>
        <v>0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63.803773404121401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8.1999999999999993</v>
      </c>
      <c r="FZ71" s="13">
        <f>IF('Données projet'!$A$244&gt;35,FZ70+FY71-GH70,IF(A71&lt;'Données projet'!$A$244,$FW$205^A71,IF(A71='Données projet'!$A$244,'Données projet'!$B$244,FZ70+FY71-GH70)))</f>
        <v>313.59999999999985</v>
      </c>
      <c r="GA71" s="18">
        <f>FZ71*VLOOKUP('Données projet'!$B$17,Paramètres!$A$1:$I$89,3,0)*VLOOKUP('Données projet'!$B$17,Paramètres!$A$1:$I$89,5,0)</f>
        <v>303.31391999999988</v>
      </c>
      <c r="GB71" s="14">
        <f t="shared" si="103"/>
        <v>71.870743583130803</v>
      </c>
      <c r="GC71" s="22">
        <f t="shared" si="79"/>
        <v>653.44662240728599</v>
      </c>
      <c r="GD71" s="62">
        <f t="shared" si="80"/>
        <v>924.06045822239776</v>
      </c>
      <c r="GE71" s="62">
        <f ca="1">AVERAGE(OFFSET($GD$3,0,0,'Données projet'!$E$17+1,1))-AVERAGE(OFFSET($H$3,0,0,'Données projet'!$E$17+1,1))</f>
        <v>578.44111602076555</v>
      </c>
      <c r="GF71" s="62">
        <f t="shared" si="104"/>
        <v>368.08542661432784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>
        <f>EXP(-LN(2)/35)*GL70+(1-EXP(-LN(2)/35))/(LN(2)/35)*GH71*GI71*VLOOKUP('Données projet'!$B$17,Paramètres!$A$1:$I$89,3,0)*0.475*44/12</f>
        <v>0</v>
      </c>
      <c r="GM71" s="23">
        <f>EXP(-LN(2)/25)*GM70+(1-EXP(-LN(2)/25))/(LN(2)/25)*Calculateur!GH71*Calculateur!GJ71*VLOOKUP('Données projet'!$B$17,Paramètres!$A$1:$I$89,3,0)*0.475*44/12</f>
        <v>0</v>
      </c>
      <c r="GN71" s="23">
        <f>EXP(-LN(2)/2)*GN70+(1-EXP(-LN(2)/2))/(LN(2)/2)*GH71*GK71*VLOOKUP('Données projet'!$B$17,Paramètres!$A$1:$I$89,3,0)*0.475*44/12</f>
        <v>0</v>
      </c>
      <c r="GO71" s="23">
        <f t="shared" si="81"/>
        <v>0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63.803773404121401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4.0735000000000001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14.936166666666667</v>
      </c>
      <c r="H72" s="70">
        <f t="shared" si="56"/>
        <v>196.922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63.91126408287252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8.1999999999999993</v>
      </c>
      <c r="N72" s="14">
        <f>IF('Données projet'!$A$36&gt;35,N71+M72-V71,IF(A72&lt;'Données projet'!$A$36,$K$205^A72,IF(A72='Données projet'!$A$36,'Données projet'!$B$36,N71+M72-V71)))</f>
        <v>321.79999999999984</v>
      </c>
      <c r="O72" s="14">
        <f>N72*VLOOKUP('Données projet'!$B$9,Paramètres!$A$1:$I$89,3,0)*VLOOKUP('Données projet'!$B$9,Paramètres!$A$1:$I$89,5,0)</f>
        <v>291.16463999999985</v>
      </c>
      <c r="P72" s="14">
        <f t="shared" si="87"/>
        <v>69.321022467464573</v>
      </c>
      <c r="Q72" s="22">
        <f t="shared" si="54"/>
        <v>627.84586213083389</v>
      </c>
      <c r="R72" s="62">
        <f t="shared" si="55"/>
        <v>898.85383043469983</v>
      </c>
      <c r="S72" s="62">
        <f ca="1">AVERAGE(OFFSET($R$3,0,0,'Données projet'!$E$9+1,1))-AVERAGE(OFFSET($H$3,0,0,'Données projet'!$E$9+1,1))</f>
        <v>546.11281471711925</v>
      </c>
      <c r="T72" s="62">
        <f t="shared" si="88"/>
        <v>348.18069831447099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63.91126408287252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11.8</v>
      </c>
      <c r="AI72" s="14">
        <f>IF('Données projet'!$A$62&gt;35,AI71+AH72-AQ71,IF(A72&lt;'Données projet'!$A$62,$AF$205^A72,IF(A72='Données projet'!$A$62,'Données projet'!$B$62,AI71+AH72-AQ71)))</f>
        <v>375.2</v>
      </c>
      <c r="AJ72" s="14">
        <f>AI72*VLOOKUP('Données projet'!$B$10,Paramètres!$A$1:$I$89,3,0)*VLOOKUP('Données projet'!$B$10,Paramètres!$A$1:$I$89,5,0)</f>
        <v>321.92160000000001</v>
      </c>
      <c r="AK72" s="14">
        <f t="shared" si="89"/>
        <v>75.753040489321577</v>
      </c>
      <c r="AL72" s="22">
        <f t="shared" si="58"/>
        <v>692.61666551890175</v>
      </c>
      <c r="AM72" s="62">
        <f t="shared" si="59"/>
        <v>963.62463382276769</v>
      </c>
      <c r="AN72" s="62">
        <f ca="1">AVERAGE(OFFSET($AM$3,0,0,'Données projet'!$E$10+1,1))-AVERAGE(OFFSET($H$3,0,0,'Données projet'!$E$10+1,1))</f>
        <v>693.87994318348024</v>
      </c>
      <c r="AO72" s="62">
        <f t="shared" si="90"/>
        <v>327.71043739333641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63.91126408287252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8.1999999999999993</v>
      </c>
      <c r="BD72" s="13">
        <f>IF('Données projet'!$A$88&gt;35,BD71+BC72-BL71,IF(A72&lt;'Données projet'!$A$88,$BA$205^A72,IF(A72='Données projet'!$A$88,'Données projet'!$B$88,BD71+BC72-BL71)))</f>
        <v>321.79999999999984</v>
      </c>
      <c r="BE72" s="14">
        <f>BD72*VLOOKUP('Données projet'!$B$11,Paramètres!$A$1:$I$89,3,0)*VLOOKUP('Données projet'!$B$11,Paramètres!$A$1:$I$89,5,0)</f>
        <v>271.08431999999993</v>
      </c>
      <c r="BF72" s="14">
        <f t="shared" si="91"/>
        <v>65.079335652211398</v>
      </c>
      <c r="BG72" s="22">
        <f t="shared" si="61"/>
        <v>585.48503359426809</v>
      </c>
      <c r="BH72" s="62">
        <f t="shared" si="62"/>
        <v>856.49300189813403</v>
      </c>
      <c r="BI72" s="62">
        <f ca="1">AVERAGE(OFFSET($BH$3,0,0,'Données projet'!$E$11+1,1))-AVERAGE(OFFSET($H$3,0,0,'Données projet'!$E$11+1,1))</f>
        <v>513.7388209355762</v>
      </c>
      <c r="BJ72" s="62">
        <f t="shared" si="92"/>
        <v>328.24603121433927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63.91126408287252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5.1399999999999979</v>
      </c>
      <c r="BY72" s="13">
        <f>IF('Données projet'!$A$114&gt;35,BY71+BX72-CG71,IF(A72&lt;'Données projet'!$A$114,$BV$205^A72,IF(A72='Données projet'!$A$114,'Données projet'!$B$114,BY71+BX72-CG71)))</f>
        <v>376.56000000000029</v>
      </c>
      <c r="BZ72" s="14">
        <f>BY72*VLOOKUP('Données projet'!$B$12,Paramètres!$A$1:$I$89,3,0)*VLOOKUP('Données projet'!$B$12,Paramètres!$A$1:$I$89,5,0)</f>
        <v>299.59113600000023</v>
      </c>
      <c r="CA72" s="14">
        <f t="shared" si="93"/>
        <v>71.090743074428403</v>
      </c>
      <c r="CB72" s="22">
        <f t="shared" si="64"/>
        <v>645.60427272129652</v>
      </c>
      <c r="CC72" s="62">
        <f t="shared" si="65"/>
        <v>916.61224102516235</v>
      </c>
      <c r="CD72" s="62">
        <f ca="1">AVERAGE(OFFSET($CC$3,0,0,'Données projet'!$E$12+1,1))-AVERAGE(OFFSET($H$3,0,0,'Données projet'!$E$12+1,1))</f>
        <v>447.25854887589878</v>
      </c>
      <c r="CE72" s="62">
        <f t="shared" si="94"/>
        <v>480.13390593590157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63.91126408287252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>
        <f>VLOOKUP(A72,'Données projet'!$A$139:$I$159,2,0)</f>
        <v>328</v>
      </c>
      <c r="CR72" s="13">
        <f>VLOOKUP(A72,'Données projet'!$A$139:$I$159,9,0)</f>
        <v>8.6666666666666661</v>
      </c>
      <c r="CS72" s="13">
        <f t="array" ref="CS72">INDEX(CR:CR,MIN(IF(ISNUMBER(CR72:CR268),ROW(CR72:CR268),"")))</f>
        <v>8.6666666666666661</v>
      </c>
      <c r="CT72" s="13">
        <f>IF('Données projet'!$A$140&gt;35,CT71+CS72-DB71,IF(A72&lt;'Données projet'!$A$140,$CQ$205^A72,IF(A72='Données projet'!$A$140,'Données projet'!$B$140,CT71+CS72-DB71)))</f>
        <v>328.00000000000011</v>
      </c>
      <c r="CU72" s="18">
        <f>CT72*VLOOKUP('Données projet'!$B$13,Paramètres!$A$1:$I$89,3,0)*VLOOKUP('Données projet'!$B$13,Paramètres!$A$1:$I$89,5,0)</f>
        <v>255.84000000000009</v>
      </c>
      <c r="CV72" s="14">
        <f t="shared" si="95"/>
        <v>61.834803371075836</v>
      </c>
      <c r="CW72" s="22">
        <f t="shared" si="67"/>
        <v>553.28361587129064</v>
      </c>
      <c r="CX72" s="62">
        <f t="shared" si="68"/>
        <v>824.29158417515646</v>
      </c>
      <c r="CY72" s="62">
        <f ca="1">AVERAGE(OFFSET($CX$3,0,0,'Données projet'!$E$13+1,1))-AVERAGE(OFFSET($H$3,0,0,'Données projet'!$E$13+1,1))</f>
        <v>308.52515801950324</v>
      </c>
      <c r="CZ72" s="62">
        <f t="shared" si="96"/>
        <v>299.05420638408953</v>
      </c>
      <c r="DA72" s="16">
        <f>IF(ISNA(VLOOKUP(A72,'Données projet'!$A$139:$I$159,3,0)),0,VLOOKUP(A72,'Données projet'!$A$139:$I$159,3,0))</f>
        <v>8</v>
      </c>
      <c r="DB72" s="16">
        <f>IF(ISNA(VLOOKUP(A72,'Données projet'!$A$139:$I$159,4,0)),0,VLOOKUP(A72,'Données projet'!$A$139:$I$159,4,0))</f>
        <v>328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63.91126408287252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5.1399999999999979</v>
      </c>
      <c r="DO72" s="13">
        <f>IF('Données projet'!$A$166&gt;35,DO71+DN72-DW71,IF(A72&lt;'Données projet'!$A$166,$DL$205^A72,IF(A72='Données projet'!$A$166,'Données projet'!$B$166,DO71+DN72-DW71)))</f>
        <v>376.56000000000029</v>
      </c>
      <c r="DP72" s="18">
        <f>DO72*VLOOKUP('Données projet'!$B$14,Paramètres!$A$1:$I$89,3,0)*VLOOKUP('Données projet'!$B$14,Paramètres!$A$1:$I$89,5,0)</f>
        <v>276.09379200000018</v>
      </c>
      <c r="DQ72" s="14">
        <f t="shared" si="97"/>
        <v>66.140841088955554</v>
      </c>
      <c r="DR72" s="22">
        <f t="shared" si="70"/>
        <v>596.0586526299312</v>
      </c>
      <c r="DS72" s="62">
        <f t="shared" si="71"/>
        <v>867.06662093379714</v>
      </c>
      <c r="DT72" s="62">
        <f ca="1">AVERAGE(OFFSET($DS$3,0,0,'Données projet'!$E$14+1,1))-AVERAGE(OFFSET($H$3,0,0,'Données projet'!$E$14+1,1))</f>
        <v>416.72317068678774</v>
      </c>
      <c r="DU72" s="62">
        <f t="shared" si="98"/>
        <v>447.32457429495537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63.91126408287252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5</v>
      </c>
      <c r="EJ72" s="13">
        <f>IF('Données projet'!$A$192&gt;35,EJ71+EI72-ER71,IF(A72&lt;'Données projet'!$A$192,$EG$205^A72,IF(A72='Données projet'!$A$192,'Données projet'!$B$192,EJ71+EI72-ER71)))</f>
        <v>248.8461538461539</v>
      </c>
      <c r="EK72" s="18">
        <f>EJ72*VLOOKUP('Données projet'!$B$15,Paramètres!$A$1:$I$89,3,0)*VLOOKUP('Données projet'!$B$15,Paramètres!$A$1:$I$89,5,0)</f>
        <v>236.80200000000008</v>
      </c>
      <c r="EL72" s="14">
        <f t="shared" si="99"/>
        <v>57.750928933772677</v>
      </c>
      <c r="EM72" s="22">
        <f t="shared" si="73"/>
        <v>513.01301789298748</v>
      </c>
      <c r="EN72" s="62">
        <f t="shared" si="74"/>
        <v>784.0209861968533</v>
      </c>
      <c r="EO72" s="62">
        <f ca="1">AVERAGE(OFFSET($EN$3,0,0,'Données projet'!$E$15+1,1))-AVERAGE(OFFSET($H$3,0,0,'Données projet'!$E$15+1,1))</f>
        <v>454.78867027701426</v>
      </c>
      <c r="EP72" s="62">
        <f t="shared" si="100"/>
        <v>366.45346303927056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0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63.91126408287252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5.2564102564102537</v>
      </c>
      <c r="FE72" s="13">
        <f>IF('Données projet'!$A$218&gt;35,FE71+FD72-FM71,IF(A72&lt;'Données projet'!$A$218,$FB$205^A72,IF(A72='Données projet'!$A$218,'Données projet'!$B$218,FE71+FD72-FM71)))</f>
        <v>303.71794871794873</v>
      </c>
      <c r="FF72" s="18">
        <f>FE72*VLOOKUP('Données projet'!$B$16,Paramètres!$A$1:$I$89,3,0)*VLOOKUP('Données projet'!$B$16,Paramètres!$A$1:$I$89,5,0)</f>
        <v>203.73400000000004</v>
      </c>
      <c r="FG72" s="14">
        <f t="shared" si="101"/>
        <v>50.563902362141633</v>
      </c>
      <c r="FH72" s="22">
        <f t="shared" si="76"/>
        <v>442.90217994739669</v>
      </c>
      <c r="FI72" s="62">
        <f t="shared" si="77"/>
        <v>713.91014825126263</v>
      </c>
      <c r="FJ72" s="62">
        <f ca="1">AVERAGE(OFFSET($FI$3,0,0,'Données projet'!$E$16+1,1))-AVERAGE(OFFSET($H$3,0,0,'Données projet'!$E$16+1,1))</f>
        <v>390.05579539539576</v>
      </c>
      <c r="FK72" s="62">
        <f t="shared" si="102"/>
        <v>323.72278615226139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projet'!$B$16,Paramètres!$A$1:$I$89,3,0)*0.475*44/12</f>
        <v>0</v>
      </c>
      <c r="FR72" s="23">
        <f>EXP(-LN(2)/25)*FR71+(1-EXP(-LN(2)/25))/(LN(2)/25)*Calculateur!FM72*Calculateur!FO72*VLOOKUP('Données projet'!$B$16,Paramètres!$A$1:$I$89,3,0)*0.475*44/12</f>
        <v>0</v>
      </c>
      <c r="FS72" s="23">
        <f>EXP(-LN(2)/2)*FS71+(1-EXP(-LN(2)/2))/(LN(2)/2)*FM72*FP72*VLOOKUP('Données projet'!$B$16,Paramètres!$A$1:$I$89,3,0)*0.475*44/12</f>
        <v>0</v>
      </c>
      <c r="FT72" s="24">
        <f t="shared" si="78"/>
        <v>0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63.91126408287252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8.1999999999999993</v>
      </c>
      <c r="FZ72" s="13">
        <f>IF('Données projet'!$A$244&gt;35,FZ71+FY72-GH71,IF(A72&lt;'Données projet'!$A$244,$FW$205^A72,IF(A72='Données projet'!$A$244,'Données projet'!$B$244,FZ71+FY72-GH71)))</f>
        <v>321.79999999999984</v>
      </c>
      <c r="GA72" s="18">
        <f>FZ72*VLOOKUP('Données projet'!$B$17,Paramètres!$A$1:$I$89,3,0)*VLOOKUP('Données projet'!$B$17,Paramètres!$A$1:$I$89,5,0)</f>
        <v>311.24495999999988</v>
      </c>
      <c r="GB72" s="14">
        <f t="shared" si="103"/>
        <v>73.528766691722723</v>
      </c>
      <c r="GC72" s="22">
        <f t="shared" si="79"/>
        <v>670.14757398808354</v>
      </c>
      <c r="GD72" s="62">
        <f t="shared" si="80"/>
        <v>941.15554229194936</v>
      </c>
      <c r="GE72" s="62">
        <f ca="1">AVERAGE(OFFSET($GD$3,0,0,'Données projet'!$E$17+1,1))-AVERAGE(OFFSET($H$3,0,0,'Données projet'!$E$17+1,1))</f>
        <v>578.44111602076555</v>
      </c>
      <c r="GF72" s="62">
        <f t="shared" si="104"/>
        <v>368.08542661432784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>
        <f>EXP(-LN(2)/35)*GL71+(1-EXP(-LN(2)/35))/(LN(2)/35)*GH72*GI72*VLOOKUP('Données projet'!$B$17,Paramètres!$A$1:$I$89,3,0)*0.475*44/12</f>
        <v>0</v>
      </c>
      <c r="GM72" s="23">
        <f>EXP(-LN(2)/25)*GM71+(1-EXP(-LN(2)/25))/(LN(2)/25)*Calculateur!GH72*Calculateur!GJ72*VLOOKUP('Données projet'!$B$17,Paramètres!$A$1:$I$89,3,0)*0.475*44/12</f>
        <v>0</v>
      </c>
      <c r="GN72" s="23">
        <f>EXP(-LN(2)/2)*GN71+(1-EXP(-LN(2)/2))/(LN(2)/2)*GH72*GK72*VLOOKUP('Données projet'!$B$17,Paramètres!$A$1:$I$89,3,0)*0.475*44/12</f>
        <v>0</v>
      </c>
      <c r="GO72" s="23">
        <f t="shared" si="81"/>
        <v>0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63.91126408287252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4.0735000000000001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14.936166666666667</v>
      </c>
      <c r="H73" s="70">
        <f t="shared" si="56"/>
        <v>196.922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64.016890038660449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330</v>
      </c>
      <c r="L73" s="13">
        <f>VLOOKUP(A73,'Données projet'!$A$35:$I$55,9,0)</f>
        <v>8.1999999999999993</v>
      </c>
      <c r="M73" s="13">
        <f t="array" ref="M73">INDEX(L:L,MIN(IF(ISNUMBER(L73:L269),ROW(L73:L269),"")))</f>
        <v>8.1999999999999993</v>
      </c>
      <c r="N73" s="14">
        <f>IF('Données projet'!$A$36&gt;35,N72+M73-V72,IF(A73&lt;'Données projet'!$A$36,$K$205^A73,IF(A73='Données projet'!$A$36,'Données projet'!$B$36,N72+M73-V72)))</f>
        <v>329.99999999999983</v>
      </c>
      <c r="O73" s="14">
        <f>N73*VLOOKUP('Données projet'!$B$9,Paramètres!$A$1:$I$89,3,0)*VLOOKUP('Données projet'!$B$9,Paramètres!$A$1:$I$89,5,0)</f>
        <v>298.58399999999983</v>
      </c>
      <c r="P73" s="14">
        <f t="shared" si="87"/>
        <v>70.879533797607607</v>
      </c>
      <c r="Q73" s="22">
        <f t="shared" si="54"/>
        <v>643.4823213641663</v>
      </c>
      <c r="R73" s="62">
        <f t="shared" si="55"/>
        <v>914.87758483925461</v>
      </c>
      <c r="S73" s="62">
        <f ca="1">AVERAGE(OFFSET($R$3,0,0,'Données projet'!$E$9+1,1))-AVERAGE(OFFSET($H$3,0,0,'Données projet'!$E$9+1,1))</f>
        <v>546.11281471711925</v>
      </c>
      <c r="T73" s="62">
        <f t="shared" si="88"/>
        <v>348.18069831447099</v>
      </c>
      <c r="U73" s="16">
        <f>IF(ISNA(VLOOKUP(A73,'Données projet'!$A$35:$I$55,3,0)),0,VLOOKUP(A73,'Données projet'!$A$35:$I$55,3,0))</f>
        <v>6</v>
      </c>
      <c r="V73" s="16">
        <f>IF(ISNA(VLOOKUP(A73,'Données projet'!$A$35:$I$55,4,0)),0,VLOOKUP(A73,'Données projet'!$A$35:$I$55,4,0))</f>
        <v>56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64.016890038660449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387</v>
      </c>
      <c r="AG73" s="13">
        <f>VLOOKUP(A73,'Données projet'!$A$61:$I$81,9,0)</f>
        <v>11.8</v>
      </c>
      <c r="AH73" s="13">
        <f t="array" ref="AH73">INDEX(AG:AG,MIN(IF(ISNUMBER(AG73:AG269),ROW(AG73:AG269),"")))</f>
        <v>11.8</v>
      </c>
      <c r="AI73" s="14">
        <f>IF('Données projet'!$A$62&gt;35,AI72+AH73-AQ72,IF(A73&lt;'Données projet'!$A$62,$AF$205^A73,IF(A73='Données projet'!$A$62,'Données projet'!$B$62,AI72+AH73-AQ72)))</f>
        <v>387</v>
      </c>
      <c r="AJ73" s="14">
        <f>AI73*VLOOKUP('Données projet'!$B$10,Paramètres!$A$1:$I$89,3,0)*VLOOKUP('Données projet'!$B$10,Paramètres!$A$1:$I$89,5,0)</f>
        <v>332.04600000000005</v>
      </c>
      <c r="AK73" s="14">
        <f t="shared" si="89"/>
        <v>77.854342460208699</v>
      </c>
      <c r="AL73" s="22">
        <f t="shared" si="58"/>
        <v>713.90976311819679</v>
      </c>
      <c r="AM73" s="62">
        <f t="shared" si="59"/>
        <v>985.30502659328511</v>
      </c>
      <c r="AN73" s="62">
        <f ca="1">AVERAGE(OFFSET($AM$3,0,0,'Données projet'!$E$10+1,1))-AVERAGE(OFFSET($H$3,0,0,'Données projet'!$E$10+1,1))</f>
        <v>693.87994318348024</v>
      </c>
      <c r="AO73" s="62">
        <f t="shared" si="90"/>
        <v>327.71043739333641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64.016890038660449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330</v>
      </c>
      <c r="BB73" s="13">
        <f>VLOOKUP(A73,'Données projet'!$A$87:$I$107,9,0)</f>
        <v>8.1999999999999993</v>
      </c>
      <c r="BC73" s="13">
        <f t="array" ref="BC73">INDEX(BB:BB,MIN(IF(ISNUMBER(BB73:BB269),ROW(BB73:BB269),"")))</f>
        <v>8.1999999999999993</v>
      </c>
      <c r="BD73" s="13">
        <f>IF('Données projet'!$A$88&gt;35,BD72+BC73-BL72,IF(A73&lt;'Données projet'!$A$88,$BA$205^A73,IF(A73='Données projet'!$A$88,'Données projet'!$B$88,BD72+BC73-BL72)))</f>
        <v>329.99999999999983</v>
      </c>
      <c r="BE73" s="14">
        <f>BD73*VLOOKUP('Données projet'!$B$11,Paramètres!$A$1:$I$89,3,0)*VLOOKUP('Données projet'!$B$11,Paramètres!$A$1:$I$89,5,0)</f>
        <v>277.9919999999999</v>
      </c>
      <c r="BF73" s="14">
        <f t="shared" si="91"/>
        <v>66.542483170264177</v>
      </c>
      <c r="BG73" s="22">
        <f t="shared" si="61"/>
        <v>600.06422485487667</v>
      </c>
      <c r="BH73" s="62">
        <f t="shared" si="62"/>
        <v>871.45948832996498</v>
      </c>
      <c r="BI73" s="62">
        <f ca="1">AVERAGE(OFFSET($BH$3,0,0,'Données projet'!$E$11+1,1))-AVERAGE(OFFSET($H$3,0,0,'Données projet'!$E$11+1,1))</f>
        <v>513.7388209355762</v>
      </c>
      <c r="BJ73" s="62">
        <f t="shared" si="92"/>
        <v>328.24603121433927</v>
      </c>
      <c r="BK73" s="16">
        <f>IF(ISNA(VLOOKUP(A73,'Données projet'!$A$87:$I$107,3,0)),0,VLOOKUP(A73,'Données projet'!$A$87:$I$107,3,0))</f>
        <v>6</v>
      </c>
      <c r="BL73" s="16">
        <f>IF(ISNA(VLOOKUP(A73,'Données projet'!$A$87:$I$107,4,0)),0,VLOOKUP(A73,'Données projet'!$A$87:$I$107,4,0))</f>
        <v>56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64.016890038660449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381.7</v>
      </c>
      <c r="BW73" s="13">
        <f>VLOOKUP(A73,'Données projet'!$A$113:$I$133,9,0)</f>
        <v>5.1399999999999979</v>
      </c>
      <c r="BX73" s="13">
        <f t="array" ref="BX73">INDEX(BW:BW,MIN(IF(ISNUMBER(BW73:BW269),ROW(BW73:BW269),"")))</f>
        <v>5.1399999999999979</v>
      </c>
      <c r="BY73" s="13">
        <f>IF('Données projet'!$A$114&gt;35,BY72+BX73-CG72,IF(A73&lt;'Données projet'!$A$114,$BV$205^A73,IF(A73='Données projet'!$A$114,'Données projet'!$B$114,BY72+BX73-CG72)))</f>
        <v>381.70000000000027</v>
      </c>
      <c r="BZ73" s="14">
        <f>BY73*VLOOKUP('Données projet'!$B$12,Paramètres!$A$1:$I$89,3,0)*VLOOKUP('Données projet'!$B$12,Paramètres!$A$1:$I$89,5,0)</f>
        <v>303.68052000000023</v>
      </c>
      <c r="CA73" s="14">
        <f t="shared" si="93"/>
        <v>71.947493413985271</v>
      </c>
      <c r="CB73" s="22">
        <f t="shared" si="64"/>
        <v>654.21879002935805</v>
      </c>
      <c r="CC73" s="62">
        <f t="shared" si="65"/>
        <v>925.61405350444636</v>
      </c>
      <c r="CD73" s="62">
        <f ca="1">AVERAGE(OFFSET($CC$3,0,0,'Données projet'!$E$12+1,1))-AVERAGE(OFFSET($H$3,0,0,'Données projet'!$E$12+1,1))</f>
        <v>447.25854887589878</v>
      </c>
      <c r="CE73" s="62">
        <f t="shared" si="94"/>
        <v>480.13390593590157</v>
      </c>
      <c r="CF73" s="16">
        <f>IF(ISNA(VLOOKUP(A73,'Données projet'!$A$113:$I$133,3,0)),0,VLOOKUP(A73,'Données projet'!$A$113:$I$133,3,0))</f>
        <v>6</v>
      </c>
      <c r="CG73" s="16">
        <f>IF(ISNA(VLOOKUP(A73,'Données projet'!$A$113:$I$133,4,0)),0,VLOOKUP(A73,'Données projet'!$A$113:$I$133,4,0))</f>
        <v>30.9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64.016890038660449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1.1368683772161603E-13</v>
      </c>
      <c r="CU73" s="18">
        <f>CT73*VLOOKUP('Données projet'!$B$13,Paramètres!$A$1:$I$89,3,0)*VLOOKUP('Données projet'!$B$13,Paramètres!$A$1:$I$89,5,0)</f>
        <v>8.8675733422860506E-14</v>
      </c>
      <c r="CV73" s="14">
        <f t="shared" si="95"/>
        <v>1.3509285393066301E-12</v>
      </c>
      <c r="CW73" s="22">
        <f t="shared" si="67"/>
        <v>2.5073107750038623E-12</v>
      </c>
      <c r="CX73" s="62">
        <f t="shared" si="68"/>
        <v>271.39526347509081</v>
      </c>
      <c r="CY73" s="62">
        <f ca="1">AVERAGE(OFFSET($CX$3,0,0,'Données projet'!$E$13+1,1))-AVERAGE(OFFSET($H$3,0,0,'Données projet'!$E$13+1,1))</f>
        <v>308.52515801950324</v>
      </c>
      <c r="CZ73" s="62">
        <f t="shared" si="96"/>
        <v>299.05420638408953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64.016890038660449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381.7</v>
      </c>
      <c r="DM73" s="13">
        <f>VLOOKUP(A73,'Données projet'!$A$165:$I$185,9,0)</f>
        <v>5.1399999999999979</v>
      </c>
      <c r="DN73" s="13">
        <f t="array" ref="DN73">INDEX(DM:DM,MIN(IF(ISNUMBER(DM73:DM269),ROW(DM73:DM269),"")))</f>
        <v>5.1399999999999979</v>
      </c>
      <c r="DO73" s="13">
        <f>IF('Données projet'!$A$166&gt;35,DO72+DN73-DW72,IF(A73&lt;'Données projet'!$A$166,$DL$205^A73,IF(A73='Données projet'!$A$166,'Données projet'!$B$166,DO72+DN73-DW72)))</f>
        <v>381.70000000000027</v>
      </c>
      <c r="DP73" s="18">
        <f>DO73*VLOOKUP('Données projet'!$B$14,Paramètres!$A$1:$I$89,3,0)*VLOOKUP('Données projet'!$B$14,Paramètres!$A$1:$I$89,5,0)</f>
        <v>279.86244000000016</v>
      </c>
      <c r="DQ73" s="14">
        <f t="shared" si="97"/>
        <v>66.93793766736961</v>
      </c>
      <c r="DR73" s="22">
        <f t="shared" si="70"/>
        <v>604.01065777066913</v>
      </c>
      <c r="DS73" s="62">
        <f t="shared" si="71"/>
        <v>875.40592124575744</v>
      </c>
      <c r="DT73" s="62">
        <f ca="1">AVERAGE(OFFSET($DS$3,0,0,'Données projet'!$E$14+1,1))-AVERAGE(OFFSET($H$3,0,0,'Données projet'!$E$14+1,1))</f>
        <v>416.72317068678774</v>
      </c>
      <c r="DU73" s="62">
        <f t="shared" si="98"/>
        <v>447.32457429495537</v>
      </c>
      <c r="DV73" s="16">
        <f>IF(ISNA(VLOOKUP(A73,'Données projet'!$A$165:$I$185,3,0)),0,VLOOKUP(A73,'Données projet'!$A$165:$I$185,3,0))</f>
        <v>6</v>
      </c>
      <c r="DW73" s="16">
        <f>IF(ISNA(VLOOKUP(A73,'Données projet'!$A$165:$I$185,4,0)),0,VLOOKUP(A73,'Données projet'!$A$165:$I$185,4,0))</f>
        <v>30.9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64.016890038660449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253.84615384615384</v>
      </c>
      <c r="EH73" s="13">
        <f>VLOOKUP(A73,'Données projet'!$A$191:$I$211,9,0)</f>
        <v>5</v>
      </c>
      <c r="EI73" s="13">
        <f t="array" ref="EI73">INDEX(EH:EH,MIN(IF(ISNUMBER(EH73:EH269),ROW(EH73:EH269),"")))</f>
        <v>5</v>
      </c>
      <c r="EJ73" s="13">
        <f>IF('Données projet'!$A$192&gt;35,EJ72+EI73-ER72,IF(A73&lt;'Données projet'!$A$192,$EG$205^A73,IF(A73='Données projet'!$A$192,'Données projet'!$B$192,EJ72+EI73-ER72)))</f>
        <v>253.8461538461539</v>
      </c>
      <c r="EK73" s="18">
        <f>EJ73*VLOOKUP('Données projet'!$B$15,Paramètres!$A$1:$I$89,3,0)*VLOOKUP('Données projet'!$B$15,Paramètres!$A$1:$I$89,5,0)</f>
        <v>241.56000000000003</v>
      </c>
      <c r="EL73" s="14">
        <f t="shared" si="99"/>
        <v>58.775045414448314</v>
      </c>
      <c r="EM73" s="22">
        <f t="shared" si="73"/>
        <v>523.08353743016426</v>
      </c>
      <c r="EN73" s="62">
        <f t="shared" si="74"/>
        <v>794.47880090525257</v>
      </c>
      <c r="EO73" s="62">
        <f ca="1">AVERAGE(OFFSET($EN$3,0,0,'Données projet'!$E$15+1,1))-AVERAGE(OFFSET($H$3,0,0,'Données projet'!$E$15+1,1))</f>
        <v>454.78867027701426</v>
      </c>
      <c r="EP73" s="62">
        <f t="shared" si="100"/>
        <v>366.45346303927056</v>
      </c>
      <c r="EQ73" s="16">
        <f>IF(ISNA(VLOOKUP(A73,'Données projet'!$A$191:$I$211,3,0)),0,VLOOKUP(A73,'Données projet'!$A$191:$I$211,3,0))</f>
        <v>6</v>
      </c>
      <c r="ER73" s="16">
        <f>IF(ISNA(VLOOKUP(A73,'Données projet'!$A$191:$I$211,4,0)),0,VLOOKUP(A73,'Données projet'!$A$191:$I$211,4,0))</f>
        <v>33.974358974358971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0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64.016890038660449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>
        <f>VLOOKUP(A73,'Données projet'!$A$217:$I$237,2,0)</f>
        <v>308.97435897435895</v>
      </c>
      <c r="FC73" s="13">
        <f>VLOOKUP(A73,'Données projet'!$A$217:$I$237,9,0)</f>
        <v>5.2564102564102537</v>
      </c>
      <c r="FD73" s="13">
        <f t="array" ref="FD73">INDEX(FC:FC,MIN(IF(ISNUMBER(FC73:FC269),ROW(FC73:FC269),"")))</f>
        <v>5.2564102564102537</v>
      </c>
      <c r="FE73" s="13">
        <f>IF('Données projet'!$A$218&gt;35,FE72+FD73-FM72,IF(A73&lt;'Données projet'!$A$218,$FB$205^A73,IF(A73='Données projet'!$A$218,'Données projet'!$B$218,FE72+FD73-FM72)))</f>
        <v>308.97435897435901</v>
      </c>
      <c r="FF73" s="18">
        <f>FE73*VLOOKUP('Données projet'!$B$16,Paramètres!$A$1:$I$89,3,0)*VLOOKUP('Données projet'!$B$16,Paramètres!$A$1:$I$89,5,0)</f>
        <v>207.26000000000002</v>
      </c>
      <c r="FG73" s="14">
        <f t="shared" si="101"/>
        <v>51.336369857430014</v>
      </c>
      <c r="FH73" s="22">
        <f t="shared" si="76"/>
        <v>450.38867750169061</v>
      </c>
      <c r="FI73" s="62">
        <f t="shared" si="77"/>
        <v>721.78394097677892</v>
      </c>
      <c r="FJ73" s="62">
        <f ca="1">AVERAGE(OFFSET($FI$3,0,0,'Données projet'!$E$16+1,1))-AVERAGE(OFFSET($H$3,0,0,'Données projet'!$E$16+1,1))</f>
        <v>390.05579539539576</v>
      </c>
      <c r="FK73" s="62">
        <f t="shared" si="102"/>
        <v>323.72278615226139</v>
      </c>
      <c r="FL73" s="16">
        <f>IF(ISNA(VLOOKUP(A73,'Données projet'!$A$217:$I$237,3,0)),0,VLOOKUP(A73,'Données projet'!$A$217:$I$237,3,0))</f>
        <v>6</v>
      </c>
      <c r="FM73" s="16">
        <f>IF(ISNA(VLOOKUP(A73,'Données projet'!$A$217:$I$237,4,0)),0,VLOOKUP(A73,'Données projet'!$A$217:$I$237,4,0))</f>
        <v>31.410256410256409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projet'!$B$16,Paramètres!$A$1:$I$89,3,0)*0.475*44/12</f>
        <v>0</v>
      </c>
      <c r="FR73" s="23">
        <f>EXP(-LN(2)/25)*FR72+(1-EXP(-LN(2)/25))/(LN(2)/25)*Calculateur!FM73*Calculateur!FO73*VLOOKUP('Données projet'!$B$16,Paramètres!$A$1:$I$89,3,0)*0.475*44/12</f>
        <v>0</v>
      </c>
      <c r="FS73" s="23">
        <f>EXP(-LN(2)/2)*FS72+(1-EXP(-LN(2)/2))/(LN(2)/2)*FM73*FP73*VLOOKUP('Données projet'!$B$16,Paramètres!$A$1:$I$89,3,0)*0.475*44/12</f>
        <v>0</v>
      </c>
      <c r="FT73" s="24">
        <f t="shared" si="78"/>
        <v>0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64.016890038660449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>
        <f>VLOOKUP(A73,'Données projet'!$A$243:$I$263,2,0)</f>
        <v>330</v>
      </c>
      <c r="FX73" s="13">
        <f>VLOOKUP(A73,'Données projet'!$A$243:$I$263,9,0)</f>
        <v>8.1999999999999993</v>
      </c>
      <c r="FY73" s="13">
        <f t="array" ref="FY73">INDEX(FX:FX,MIN(IF(ISNUMBER(FX73:FX269),ROW(FX73:FX269),"")))</f>
        <v>8.1999999999999993</v>
      </c>
      <c r="FZ73" s="13">
        <f>IF('Données projet'!$A$244&gt;35,FZ72+FY73-GH72,IF(A73&lt;'Données projet'!$A$244,$FW$205^A73,IF(A73='Données projet'!$A$244,'Données projet'!$B$244,FZ72+FY73-GH72)))</f>
        <v>329.99999999999983</v>
      </c>
      <c r="GA73" s="18">
        <f>FZ73*VLOOKUP('Données projet'!$B$17,Paramètres!$A$1:$I$89,3,0)*VLOOKUP('Données projet'!$B$17,Paramètres!$A$1:$I$89,5,0)</f>
        <v>319.17599999999982</v>
      </c>
      <c r="GB73" s="14">
        <f t="shared" si="103"/>
        <v>75.181878718947615</v>
      </c>
      <c r="GC73" s="22">
        <f t="shared" si="79"/>
        <v>686.8399721021666</v>
      </c>
      <c r="GD73" s="62">
        <f t="shared" si="80"/>
        <v>958.23523557725491</v>
      </c>
      <c r="GE73" s="62">
        <f ca="1">AVERAGE(OFFSET($GD$3,0,0,'Données projet'!$E$17+1,1))-AVERAGE(OFFSET($H$3,0,0,'Données projet'!$E$17+1,1))</f>
        <v>578.44111602076555</v>
      </c>
      <c r="GF73" s="62">
        <f t="shared" si="104"/>
        <v>368.08542661432784</v>
      </c>
      <c r="GG73" s="16">
        <f>IF(ISNA(VLOOKUP(A73,'Données projet'!$A$243:$I$263,3,0)),0,VLOOKUP(A73,'Données projet'!$A$243:$I$263,3,0))</f>
        <v>6</v>
      </c>
      <c r="GH73" s="16">
        <f>IF(ISNA(VLOOKUP(A73,'Données projet'!$A$243:$I$263,4,0)),0,VLOOKUP(A73,'Données projet'!$A$243:$I$263,4,0))</f>
        <v>56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>
        <f>EXP(-LN(2)/35)*GL72+(1-EXP(-LN(2)/35))/(LN(2)/35)*GH73*GI73*VLOOKUP('Données projet'!$B$17,Paramètres!$A$1:$I$89,3,0)*0.475*44/12</f>
        <v>0</v>
      </c>
      <c r="GM73" s="23">
        <f>EXP(-LN(2)/25)*GM72+(1-EXP(-LN(2)/25))/(LN(2)/25)*Calculateur!GH73*Calculateur!GJ73*VLOOKUP('Données projet'!$B$17,Paramètres!$A$1:$I$89,3,0)*0.475*44/12</f>
        <v>0</v>
      </c>
      <c r="GN73" s="23">
        <f>EXP(-LN(2)/2)*GN72+(1-EXP(-LN(2)/2))/(LN(2)/2)*GH73*GK73*VLOOKUP('Données projet'!$B$17,Paramètres!$A$1:$I$89,3,0)*0.475*44/12</f>
        <v>0</v>
      </c>
      <c r="GO73" s="23">
        <f t="shared" si="81"/>
        <v>0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64.016890038660449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4.0735000000000001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14.936166666666667</v>
      </c>
      <c r="H74" s="70">
        <f t="shared" si="56"/>
        <v>196.922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64.120683620259726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7.6</v>
      </c>
      <c r="N74" s="14">
        <f>IF('Données projet'!$A$36&gt;35,N73+M74-V73,IF(A74&lt;'Données projet'!$A$36,$K$205^A74,IF(A74='Données projet'!$A$36,'Données projet'!$B$36,N73+M74-V73)))</f>
        <v>281.59999999999985</v>
      </c>
      <c r="O74" s="14">
        <f>N74*VLOOKUP('Données projet'!$B$9,Paramètres!$A$1:$I$89,3,0)*VLOOKUP('Données projet'!$B$9,Paramètres!$A$1:$I$89,5,0)</f>
        <v>254.79167999999984</v>
      </c>
      <c r="P74" s="14">
        <f t="shared" si="87"/>
        <v>61.610870508448471</v>
      </c>
      <c r="Q74" s="22">
        <f t="shared" si="54"/>
        <v>551.06777546888077</v>
      </c>
      <c r="R74" s="62">
        <f t="shared" si="55"/>
        <v>822.84361540983309</v>
      </c>
      <c r="S74" s="62">
        <f ca="1">AVERAGE(OFFSET($R$3,0,0,'Données projet'!$E$9+1,1))-AVERAGE(OFFSET($H$3,0,0,'Données projet'!$E$9+1,1))</f>
        <v>546.11281471711925</v>
      </c>
      <c r="T74" s="62">
        <f t="shared" si="88"/>
        <v>348.18069831447099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64.120683620259726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11</v>
      </c>
      <c r="AI74" s="14">
        <f>IF('Données projet'!$A$62&gt;35,AI73+AH74-AQ73,IF(A74&lt;'Données projet'!$A$62,$AF$205^A74,IF(A74='Données projet'!$A$62,'Données projet'!$B$62,AI73+AH74-AQ73)))</f>
        <v>398</v>
      </c>
      <c r="AJ74" s="14">
        <f>AI74*VLOOKUP('Données projet'!$B$10,Paramètres!$A$1:$I$89,3,0)*VLOOKUP('Données projet'!$B$10,Paramètres!$A$1:$I$89,5,0)</f>
        <v>341.48400000000004</v>
      </c>
      <c r="AK74" s="14">
        <f t="shared" si="89"/>
        <v>79.806472458430065</v>
      </c>
      <c r="AL74" s="22">
        <f t="shared" si="58"/>
        <v>733.74757286509896</v>
      </c>
      <c r="AM74" s="62">
        <f t="shared" si="59"/>
        <v>1005.5234128060513</v>
      </c>
      <c r="AN74" s="62">
        <f ca="1">AVERAGE(OFFSET($AM$3,0,0,'Données projet'!$E$10+1,1))-AVERAGE(OFFSET($H$3,0,0,'Données projet'!$E$10+1,1))</f>
        <v>693.87994318348024</v>
      </c>
      <c r="AO74" s="62">
        <f t="shared" si="90"/>
        <v>327.71043739333641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64.120683620259726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7.6</v>
      </c>
      <c r="BD74" s="13">
        <f>IF('Données projet'!$A$88&gt;35,BD73+BC74-BL73,IF(A74&lt;'Données projet'!$A$88,$BA$205^A74,IF(A74='Données projet'!$A$88,'Données projet'!$B$88,BD73+BC74-BL73)))</f>
        <v>281.59999999999985</v>
      </c>
      <c r="BE74" s="14">
        <f>BD74*VLOOKUP('Données projet'!$B$11,Paramètres!$A$1:$I$89,3,0)*VLOOKUP('Données projet'!$B$11,Paramètres!$A$1:$I$89,5,0)</f>
        <v>237.21983999999992</v>
      </c>
      <c r="BF74" s="14">
        <f t="shared" si="91"/>
        <v>57.840960489671517</v>
      </c>
      <c r="BG74" s="22">
        <f t="shared" si="61"/>
        <v>513.89756085284444</v>
      </c>
      <c r="BH74" s="62">
        <f t="shared" si="62"/>
        <v>785.67340079379676</v>
      </c>
      <c r="BI74" s="62">
        <f ca="1">AVERAGE(OFFSET($BH$3,0,0,'Données projet'!$E$11+1,1))-AVERAGE(OFFSET($H$3,0,0,'Données projet'!$E$11+1,1))</f>
        <v>513.7388209355762</v>
      </c>
      <c r="BJ74" s="62">
        <f t="shared" si="92"/>
        <v>328.24603121433927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64.120683620259726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4.8600000000000021</v>
      </c>
      <c r="BY74" s="13">
        <f>IF('Données projet'!$A$114&gt;35,BY73+BX74-CG73,IF(A74&lt;'Données projet'!$A$114,$BV$205^A74,IF(A74='Données projet'!$A$114,'Données projet'!$B$114,BY73+BX74-CG73)))</f>
        <v>355.66000000000031</v>
      </c>
      <c r="BZ74" s="14">
        <f>BY74*VLOOKUP('Données projet'!$B$12,Paramètres!$A$1:$I$89,3,0)*VLOOKUP('Données projet'!$B$12,Paramètres!$A$1:$I$89,5,0)</f>
        <v>282.96309600000023</v>
      </c>
      <c r="CA74" s="14">
        <f t="shared" si="93"/>
        <v>67.592812085974501</v>
      </c>
      <c r="CB74" s="22">
        <f t="shared" si="64"/>
        <v>610.551539916406</v>
      </c>
      <c r="CC74" s="62">
        <f t="shared" si="65"/>
        <v>882.32737985735832</v>
      </c>
      <c r="CD74" s="62">
        <f ca="1">AVERAGE(OFFSET($CC$3,0,0,'Données projet'!$E$12+1,1))-AVERAGE(OFFSET($H$3,0,0,'Données projet'!$E$12+1,1))</f>
        <v>447.25854887589878</v>
      </c>
      <c r="CE74" s="62">
        <f t="shared" si="94"/>
        <v>480.13390593590157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64.120683620259726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1.1368683772161603E-13</v>
      </c>
      <c r="CU74" s="18">
        <f>CT74*VLOOKUP('Données projet'!$B$13,Paramètres!$A$1:$I$89,3,0)*VLOOKUP('Données projet'!$B$13,Paramètres!$A$1:$I$89,5,0)</f>
        <v>8.8675733422860506E-14</v>
      </c>
      <c r="CV74" s="14">
        <f t="shared" si="95"/>
        <v>1.3509285393066301E-12</v>
      </c>
      <c r="CW74" s="22">
        <f t="shared" si="67"/>
        <v>2.5073107750038623E-12</v>
      </c>
      <c r="CX74" s="62">
        <f t="shared" si="68"/>
        <v>271.77583994095482</v>
      </c>
      <c r="CY74" s="62">
        <f ca="1">AVERAGE(OFFSET($CX$3,0,0,'Données projet'!$E$13+1,1))-AVERAGE(OFFSET($H$3,0,0,'Données projet'!$E$13+1,1))</f>
        <v>308.52515801950324</v>
      </c>
      <c r="CZ74" s="62">
        <f t="shared" si="96"/>
        <v>299.05420638408953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64.120683620259726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4.8600000000000021</v>
      </c>
      <c r="DO74" s="13">
        <f>IF('Données projet'!$A$166&gt;35,DO73+DN74-DW73,IF(A74&lt;'Données projet'!$A$166,$DL$205^A74,IF(A74='Données projet'!$A$166,'Données projet'!$B$166,DO73+DN74-DW73)))</f>
        <v>355.66000000000031</v>
      </c>
      <c r="DP74" s="18">
        <f>DO74*VLOOKUP('Données projet'!$B$14,Paramètres!$A$1:$I$89,3,0)*VLOOKUP('Données projet'!$B$14,Paramètres!$A$1:$I$89,5,0)</f>
        <v>260.76991200000026</v>
      </c>
      <c r="DQ74" s="14">
        <f t="shared" si="97"/>
        <v>62.886463829102688</v>
      </c>
      <c r="DR74" s="22">
        <f t="shared" si="70"/>
        <v>563.70152123568755</v>
      </c>
      <c r="DS74" s="62">
        <f t="shared" si="71"/>
        <v>835.47736117663987</v>
      </c>
      <c r="DT74" s="62">
        <f ca="1">AVERAGE(OFFSET($DS$3,0,0,'Données projet'!$E$14+1,1))-AVERAGE(OFFSET($H$3,0,0,'Données projet'!$E$14+1,1))</f>
        <v>416.72317068678774</v>
      </c>
      <c r="DU74" s="62">
        <f t="shared" si="98"/>
        <v>447.32457429495537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64.120683620259726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4.8717948717948731</v>
      </c>
      <c r="EJ74" s="13">
        <f>IF('Données projet'!$A$192&gt;35,EJ73+EI74-ER73,IF(A74&lt;'Données projet'!$A$192,$EG$205^A74,IF(A74='Données projet'!$A$192,'Données projet'!$B$192,EJ73+EI74-ER73)))</f>
        <v>224.74358974358981</v>
      </c>
      <c r="EK74" s="18">
        <f>EJ74*VLOOKUP('Données projet'!$B$15,Paramètres!$A$1:$I$89,3,0)*VLOOKUP('Données projet'!$B$15,Paramètres!$A$1:$I$89,5,0)</f>
        <v>213.86600000000004</v>
      </c>
      <c r="EL74" s="14">
        <f t="shared" si="99"/>
        <v>52.779504939587291</v>
      </c>
      <c r="EM74" s="22">
        <f t="shared" si="73"/>
        <v>464.40758776978123</v>
      </c>
      <c r="EN74" s="62">
        <f t="shared" si="74"/>
        <v>736.18342771073355</v>
      </c>
      <c r="EO74" s="62">
        <f ca="1">AVERAGE(OFFSET($EN$3,0,0,'Données projet'!$E$15+1,1))-AVERAGE(OFFSET($H$3,0,0,'Données projet'!$E$15+1,1))</f>
        <v>454.78867027701426</v>
      </c>
      <c r="EP74" s="62">
        <f t="shared" si="100"/>
        <v>366.45346303927056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0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64.120683620259726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5.1282051282051269</v>
      </c>
      <c r="FE74" s="13">
        <f>IF('Données projet'!$A$218&gt;35,FE73+FD74-FM73,IF(A74&lt;'Données projet'!$A$218,$FB$205^A74,IF(A74='Données projet'!$A$218,'Données projet'!$B$218,FE73+FD74-FM73)))</f>
        <v>282.69230769230774</v>
      </c>
      <c r="FF74" s="18">
        <f>FE74*VLOOKUP('Données projet'!$B$16,Paramètres!$A$1:$I$89,3,0)*VLOOKUP('Données projet'!$B$16,Paramètres!$A$1:$I$89,5,0)</f>
        <v>189.63000000000002</v>
      </c>
      <c r="FG74" s="14">
        <f t="shared" si="101"/>
        <v>47.458141826690017</v>
      </c>
      <c r="FH74" s="22">
        <f t="shared" si="76"/>
        <v>412.92851368148513</v>
      </c>
      <c r="FI74" s="62">
        <f t="shared" si="77"/>
        <v>684.70435362243745</v>
      </c>
      <c r="FJ74" s="62">
        <f ca="1">AVERAGE(OFFSET($FI$3,0,0,'Données projet'!$E$16+1,1))-AVERAGE(OFFSET($H$3,0,0,'Données projet'!$E$16+1,1))</f>
        <v>390.05579539539576</v>
      </c>
      <c r="FK74" s="62">
        <f t="shared" si="102"/>
        <v>323.72278615226139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projet'!$B$16,Paramètres!$A$1:$I$89,3,0)*0.475*44/12</f>
        <v>0</v>
      </c>
      <c r="FR74" s="23">
        <f>EXP(-LN(2)/25)*FR73+(1-EXP(-LN(2)/25))/(LN(2)/25)*Calculateur!FM74*Calculateur!FO74*VLOOKUP('Données projet'!$B$16,Paramètres!$A$1:$I$89,3,0)*0.475*44/12</f>
        <v>0</v>
      </c>
      <c r="FS74" s="23">
        <f>EXP(-LN(2)/2)*FS73+(1-EXP(-LN(2)/2))/(LN(2)/2)*FM74*FP74*VLOOKUP('Données projet'!$B$16,Paramètres!$A$1:$I$89,3,0)*0.475*44/12</f>
        <v>0</v>
      </c>
      <c r="FT74" s="24">
        <f t="shared" si="78"/>
        <v>0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64.120683620259726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7.6</v>
      </c>
      <c r="FZ74" s="13">
        <f>IF('Données projet'!$A$244&gt;35,FZ73+FY74-GH73,IF(A74&lt;'Données projet'!$A$244,$FW$205^A74,IF(A74='Données projet'!$A$244,'Données projet'!$B$244,FZ73+FY74-GH73)))</f>
        <v>281.59999999999985</v>
      </c>
      <c r="GA74" s="18">
        <f>FZ74*VLOOKUP('Données projet'!$B$17,Paramètres!$A$1:$I$89,3,0)*VLOOKUP('Données projet'!$B$17,Paramètres!$A$1:$I$89,5,0)</f>
        <v>272.36351999999988</v>
      </c>
      <c r="GB74" s="14">
        <f t="shared" si="103"/>
        <v>65.350613162347059</v>
      </c>
      <c r="GC74" s="22">
        <f t="shared" si="79"/>
        <v>588.18544859108749</v>
      </c>
      <c r="GD74" s="62">
        <f t="shared" si="80"/>
        <v>859.96128853203982</v>
      </c>
      <c r="GE74" s="62">
        <f ca="1">AVERAGE(OFFSET($GD$3,0,0,'Données projet'!$E$17+1,1))-AVERAGE(OFFSET($H$3,0,0,'Données projet'!$E$17+1,1))</f>
        <v>578.44111602076555</v>
      </c>
      <c r="GF74" s="62">
        <f t="shared" si="104"/>
        <v>368.08542661432784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>
        <f>EXP(-LN(2)/35)*GL73+(1-EXP(-LN(2)/35))/(LN(2)/35)*GH74*GI74*VLOOKUP('Données projet'!$B$17,Paramètres!$A$1:$I$89,3,0)*0.475*44/12</f>
        <v>0</v>
      </c>
      <c r="GM74" s="23">
        <f>EXP(-LN(2)/25)*GM73+(1-EXP(-LN(2)/25))/(LN(2)/25)*Calculateur!GH74*Calculateur!GJ74*VLOOKUP('Données projet'!$B$17,Paramètres!$A$1:$I$89,3,0)*0.475*44/12</f>
        <v>0</v>
      </c>
      <c r="GN74" s="23">
        <f>EXP(-LN(2)/2)*GN73+(1-EXP(-LN(2)/2))/(LN(2)/2)*GH74*GK74*VLOOKUP('Données projet'!$B$17,Paramètres!$A$1:$I$89,3,0)*0.475*44/12</f>
        <v>0</v>
      </c>
      <c r="GO74" s="23">
        <f t="shared" si="81"/>
        <v>0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64.120683620259726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4.0735000000000001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14.936166666666667</v>
      </c>
      <c r="H75" s="70">
        <f t="shared" si="56"/>
        <v>196.922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64.222676615265925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7.6</v>
      </c>
      <c r="N75" s="14">
        <f>IF('Données projet'!$A$36&gt;35,N74+M75-V74,IF(A75&lt;'Données projet'!$A$36,$K$205^A75,IF(A75='Données projet'!$A$36,'Données projet'!$B$36,N74+M75-V74)))</f>
        <v>289.19999999999987</v>
      </c>
      <c r="O75" s="14">
        <f>N75*VLOOKUP('Données projet'!$B$9,Paramètres!$A$1:$I$89,3,0)*VLOOKUP('Données projet'!$B$9,Paramètres!$A$1:$I$89,5,0)</f>
        <v>261.66815999999989</v>
      </c>
      <c r="P75" s="14">
        <f t="shared" si="87"/>
        <v>63.077829793082856</v>
      </c>
      <c r="Q75" s="22">
        <f t="shared" si="54"/>
        <v>565.59926555628579</v>
      </c>
      <c r="R75" s="62">
        <f t="shared" si="55"/>
        <v>837.74907981226079</v>
      </c>
      <c r="S75" s="62">
        <f ca="1">AVERAGE(OFFSET($R$3,0,0,'Données projet'!$E$9+1,1))-AVERAGE(OFFSET($H$3,0,0,'Données projet'!$E$9+1,1))</f>
        <v>546.11281471711925</v>
      </c>
      <c r="T75" s="62">
        <f t="shared" si="88"/>
        <v>348.18069831447099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64.222676615265925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11</v>
      </c>
      <c r="AI75" s="14">
        <f>IF('Données projet'!$A$62&gt;35,AI74+AH75-AQ74,IF(A75&lt;'Données projet'!$A$62,$AF$205^A75,IF(A75='Données projet'!$A$62,'Données projet'!$B$62,AI74+AH75-AQ74)))</f>
        <v>409</v>
      </c>
      <c r="AJ75" s="14">
        <f>AI75*VLOOKUP('Données projet'!$B$10,Paramètres!$A$1:$I$89,3,0)*VLOOKUP('Données projet'!$B$10,Paramètres!$A$1:$I$89,5,0)</f>
        <v>350.92200000000003</v>
      </c>
      <c r="AK75" s="14">
        <f t="shared" si="89"/>
        <v>81.752331535154511</v>
      </c>
      <c r="AL75" s="22">
        <f t="shared" si="58"/>
        <v>753.57446075706082</v>
      </c>
      <c r="AM75" s="62">
        <f t="shared" si="59"/>
        <v>1025.7242750130358</v>
      </c>
      <c r="AN75" s="62">
        <f ca="1">AVERAGE(OFFSET($AM$3,0,0,'Données projet'!$E$10+1,1))-AVERAGE(OFFSET($H$3,0,0,'Données projet'!$E$10+1,1))</f>
        <v>693.87994318348024</v>
      </c>
      <c r="AO75" s="62">
        <f t="shared" si="90"/>
        <v>327.71043739333641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64.222676615265925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7.6</v>
      </c>
      <c r="BD75" s="13">
        <f>IF('Données projet'!$A$88&gt;35,BD74+BC75-BL74,IF(A75&lt;'Données projet'!$A$88,$BA$205^A75,IF(A75='Données projet'!$A$88,'Données projet'!$B$88,BD74+BC75-BL74)))</f>
        <v>289.19999999999987</v>
      </c>
      <c r="BE75" s="14">
        <f>BD75*VLOOKUP('Données projet'!$B$11,Paramètres!$A$1:$I$89,3,0)*VLOOKUP('Données projet'!$B$11,Paramètres!$A$1:$I$89,5,0)</f>
        <v>243.62207999999993</v>
      </c>
      <c r="BF75" s="14">
        <f t="shared" si="91"/>
        <v>59.218157943988537</v>
      </c>
      <c r="BG75" s="22">
        <f t="shared" si="61"/>
        <v>527.44674775244664</v>
      </c>
      <c r="BH75" s="62">
        <f t="shared" si="62"/>
        <v>799.59656200842164</v>
      </c>
      <c r="BI75" s="62">
        <f ca="1">AVERAGE(OFFSET($BH$3,0,0,'Données projet'!$E$11+1,1))-AVERAGE(OFFSET($H$3,0,0,'Données projet'!$E$11+1,1))</f>
        <v>513.7388209355762</v>
      </c>
      <c r="BJ75" s="62">
        <f t="shared" si="92"/>
        <v>328.24603121433927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64.222676615265925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4.8600000000000021</v>
      </c>
      <c r="BY75" s="13">
        <f>IF('Données projet'!$A$114&gt;35,BY74+BX75-CG74,IF(A75&lt;'Données projet'!$A$114,$BV$205^A75,IF(A75='Données projet'!$A$114,'Données projet'!$B$114,BY74+BX75-CG74)))</f>
        <v>360.52000000000032</v>
      </c>
      <c r="BZ75" s="14">
        <f>BY75*VLOOKUP('Données projet'!$B$12,Paramètres!$A$1:$I$89,3,0)*VLOOKUP('Données projet'!$B$12,Paramètres!$A$1:$I$89,5,0)</f>
        <v>286.82971200000026</v>
      </c>
      <c r="CA75" s="14">
        <f t="shared" si="93"/>
        <v>68.408292783856481</v>
      </c>
      <c r="CB75" s="22">
        <f t="shared" si="64"/>
        <v>618.70619166521715</v>
      </c>
      <c r="CC75" s="62">
        <f t="shared" si="65"/>
        <v>890.85600592119226</v>
      </c>
      <c r="CD75" s="62">
        <f ca="1">AVERAGE(OFFSET($CC$3,0,0,'Données projet'!$E$12+1,1))-AVERAGE(OFFSET($H$3,0,0,'Données projet'!$E$12+1,1))</f>
        <v>447.25854887589878</v>
      </c>
      <c r="CE75" s="62">
        <f t="shared" si="94"/>
        <v>480.13390593590157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64.222676615265925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1.1368683772161603E-13</v>
      </c>
      <c r="CU75" s="18">
        <f>CT75*VLOOKUP('Données projet'!$B$13,Paramètres!$A$1:$I$89,3,0)*VLOOKUP('Données projet'!$B$13,Paramètres!$A$1:$I$89,5,0)</f>
        <v>8.8675733422860506E-14</v>
      </c>
      <c r="CV75" s="14">
        <f t="shared" si="95"/>
        <v>1.3509285393066301E-12</v>
      </c>
      <c r="CW75" s="22">
        <f t="shared" si="67"/>
        <v>2.5073107750038623E-12</v>
      </c>
      <c r="CX75" s="62">
        <f t="shared" si="68"/>
        <v>272.14981425597756</v>
      </c>
      <c r="CY75" s="62">
        <f ca="1">AVERAGE(OFFSET($CX$3,0,0,'Données projet'!$E$13+1,1))-AVERAGE(OFFSET($H$3,0,0,'Données projet'!$E$13+1,1))</f>
        <v>308.52515801950324</v>
      </c>
      <c r="CZ75" s="62">
        <f t="shared" si="96"/>
        <v>299.05420638408953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64.222676615265925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4.8600000000000021</v>
      </c>
      <c r="DO75" s="13">
        <f>IF('Données projet'!$A$166&gt;35,DO74+DN75-DW74,IF(A75&lt;'Données projet'!$A$166,$DL$205^A75,IF(A75='Données projet'!$A$166,'Données projet'!$B$166,DO74+DN75-DW74)))</f>
        <v>360.52000000000032</v>
      </c>
      <c r="DP75" s="18">
        <f>DO75*VLOOKUP('Données projet'!$B$14,Paramètres!$A$1:$I$89,3,0)*VLOOKUP('Données projet'!$B$14,Paramètres!$A$1:$I$89,5,0)</f>
        <v>264.33326400000021</v>
      </c>
      <c r="DQ75" s="14">
        <f t="shared" si="97"/>
        <v>63.645164285971646</v>
      </c>
      <c r="DR75" s="22">
        <f t="shared" si="70"/>
        <v>571.22909593140093</v>
      </c>
      <c r="DS75" s="62">
        <f t="shared" si="71"/>
        <v>843.37891018737605</v>
      </c>
      <c r="DT75" s="62">
        <f ca="1">AVERAGE(OFFSET($DS$3,0,0,'Données projet'!$E$14+1,1))-AVERAGE(OFFSET($H$3,0,0,'Données projet'!$E$14+1,1))</f>
        <v>416.72317068678774</v>
      </c>
      <c r="DU75" s="62">
        <f t="shared" si="98"/>
        <v>447.32457429495537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64.222676615265925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4.8717948717948731</v>
      </c>
      <c r="EJ75" s="13">
        <f>IF('Données projet'!$A$192&gt;35,EJ74+EI75-ER74,IF(A75&lt;'Données projet'!$A$192,$EG$205^A75,IF(A75='Données projet'!$A$192,'Données projet'!$B$192,EJ74+EI75-ER74)))</f>
        <v>229.61538461538467</v>
      </c>
      <c r="EK75" s="18">
        <f>EJ75*VLOOKUP('Données projet'!$B$15,Paramètres!$A$1:$I$89,3,0)*VLOOKUP('Données projet'!$B$15,Paramètres!$A$1:$I$89,5,0)</f>
        <v>218.50200000000007</v>
      </c>
      <c r="EL75" s="14">
        <f t="shared" si="99"/>
        <v>53.789173468854308</v>
      </c>
      <c r="EM75" s="22">
        <f t="shared" si="73"/>
        <v>474.24046045825463</v>
      </c>
      <c r="EN75" s="62">
        <f t="shared" si="74"/>
        <v>746.39027471422969</v>
      </c>
      <c r="EO75" s="62">
        <f ca="1">AVERAGE(OFFSET($EN$3,0,0,'Données projet'!$E$15+1,1))-AVERAGE(OFFSET($H$3,0,0,'Données projet'!$E$15+1,1))</f>
        <v>454.78867027701426</v>
      </c>
      <c r="EP75" s="62">
        <f t="shared" si="100"/>
        <v>366.45346303927056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0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64.222676615265925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5.1282051282051269</v>
      </c>
      <c r="FE75" s="13">
        <f>IF('Données projet'!$A$218&gt;35,FE74+FD75-FM74,IF(A75&lt;'Données projet'!$A$218,$FB$205^A75,IF(A75='Données projet'!$A$218,'Données projet'!$B$218,FE74+FD75-FM74)))</f>
        <v>287.82051282051287</v>
      </c>
      <c r="FF75" s="18">
        <f>FE75*VLOOKUP('Données projet'!$B$16,Paramètres!$A$1:$I$89,3,0)*VLOOKUP('Données projet'!$B$16,Paramètres!$A$1:$I$89,5,0)</f>
        <v>193.07000000000005</v>
      </c>
      <c r="FG75" s="14">
        <f t="shared" si="101"/>
        <v>48.218051794342536</v>
      </c>
      <c r="FH75" s="22">
        <f t="shared" si="76"/>
        <v>420.24335687514667</v>
      </c>
      <c r="FI75" s="62">
        <f t="shared" si="77"/>
        <v>692.39317113112179</v>
      </c>
      <c r="FJ75" s="62">
        <f ca="1">AVERAGE(OFFSET($FI$3,0,0,'Données projet'!$E$16+1,1))-AVERAGE(OFFSET($H$3,0,0,'Données projet'!$E$16+1,1))</f>
        <v>390.05579539539576</v>
      </c>
      <c r="FK75" s="62">
        <f t="shared" si="102"/>
        <v>323.72278615226139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projet'!$B$16,Paramètres!$A$1:$I$89,3,0)*0.475*44/12</f>
        <v>0</v>
      </c>
      <c r="FR75" s="23">
        <f>EXP(-LN(2)/25)*FR74+(1-EXP(-LN(2)/25))/(LN(2)/25)*Calculateur!FM75*Calculateur!FO75*VLOOKUP('Données projet'!$B$16,Paramètres!$A$1:$I$89,3,0)*0.475*44/12</f>
        <v>0</v>
      </c>
      <c r="FS75" s="23">
        <f>EXP(-LN(2)/2)*FS74+(1-EXP(-LN(2)/2))/(LN(2)/2)*FM75*FP75*VLOOKUP('Données projet'!$B$16,Paramètres!$A$1:$I$89,3,0)*0.475*44/12</f>
        <v>0</v>
      </c>
      <c r="FT75" s="24">
        <f t="shared" si="78"/>
        <v>0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64.222676615265925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7.6</v>
      </c>
      <c r="FZ75" s="13">
        <f>IF('Données projet'!$A$244&gt;35,FZ74+FY75-GH74,IF(A75&lt;'Données projet'!$A$244,$FW$205^A75,IF(A75='Données projet'!$A$244,'Données projet'!$B$244,FZ74+FY75-GH74)))</f>
        <v>289.19999999999987</v>
      </c>
      <c r="GA75" s="18">
        <f>FZ75*VLOOKUP('Données projet'!$B$17,Paramètres!$A$1:$I$89,3,0)*VLOOKUP('Données projet'!$B$17,Paramètres!$A$1:$I$89,5,0)</f>
        <v>279.7142399999999</v>
      </c>
      <c r="GB75" s="14">
        <f t="shared" si="103"/>
        <v>66.906615990158258</v>
      </c>
      <c r="GC75" s="22">
        <f t="shared" si="79"/>
        <v>603.69799084952535</v>
      </c>
      <c r="GD75" s="62">
        <f t="shared" si="80"/>
        <v>875.84780510550036</v>
      </c>
      <c r="GE75" s="62">
        <f ca="1">AVERAGE(OFFSET($GD$3,0,0,'Données projet'!$E$17+1,1))-AVERAGE(OFFSET($H$3,0,0,'Données projet'!$E$17+1,1))</f>
        <v>578.44111602076555</v>
      </c>
      <c r="GF75" s="62">
        <f t="shared" si="104"/>
        <v>368.08542661432784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>
        <f>EXP(-LN(2)/35)*GL74+(1-EXP(-LN(2)/35))/(LN(2)/35)*GH75*GI75*VLOOKUP('Données projet'!$B$17,Paramètres!$A$1:$I$89,3,0)*0.475*44/12</f>
        <v>0</v>
      </c>
      <c r="GM75" s="23">
        <f>EXP(-LN(2)/25)*GM74+(1-EXP(-LN(2)/25))/(LN(2)/25)*Calculateur!GH75*Calculateur!GJ75*VLOOKUP('Données projet'!$B$17,Paramètres!$A$1:$I$89,3,0)*0.475*44/12</f>
        <v>0</v>
      </c>
      <c r="GN75" s="23">
        <f>EXP(-LN(2)/2)*GN74+(1-EXP(-LN(2)/2))/(LN(2)/2)*GH75*GK75*VLOOKUP('Données projet'!$B$17,Paramètres!$A$1:$I$89,3,0)*0.475*44/12</f>
        <v>0</v>
      </c>
      <c r="GO75" s="23">
        <f t="shared" si="81"/>
        <v>0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64.222676615265925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4.0735000000000001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14.936166666666667</v>
      </c>
      <c r="H76" s="70">
        <f t="shared" si="56"/>
        <v>196.922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64.322900259830959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7.6</v>
      </c>
      <c r="N76" s="14">
        <f>IF('Données projet'!$A$36&gt;35,N75+M76-V75,IF(A76&lt;'Données projet'!$A$36,$K$205^A76,IF(A76='Données projet'!$A$36,'Données projet'!$B$36,N75+M76-V75)))</f>
        <v>296.7999999999999</v>
      </c>
      <c r="O76" s="14">
        <f>N76*VLOOKUP('Données projet'!$B$9,Paramètres!$A$1:$I$89,3,0)*VLOOKUP('Données projet'!$B$9,Paramètres!$A$1:$I$89,5,0)</f>
        <v>268.5446399999999</v>
      </c>
      <c r="P76" s="14">
        <f t="shared" si="87"/>
        <v>64.54030807605065</v>
      </c>
      <c r="Q76" s="22">
        <f t="shared" si="54"/>
        <v>580.12295123245474</v>
      </c>
      <c r="R76" s="62">
        <f t="shared" si="55"/>
        <v>852.64025218516826</v>
      </c>
      <c r="S76" s="62">
        <f ca="1">AVERAGE(OFFSET($R$3,0,0,'Données projet'!$E$9+1,1))-AVERAGE(OFFSET($H$3,0,0,'Données projet'!$E$9+1,1))</f>
        <v>546.11281471711925</v>
      </c>
      <c r="T76" s="62">
        <f t="shared" si="88"/>
        <v>348.18069831447099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64.322900259830959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11</v>
      </c>
      <c r="AI76" s="14">
        <f>IF('Données projet'!$A$62&gt;35,AI75+AH76-AQ75,IF(A76&lt;'Données projet'!$A$62,$AF$205^A76,IF(A76='Données projet'!$A$62,'Données projet'!$B$62,AI75+AH76-AQ75)))</f>
        <v>420</v>
      </c>
      <c r="AJ76" s="14">
        <f>AI76*VLOOKUP('Données projet'!$B$10,Paramètres!$A$1:$I$89,3,0)*VLOOKUP('Données projet'!$B$10,Paramètres!$A$1:$I$89,5,0)</f>
        <v>360.36000000000007</v>
      </c>
      <c r="AK76" s="14">
        <f t="shared" si="89"/>
        <v>83.692107728969603</v>
      </c>
      <c r="AL76" s="22">
        <f t="shared" si="58"/>
        <v>773.39075429462207</v>
      </c>
      <c r="AM76" s="62">
        <f t="shared" si="59"/>
        <v>1045.9080552473356</v>
      </c>
      <c r="AN76" s="62">
        <f ca="1">AVERAGE(OFFSET($AM$3,0,0,'Données projet'!$E$10+1,1))-AVERAGE(OFFSET($H$3,0,0,'Données projet'!$E$10+1,1))</f>
        <v>693.87994318348024</v>
      </c>
      <c r="AO76" s="62">
        <f t="shared" si="90"/>
        <v>327.71043739333641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64.322900259830959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7.6</v>
      </c>
      <c r="BD76" s="13">
        <f>IF('Données projet'!$A$88&gt;35,BD75+BC76-BL75,IF(A76&lt;'Données projet'!$A$88,$BA$205^A76,IF(A76='Données projet'!$A$88,'Données projet'!$B$88,BD75+BC76-BL75)))</f>
        <v>296.7999999999999</v>
      </c>
      <c r="BE76" s="14">
        <f>BD76*VLOOKUP('Données projet'!$B$11,Paramètres!$A$1:$I$89,3,0)*VLOOKUP('Données projet'!$B$11,Paramètres!$A$1:$I$89,5,0)</f>
        <v>250.02431999999996</v>
      </c>
      <c r="BF76" s="14">
        <f t="shared" si="91"/>
        <v>60.591148584829206</v>
      </c>
      <c r="BG76" s="22">
        <f t="shared" si="61"/>
        <v>540.98860778524408</v>
      </c>
      <c r="BH76" s="62">
        <f t="shared" si="62"/>
        <v>813.50590873795761</v>
      </c>
      <c r="BI76" s="62">
        <f ca="1">AVERAGE(OFFSET($BH$3,0,0,'Données projet'!$E$11+1,1))-AVERAGE(OFFSET($H$3,0,0,'Données projet'!$E$11+1,1))</f>
        <v>513.7388209355762</v>
      </c>
      <c r="BJ76" s="62">
        <f t="shared" si="92"/>
        <v>328.24603121433927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64.322900259830959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4.8600000000000021</v>
      </c>
      <c r="BY76" s="13">
        <f>IF('Données projet'!$A$114&gt;35,BY75+BX76-CG75,IF(A76&lt;'Données projet'!$A$114,$BV$205^A76,IF(A76='Données projet'!$A$114,'Données projet'!$B$114,BY75+BX76-CG75)))</f>
        <v>365.38000000000034</v>
      </c>
      <c r="BZ76" s="14">
        <f>BY76*VLOOKUP('Données projet'!$B$12,Paramètres!$A$1:$I$89,3,0)*VLOOKUP('Données projet'!$B$12,Paramètres!$A$1:$I$89,5,0)</f>
        <v>290.69632800000028</v>
      </c>
      <c r="CA76" s="14">
        <f t="shared" si="93"/>
        <v>69.222494846133131</v>
      </c>
      <c r="CB76" s="22">
        <f t="shared" si="64"/>
        <v>626.85861645701573</v>
      </c>
      <c r="CC76" s="62">
        <f t="shared" si="65"/>
        <v>899.37591740972925</v>
      </c>
      <c r="CD76" s="62">
        <f ca="1">AVERAGE(OFFSET($CC$3,0,0,'Données projet'!$E$12+1,1))-AVERAGE(OFFSET($H$3,0,0,'Données projet'!$E$12+1,1))</f>
        <v>447.25854887589878</v>
      </c>
      <c r="CE76" s="62">
        <f t="shared" si="94"/>
        <v>480.13390593590157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64.322900259830959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1.1368683772161603E-13</v>
      </c>
      <c r="CU76" s="18">
        <f>CT76*VLOOKUP('Données projet'!$B$13,Paramètres!$A$1:$I$89,3,0)*VLOOKUP('Données projet'!$B$13,Paramètres!$A$1:$I$89,5,0)</f>
        <v>8.8675733422860506E-14</v>
      </c>
      <c r="CV76" s="14">
        <f t="shared" si="95"/>
        <v>1.3509285393066301E-12</v>
      </c>
      <c r="CW76" s="22">
        <f t="shared" si="67"/>
        <v>2.5073107750038623E-12</v>
      </c>
      <c r="CX76" s="62">
        <f t="shared" si="68"/>
        <v>272.51730095271603</v>
      </c>
      <c r="CY76" s="62">
        <f ca="1">AVERAGE(OFFSET($CX$3,0,0,'Données projet'!$E$13+1,1))-AVERAGE(OFFSET($H$3,0,0,'Données projet'!$E$13+1,1))</f>
        <v>308.52515801950324</v>
      </c>
      <c r="CZ76" s="62">
        <f t="shared" si="96"/>
        <v>299.05420638408953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64.322900259830959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4.8600000000000021</v>
      </c>
      <c r="DO76" s="13">
        <f>IF('Données projet'!$A$166&gt;35,DO75+DN76-DW75,IF(A76&lt;'Données projet'!$A$166,$DL$205^A76,IF(A76='Données projet'!$A$166,'Données projet'!$B$166,DO75+DN76-DW75)))</f>
        <v>365.38000000000034</v>
      </c>
      <c r="DP76" s="18">
        <f>DO76*VLOOKUP('Données projet'!$B$14,Paramètres!$A$1:$I$89,3,0)*VLOOKUP('Données projet'!$B$14,Paramètres!$A$1:$I$89,5,0)</f>
        <v>267.89661600000022</v>
      </c>
      <c r="DQ76" s="14">
        <f t="shared" si="97"/>
        <v>64.402675135998351</v>
      </c>
      <c r="DR76" s="22">
        <f t="shared" si="70"/>
        <v>578.75459872853094</v>
      </c>
      <c r="DS76" s="62">
        <f t="shared" si="71"/>
        <v>851.27189968124446</v>
      </c>
      <c r="DT76" s="62">
        <f ca="1">AVERAGE(OFFSET($DS$3,0,0,'Données projet'!$E$14+1,1))-AVERAGE(OFFSET($H$3,0,0,'Données projet'!$E$14+1,1))</f>
        <v>416.72317068678774</v>
      </c>
      <c r="DU76" s="62">
        <f t="shared" si="98"/>
        <v>447.32457429495537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64.322900259830959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4.8717948717948731</v>
      </c>
      <c r="EJ76" s="13">
        <f>IF('Données projet'!$A$192&gt;35,EJ75+EI76-ER75,IF(A76&lt;'Données projet'!$A$192,$EG$205^A76,IF(A76='Données projet'!$A$192,'Données projet'!$B$192,EJ75+EI76-ER75)))</f>
        <v>234.48717948717953</v>
      </c>
      <c r="EK76" s="18">
        <f>EJ76*VLOOKUP('Données projet'!$B$15,Paramètres!$A$1:$I$89,3,0)*VLOOKUP('Données projet'!$B$15,Paramètres!$A$1:$I$89,5,0)</f>
        <v>223.13800000000006</v>
      </c>
      <c r="EL76" s="14">
        <f t="shared" si="99"/>
        <v>54.796351317280866</v>
      </c>
      <c r="EM76" s="22">
        <f t="shared" si="73"/>
        <v>484.06899521093095</v>
      </c>
      <c r="EN76" s="62">
        <f t="shared" si="74"/>
        <v>756.58629616364442</v>
      </c>
      <c r="EO76" s="62">
        <f ca="1">AVERAGE(OFFSET($EN$3,0,0,'Données projet'!$E$15+1,1))-AVERAGE(OFFSET($H$3,0,0,'Données projet'!$E$15+1,1))</f>
        <v>454.78867027701426</v>
      </c>
      <c r="EP76" s="62">
        <f t="shared" si="100"/>
        <v>366.45346303927056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0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64.322900259830959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5.1282051282051269</v>
      </c>
      <c r="FE76" s="13">
        <f>IF('Données projet'!$A$218&gt;35,FE75+FD76-FM75,IF(A76&lt;'Données projet'!$A$218,$FB$205^A76,IF(A76='Données projet'!$A$218,'Données projet'!$B$218,FE75+FD76-FM75)))</f>
        <v>292.94871794871801</v>
      </c>
      <c r="FF76" s="18">
        <f>FE76*VLOOKUP('Données projet'!$B$16,Paramètres!$A$1:$I$89,3,0)*VLOOKUP('Données projet'!$B$16,Paramètres!$A$1:$I$89,5,0)</f>
        <v>196.51000000000005</v>
      </c>
      <c r="FG76" s="14">
        <f t="shared" si="101"/>
        <v>48.976387297804322</v>
      </c>
      <c r="FH76" s="22">
        <f t="shared" si="76"/>
        <v>427.55545787700925</v>
      </c>
      <c r="FI76" s="62">
        <f t="shared" si="77"/>
        <v>700.07275882972272</v>
      </c>
      <c r="FJ76" s="62">
        <f ca="1">AVERAGE(OFFSET($FI$3,0,0,'Données projet'!$E$16+1,1))-AVERAGE(OFFSET($H$3,0,0,'Données projet'!$E$16+1,1))</f>
        <v>390.05579539539576</v>
      </c>
      <c r="FK76" s="62">
        <f t="shared" si="102"/>
        <v>323.72278615226139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projet'!$B$16,Paramètres!$A$1:$I$89,3,0)*0.475*44/12</f>
        <v>0</v>
      </c>
      <c r="FR76" s="23">
        <f>EXP(-LN(2)/25)*FR75+(1-EXP(-LN(2)/25))/(LN(2)/25)*Calculateur!FM76*Calculateur!FO76*VLOOKUP('Données projet'!$B$16,Paramètres!$A$1:$I$89,3,0)*0.475*44/12</f>
        <v>0</v>
      </c>
      <c r="FS76" s="23">
        <f>EXP(-LN(2)/2)*FS75+(1-EXP(-LN(2)/2))/(LN(2)/2)*FM76*FP76*VLOOKUP('Données projet'!$B$16,Paramètres!$A$1:$I$89,3,0)*0.475*44/12</f>
        <v>0</v>
      </c>
      <c r="FT76" s="24">
        <f t="shared" si="78"/>
        <v>0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64.322900259830959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7.6</v>
      </c>
      <c r="FZ76" s="13">
        <f>IF('Données projet'!$A$244&gt;35,FZ75+FY76-GH75,IF(A76&lt;'Données projet'!$A$244,$FW$205^A76,IF(A76='Données projet'!$A$244,'Données projet'!$B$244,FZ75+FY76-GH75)))</f>
        <v>296.7999999999999</v>
      </c>
      <c r="GA76" s="18">
        <f>FZ76*VLOOKUP('Données projet'!$B$17,Paramètres!$A$1:$I$89,3,0)*VLOOKUP('Données projet'!$B$17,Paramètres!$A$1:$I$89,5,0)</f>
        <v>287.06495999999993</v>
      </c>
      <c r="GB76" s="14">
        <f t="shared" si="103"/>
        <v>68.457865822206315</v>
      </c>
      <c r="GC76" s="22">
        <f t="shared" si="79"/>
        <v>619.20225497367585</v>
      </c>
      <c r="GD76" s="62">
        <f t="shared" si="80"/>
        <v>891.71955592638938</v>
      </c>
      <c r="GE76" s="62">
        <f ca="1">AVERAGE(OFFSET($GD$3,0,0,'Données projet'!$E$17+1,1))-AVERAGE(OFFSET($H$3,0,0,'Données projet'!$E$17+1,1))</f>
        <v>578.44111602076555</v>
      </c>
      <c r="GF76" s="62">
        <f t="shared" si="104"/>
        <v>368.08542661432784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>
        <f>EXP(-LN(2)/35)*GL75+(1-EXP(-LN(2)/35))/(LN(2)/35)*GH76*GI76*VLOOKUP('Données projet'!$B$17,Paramètres!$A$1:$I$89,3,0)*0.475*44/12</f>
        <v>0</v>
      </c>
      <c r="GM76" s="23">
        <f>EXP(-LN(2)/25)*GM75+(1-EXP(-LN(2)/25))/(LN(2)/25)*Calculateur!GH76*Calculateur!GJ76*VLOOKUP('Données projet'!$B$17,Paramètres!$A$1:$I$89,3,0)*0.475*44/12</f>
        <v>0</v>
      </c>
      <c r="GN76" s="23">
        <f>EXP(-LN(2)/2)*GN75+(1-EXP(-LN(2)/2))/(LN(2)/2)*GH76*GK76*VLOOKUP('Données projet'!$B$17,Paramètres!$A$1:$I$89,3,0)*0.475*44/12</f>
        <v>0</v>
      </c>
      <c r="GO76" s="23">
        <f t="shared" si="81"/>
        <v>0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64.322900259830959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4.0735000000000001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14.936166666666667</v>
      </c>
      <c r="H77" s="70">
        <f t="shared" si="56"/>
        <v>196.922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64.421385248229285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7.6</v>
      </c>
      <c r="N77" s="14">
        <f>IF('Données projet'!$A$36&gt;35,N76+M77-V76,IF(A77&lt;'Données projet'!$A$36,$K$205^A77,IF(A77='Données projet'!$A$36,'Données projet'!$B$36,N76+M77-V76)))</f>
        <v>304.39999999999992</v>
      </c>
      <c r="O77" s="14">
        <f>N77*VLOOKUP('Données projet'!$B$9,Paramètres!$A$1:$I$89,3,0)*VLOOKUP('Données projet'!$B$9,Paramètres!$A$1:$I$89,5,0)</f>
        <v>275.42111999999992</v>
      </c>
      <c r="P77" s="14">
        <f t="shared" si="87"/>
        <v>65.998433293601067</v>
      </c>
      <c r="Q77" s="22">
        <f t="shared" si="54"/>
        <v>594.63905531968828</v>
      </c>
      <c r="R77" s="62">
        <f t="shared" si="55"/>
        <v>867.51746789652907</v>
      </c>
      <c r="S77" s="62">
        <f ca="1">AVERAGE(OFFSET($R$3,0,0,'Données projet'!$E$9+1,1))-AVERAGE(OFFSET($H$3,0,0,'Données projet'!$E$9+1,1))</f>
        <v>546.11281471711925</v>
      </c>
      <c r="T77" s="62">
        <f t="shared" si="88"/>
        <v>348.18069831447099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64.421385248229285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11</v>
      </c>
      <c r="AI77" s="14">
        <f>IF('Données projet'!$A$62&gt;35,AI76+AH77-AQ76,IF(A77&lt;'Données projet'!$A$62,$AF$205^A77,IF(A77='Données projet'!$A$62,'Données projet'!$B$62,AI76+AH77-AQ76)))</f>
        <v>431</v>
      </c>
      <c r="AJ77" s="14">
        <f>AI77*VLOOKUP('Données projet'!$B$10,Paramètres!$A$1:$I$89,3,0)*VLOOKUP('Données projet'!$B$10,Paramètres!$A$1:$I$89,5,0)</f>
        <v>369.79800000000006</v>
      </c>
      <c r="AK77" s="14">
        <f t="shared" si="89"/>
        <v>85.625978667852522</v>
      </c>
      <c r="AL77" s="22">
        <f t="shared" si="58"/>
        <v>793.19676284650984</v>
      </c>
      <c r="AM77" s="62">
        <f t="shared" si="59"/>
        <v>1066.0751754233506</v>
      </c>
      <c r="AN77" s="62">
        <f ca="1">AVERAGE(OFFSET($AM$3,0,0,'Données projet'!$E$10+1,1))-AVERAGE(OFFSET($H$3,0,0,'Données projet'!$E$10+1,1))</f>
        <v>693.87994318348024</v>
      </c>
      <c r="AO77" s="62">
        <f t="shared" si="90"/>
        <v>327.71043739333641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64.421385248229285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7.6</v>
      </c>
      <c r="BD77" s="13">
        <f>IF('Données projet'!$A$88&gt;35,BD76+BC77-BL76,IF(A77&lt;'Données projet'!$A$88,$BA$205^A77,IF(A77='Données projet'!$A$88,'Données projet'!$B$88,BD76+BC77-BL76)))</f>
        <v>304.39999999999992</v>
      </c>
      <c r="BE77" s="14">
        <f>BD77*VLOOKUP('Données projet'!$B$11,Paramètres!$A$1:$I$89,3,0)*VLOOKUP('Données projet'!$B$11,Paramètres!$A$1:$I$89,5,0)</f>
        <v>256.42655999999999</v>
      </c>
      <c r="BF77" s="14">
        <f t="shared" si="91"/>
        <v>61.960052520146306</v>
      </c>
      <c r="BG77" s="22">
        <f t="shared" si="61"/>
        <v>554.52335013925483</v>
      </c>
      <c r="BH77" s="62">
        <f t="shared" si="62"/>
        <v>827.40176271609562</v>
      </c>
      <c r="BI77" s="62">
        <f ca="1">AVERAGE(OFFSET($BH$3,0,0,'Données projet'!$E$11+1,1))-AVERAGE(OFFSET($H$3,0,0,'Données projet'!$E$11+1,1))</f>
        <v>513.7388209355762</v>
      </c>
      <c r="BJ77" s="62">
        <f t="shared" si="92"/>
        <v>328.24603121433927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64.421385248229285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4.8600000000000021</v>
      </c>
      <c r="BY77" s="13">
        <f>IF('Données projet'!$A$114&gt;35,BY76+BX77-CG76,IF(A77&lt;'Données projet'!$A$114,$BV$205^A77,IF(A77='Données projet'!$A$114,'Données projet'!$B$114,BY76+BX77-CG76)))</f>
        <v>370.24000000000035</v>
      </c>
      <c r="BZ77" s="14">
        <f>BY77*VLOOKUP('Données projet'!$B$12,Paramètres!$A$1:$I$89,3,0)*VLOOKUP('Données projet'!$B$12,Paramètres!$A$1:$I$89,5,0)</f>
        <v>294.5629440000003</v>
      </c>
      <c r="CA77" s="14">
        <f t="shared" si="93"/>
        <v>70.035437246316548</v>
      </c>
      <c r="CB77" s="22">
        <f t="shared" si="64"/>
        <v>635.00884733733517</v>
      </c>
      <c r="CC77" s="62">
        <f t="shared" si="65"/>
        <v>907.88725991417596</v>
      </c>
      <c r="CD77" s="62">
        <f ca="1">AVERAGE(OFFSET($CC$3,0,0,'Données projet'!$E$12+1,1))-AVERAGE(OFFSET($H$3,0,0,'Données projet'!$E$12+1,1))</f>
        <v>447.25854887589878</v>
      </c>
      <c r="CE77" s="62">
        <f t="shared" si="94"/>
        <v>480.13390593590157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64.421385248229285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1.1368683772161603E-13</v>
      </c>
      <c r="CU77" s="18">
        <f>CT77*VLOOKUP('Données projet'!$B$13,Paramètres!$A$1:$I$89,3,0)*VLOOKUP('Données projet'!$B$13,Paramètres!$A$1:$I$89,5,0)</f>
        <v>8.8675733422860506E-14</v>
      </c>
      <c r="CV77" s="14">
        <f t="shared" si="95"/>
        <v>1.3509285393066301E-12</v>
      </c>
      <c r="CW77" s="22">
        <f t="shared" si="67"/>
        <v>2.5073107750038623E-12</v>
      </c>
      <c r="CX77" s="62">
        <f t="shared" si="68"/>
        <v>272.87841257684323</v>
      </c>
      <c r="CY77" s="62">
        <f ca="1">AVERAGE(OFFSET($CX$3,0,0,'Données projet'!$E$13+1,1))-AVERAGE(OFFSET($H$3,0,0,'Données projet'!$E$13+1,1))</f>
        <v>308.52515801950324</v>
      </c>
      <c r="CZ77" s="62">
        <f t="shared" si="96"/>
        <v>299.05420638408953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64.421385248229285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4.8600000000000021</v>
      </c>
      <c r="DO77" s="13">
        <f>IF('Données projet'!$A$166&gt;35,DO76+DN77-DW76,IF(A77&lt;'Données projet'!$A$166,$DL$205^A77,IF(A77='Données projet'!$A$166,'Données projet'!$B$166,DO76+DN77-DW76)))</f>
        <v>370.24000000000035</v>
      </c>
      <c r="DP77" s="18">
        <f>DO77*VLOOKUP('Données projet'!$B$14,Paramètres!$A$1:$I$89,3,0)*VLOOKUP('Données projet'!$B$14,Paramètres!$A$1:$I$89,5,0)</f>
        <v>271.45996800000023</v>
      </c>
      <c r="DQ77" s="14">
        <f t="shared" si="97"/>
        <v>65.159014031608322</v>
      </c>
      <c r="DR77" s="22">
        <f t="shared" si="70"/>
        <v>586.2780603717182</v>
      </c>
      <c r="DS77" s="62">
        <f t="shared" si="71"/>
        <v>859.15647294855899</v>
      </c>
      <c r="DT77" s="62">
        <f ca="1">AVERAGE(OFFSET($DS$3,0,0,'Données projet'!$E$14+1,1))-AVERAGE(OFFSET($H$3,0,0,'Données projet'!$E$14+1,1))</f>
        <v>416.72317068678774</v>
      </c>
      <c r="DU77" s="62">
        <f t="shared" si="98"/>
        <v>447.32457429495537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64.421385248229285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4.8717948717948731</v>
      </c>
      <c r="EJ77" s="13">
        <f>IF('Données projet'!$A$192&gt;35,EJ76+EI77-ER76,IF(A77&lt;'Données projet'!$A$192,$EG$205^A77,IF(A77='Données projet'!$A$192,'Données projet'!$B$192,EJ76+EI77-ER76)))</f>
        <v>239.35897435897439</v>
      </c>
      <c r="EK77" s="18">
        <f>EJ77*VLOOKUP('Données projet'!$B$15,Paramètres!$A$1:$I$89,3,0)*VLOOKUP('Données projet'!$B$15,Paramètres!$A$1:$I$89,5,0)</f>
        <v>227.77400000000003</v>
      </c>
      <c r="EL77" s="14">
        <f t="shared" si="99"/>
        <v>55.801096194172317</v>
      </c>
      <c r="EM77" s="22">
        <f t="shared" si="73"/>
        <v>493.89329253818352</v>
      </c>
      <c r="EN77" s="62">
        <f t="shared" si="74"/>
        <v>766.77170511502425</v>
      </c>
      <c r="EO77" s="62">
        <f ca="1">AVERAGE(OFFSET($EN$3,0,0,'Données projet'!$E$15+1,1))-AVERAGE(OFFSET($H$3,0,0,'Données projet'!$E$15+1,1))</f>
        <v>454.78867027701426</v>
      </c>
      <c r="EP77" s="62">
        <f t="shared" si="100"/>
        <v>366.45346303927056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0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64.421385248229285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5.1282051282051269</v>
      </c>
      <c r="FE77" s="13">
        <f>IF('Données projet'!$A$218&gt;35,FE76+FD77-FM76,IF(A77&lt;'Données projet'!$A$218,$FB$205^A77,IF(A77='Données projet'!$A$218,'Données projet'!$B$218,FE76+FD77-FM76)))</f>
        <v>298.07692307692315</v>
      </c>
      <c r="FF77" s="18">
        <f>FE77*VLOOKUP('Données projet'!$B$16,Paramètres!$A$1:$I$89,3,0)*VLOOKUP('Données projet'!$B$16,Paramètres!$A$1:$I$89,5,0)</f>
        <v>199.95000000000007</v>
      </c>
      <c r="FG77" s="14">
        <f t="shared" si="101"/>
        <v>49.733179078835313</v>
      </c>
      <c r="FH77" s="22">
        <f t="shared" si="76"/>
        <v>434.8648702289716</v>
      </c>
      <c r="FI77" s="62">
        <f t="shared" si="77"/>
        <v>707.74328280581233</v>
      </c>
      <c r="FJ77" s="62">
        <f ca="1">AVERAGE(OFFSET($FI$3,0,0,'Données projet'!$E$16+1,1))-AVERAGE(OFFSET($H$3,0,0,'Données projet'!$E$16+1,1))</f>
        <v>390.05579539539576</v>
      </c>
      <c r="FK77" s="62">
        <f t="shared" si="102"/>
        <v>323.72278615226139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projet'!$B$16,Paramètres!$A$1:$I$89,3,0)*0.475*44/12</f>
        <v>0</v>
      </c>
      <c r="FR77" s="23">
        <f>EXP(-LN(2)/25)*FR76+(1-EXP(-LN(2)/25))/(LN(2)/25)*Calculateur!FM77*Calculateur!FO77*VLOOKUP('Données projet'!$B$16,Paramètres!$A$1:$I$89,3,0)*0.475*44/12</f>
        <v>0</v>
      </c>
      <c r="FS77" s="23">
        <f>EXP(-LN(2)/2)*FS76+(1-EXP(-LN(2)/2))/(LN(2)/2)*FM77*FP77*VLOOKUP('Données projet'!$B$16,Paramètres!$A$1:$I$89,3,0)*0.475*44/12</f>
        <v>0</v>
      </c>
      <c r="FT77" s="24">
        <f t="shared" si="78"/>
        <v>0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64.421385248229285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7.6</v>
      </c>
      <c r="FZ77" s="13">
        <f>IF('Données projet'!$A$244&gt;35,FZ76+FY77-GH76,IF(A77&lt;'Données projet'!$A$244,$FW$205^A77,IF(A77='Données projet'!$A$244,'Données projet'!$B$244,FZ76+FY77-GH76)))</f>
        <v>304.39999999999992</v>
      </c>
      <c r="GA77" s="18">
        <f>FZ77*VLOOKUP('Données projet'!$B$17,Paramètres!$A$1:$I$89,3,0)*VLOOKUP('Données projet'!$B$17,Paramètres!$A$1:$I$89,5,0)</f>
        <v>294.41567999999995</v>
      </c>
      <c r="GB77" s="14">
        <f t="shared" si="103"/>
        <v>70.004498360393399</v>
      </c>
      <c r="GC77" s="22">
        <f t="shared" si="79"/>
        <v>634.69847731101845</v>
      </c>
      <c r="GD77" s="62">
        <f t="shared" si="80"/>
        <v>907.57688988785912</v>
      </c>
      <c r="GE77" s="62">
        <f ca="1">AVERAGE(OFFSET($GD$3,0,0,'Données projet'!$E$17+1,1))-AVERAGE(OFFSET($H$3,0,0,'Données projet'!$E$17+1,1))</f>
        <v>578.44111602076555</v>
      </c>
      <c r="GF77" s="62">
        <f t="shared" si="104"/>
        <v>368.08542661432784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>
        <f>EXP(-LN(2)/35)*GL76+(1-EXP(-LN(2)/35))/(LN(2)/35)*GH77*GI77*VLOOKUP('Données projet'!$B$17,Paramètres!$A$1:$I$89,3,0)*0.475*44/12</f>
        <v>0</v>
      </c>
      <c r="GM77" s="23">
        <f>EXP(-LN(2)/25)*GM76+(1-EXP(-LN(2)/25))/(LN(2)/25)*Calculateur!GH77*Calculateur!GJ77*VLOOKUP('Données projet'!$B$17,Paramètres!$A$1:$I$89,3,0)*0.475*44/12</f>
        <v>0</v>
      </c>
      <c r="GN77" s="23">
        <f>EXP(-LN(2)/2)*GN76+(1-EXP(-LN(2)/2))/(LN(2)/2)*GH77*GK77*VLOOKUP('Données projet'!$B$17,Paramètres!$A$1:$I$89,3,0)*0.475*44/12</f>
        <v>0</v>
      </c>
      <c r="GO77" s="23">
        <f t="shared" si="81"/>
        <v>0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64.421385248229285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4.0735000000000001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14.936166666666667</v>
      </c>
      <c r="H78" s="70">
        <f t="shared" si="56"/>
        <v>196.922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64.518161742258343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312</v>
      </c>
      <c r="L78" s="13">
        <f>VLOOKUP(A78,'Données projet'!$A$35:$I$55,9,0)</f>
        <v>7.6</v>
      </c>
      <c r="M78" s="13">
        <f t="array" ref="M78">INDEX(L:L,MIN(IF(ISNUMBER(L78:L274),ROW(L78:L274),"")))</f>
        <v>7.6</v>
      </c>
      <c r="N78" s="14">
        <f>IF('Données projet'!$A$36&gt;35,N77+M78-V77,IF(A78&lt;'Données projet'!$A$36,$K$205^A78,IF(A78='Données projet'!$A$36,'Données projet'!$B$36,N77+M78-V77)))</f>
        <v>311.99999999999994</v>
      </c>
      <c r="O78" s="14">
        <f>N78*VLOOKUP('Données projet'!$B$9,Paramètres!$A$1:$I$89,3,0)*VLOOKUP('Données projet'!$B$9,Paramètres!$A$1:$I$89,5,0)</f>
        <v>282.29759999999993</v>
      </c>
      <c r="P78" s="14">
        <f t="shared" si="87"/>
        <v>67.452326629470178</v>
      </c>
      <c r="Q78" s="22">
        <f t="shared" si="54"/>
        <v>609.14778887966042</v>
      </c>
      <c r="R78" s="62">
        <f t="shared" si="55"/>
        <v>882.38104860127441</v>
      </c>
      <c r="S78" s="62">
        <f ca="1">AVERAGE(OFFSET($R$3,0,0,'Données projet'!$E$9+1,1))-AVERAGE(OFFSET($H$3,0,0,'Données projet'!$E$9+1,1))</f>
        <v>546.11281471711925</v>
      </c>
      <c r="T78" s="62">
        <f t="shared" si="88"/>
        <v>348.18069831447099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64.518161742258343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442</v>
      </c>
      <c r="AG78" s="13">
        <f>VLOOKUP(A78,'Données projet'!$A$61:$I$81,9,0)</f>
        <v>11</v>
      </c>
      <c r="AH78" s="13">
        <f t="array" ref="AH78">INDEX(AG:AG,MIN(IF(ISNUMBER(AG78:AG274),ROW(AG78:AG274),"")))</f>
        <v>11</v>
      </c>
      <c r="AI78" s="14">
        <f>IF('Données projet'!$A$62&gt;35,AI77+AH78-AQ77,IF(A78&lt;'Données projet'!$A$62,$AF$205^A78,IF(A78='Données projet'!$A$62,'Données projet'!$B$62,AI77+AH78-AQ77)))</f>
        <v>442</v>
      </c>
      <c r="AJ78" s="14">
        <f>AI78*VLOOKUP('Données projet'!$B$10,Paramètres!$A$1:$I$89,3,0)*VLOOKUP('Données projet'!$B$10,Paramètres!$A$1:$I$89,5,0)</f>
        <v>379.23600000000005</v>
      </c>
      <c r="AK78" s="14">
        <f t="shared" si="89"/>
        <v>87.554112396331476</v>
      </c>
      <c r="AL78" s="22">
        <f t="shared" si="58"/>
        <v>812.99277909027751</v>
      </c>
      <c r="AM78" s="62">
        <f t="shared" si="59"/>
        <v>1086.2260388118914</v>
      </c>
      <c r="AN78" s="62">
        <f ca="1">AVERAGE(OFFSET($AM$3,0,0,'Données projet'!$E$10+1,1))-AVERAGE(OFFSET($H$3,0,0,'Données projet'!$E$10+1,1))</f>
        <v>693.87994318348024</v>
      </c>
      <c r="AO78" s="62">
        <f t="shared" si="90"/>
        <v>327.71043739333641</v>
      </c>
      <c r="AP78" s="16">
        <f>IF(ISNA(VLOOKUP(A78,'Données projet'!$A$61:$I$81,3,0)),0,VLOOKUP(A78,'Données projet'!$A$61:$I$81,3,0))</f>
        <v>6</v>
      </c>
      <c r="AQ78" s="16">
        <f>IF(ISNA(VLOOKUP(A78,'Données projet'!$A$61:$I$81,4,0)),0,VLOOKUP(A78,'Données projet'!$A$61:$I$81,4,0))</f>
        <v>70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64.518161742258343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312</v>
      </c>
      <c r="BB78" s="13">
        <f>VLOOKUP(A78,'Données projet'!$A$87:$I$107,9,0)</f>
        <v>7.6</v>
      </c>
      <c r="BC78" s="13">
        <f t="array" ref="BC78">INDEX(BB:BB,MIN(IF(ISNUMBER(BB78:BB274),ROW(BB78:BB274),"")))</f>
        <v>7.6</v>
      </c>
      <c r="BD78" s="13">
        <f>IF('Données projet'!$A$88&gt;35,BD77+BC78-BL77,IF(A78&lt;'Données projet'!$A$88,$BA$205^A78,IF(A78='Données projet'!$A$88,'Données projet'!$B$88,BD77+BC78-BL77)))</f>
        <v>311.99999999999994</v>
      </c>
      <c r="BE78" s="14">
        <f>BD78*VLOOKUP('Données projet'!$B$11,Paramètres!$A$1:$I$89,3,0)*VLOOKUP('Données projet'!$B$11,Paramètres!$A$1:$I$89,5,0)</f>
        <v>262.8288</v>
      </c>
      <c r="BF78" s="14">
        <f t="shared" si="91"/>
        <v>63.324983518559485</v>
      </c>
      <c r="BG78" s="22">
        <f t="shared" si="61"/>
        <v>568.05117296149103</v>
      </c>
      <c r="BH78" s="62">
        <f t="shared" si="62"/>
        <v>841.28443268310502</v>
      </c>
      <c r="BI78" s="62">
        <f ca="1">AVERAGE(OFFSET($BH$3,0,0,'Données projet'!$E$11+1,1))-AVERAGE(OFFSET($H$3,0,0,'Données projet'!$E$11+1,1))</f>
        <v>513.7388209355762</v>
      </c>
      <c r="BJ78" s="62">
        <f t="shared" si="92"/>
        <v>328.24603121433927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64.518161742258343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375.1</v>
      </c>
      <c r="BW78" s="13">
        <f>VLOOKUP(A78,'Données projet'!$A$113:$I$133,9,0)</f>
        <v>4.8600000000000021</v>
      </c>
      <c r="BX78" s="13">
        <f t="array" ref="BX78">INDEX(BW:BW,MIN(IF(ISNUMBER(BW78:BW274),ROW(BW78:BW274),"")))</f>
        <v>4.8600000000000021</v>
      </c>
      <c r="BY78" s="13">
        <f>IF('Données projet'!$A$114&gt;35,BY77+BX78-CG77,IF(A78&lt;'Données projet'!$A$114,$BV$205^A78,IF(A78='Données projet'!$A$114,'Données projet'!$B$114,BY77+BX78-CG77)))</f>
        <v>375.10000000000036</v>
      </c>
      <c r="BZ78" s="14">
        <f>BY78*VLOOKUP('Données projet'!$B$12,Paramètres!$A$1:$I$89,3,0)*VLOOKUP('Données projet'!$B$12,Paramètres!$A$1:$I$89,5,0)</f>
        <v>298.42956000000032</v>
      </c>
      <c r="CA78" s="14">
        <f t="shared" si="93"/>
        <v>70.847138431169782</v>
      </c>
      <c r="CB78" s="22">
        <f t="shared" si="64"/>
        <v>643.15691643428784</v>
      </c>
      <c r="CC78" s="62">
        <f t="shared" si="65"/>
        <v>916.39017615590183</v>
      </c>
      <c r="CD78" s="62">
        <f ca="1">AVERAGE(OFFSET($CC$3,0,0,'Données projet'!$E$12+1,1))-AVERAGE(OFFSET($H$3,0,0,'Données projet'!$E$12+1,1))</f>
        <v>447.25854887589878</v>
      </c>
      <c r="CE78" s="62">
        <f t="shared" si="94"/>
        <v>480.13390593590157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64.518161742258343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1.1368683772161603E-13</v>
      </c>
      <c r="CU78" s="18">
        <f>CT78*VLOOKUP('Données projet'!$B$13,Paramètres!$A$1:$I$89,3,0)*VLOOKUP('Données projet'!$B$13,Paramètres!$A$1:$I$89,5,0)</f>
        <v>8.8675733422860506E-14</v>
      </c>
      <c r="CV78" s="14">
        <f t="shared" si="95"/>
        <v>1.3509285393066301E-12</v>
      </c>
      <c r="CW78" s="22">
        <f t="shared" si="67"/>
        <v>2.5073107750038623E-12</v>
      </c>
      <c r="CX78" s="62">
        <f t="shared" si="68"/>
        <v>273.23325972161643</v>
      </c>
      <c r="CY78" s="62">
        <f ca="1">AVERAGE(OFFSET($CX$3,0,0,'Données projet'!$E$13+1,1))-AVERAGE(OFFSET($H$3,0,0,'Données projet'!$E$13+1,1))</f>
        <v>308.52515801950324</v>
      </c>
      <c r="CZ78" s="62">
        <f t="shared" si="96"/>
        <v>299.05420638408953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64.518161742258343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375.1</v>
      </c>
      <c r="DM78" s="13">
        <f>VLOOKUP(A78,'Données projet'!$A$165:$I$185,9,0)</f>
        <v>4.8600000000000021</v>
      </c>
      <c r="DN78" s="13">
        <f t="array" ref="DN78">INDEX(DM:DM,MIN(IF(ISNUMBER(DM78:DM274),ROW(DM78:DM274),"")))</f>
        <v>4.8600000000000021</v>
      </c>
      <c r="DO78" s="13">
        <f>IF('Données projet'!$A$166&gt;35,DO77+DN78-DW77,IF(A78&lt;'Données projet'!$A$166,$DL$205^A78,IF(A78='Données projet'!$A$166,'Données projet'!$B$166,DO77+DN78-DW77)))</f>
        <v>375.10000000000036</v>
      </c>
      <c r="DP78" s="18">
        <f>DO78*VLOOKUP('Données projet'!$B$14,Paramètres!$A$1:$I$89,3,0)*VLOOKUP('Données projet'!$B$14,Paramètres!$A$1:$I$89,5,0)</f>
        <v>275.0233200000003</v>
      </c>
      <c r="DQ78" s="14">
        <f t="shared" si="97"/>
        <v>65.914198135154436</v>
      </c>
      <c r="DR78" s="22">
        <f t="shared" si="70"/>
        <v>593.79951075206111</v>
      </c>
      <c r="DS78" s="62">
        <f t="shared" si="71"/>
        <v>867.0327704736751</v>
      </c>
      <c r="DT78" s="62">
        <f ca="1">AVERAGE(OFFSET($DS$3,0,0,'Données projet'!$E$14+1,1))-AVERAGE(OFFSET($H$3,0,0,'Données projet'!$E$14+1,1))</f>
        <v>416.72317068678774</v>
      </c>
      <c r="DU78" s="62">
        <f t="shared" si="98"/>
        <v>447.32457429495537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64.518161742258343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>
        <f>VLOOKUP(A78,'Données projet'!$A$191:$I$211,2,0)</f>
        <v>244.23076923076923</v>
      </c>
      <c r="EH78" s="13">
        <f>VLOOKUP(A78,'Données projet'!$A$191:$I$211,9,0)</f>
        <v>4.8717948717948731</v>
      </c>
      <c r="EI78" s="13">
        <f t="array" ref="EI78">INDEX(EH:EH,MIN(IF(ISNUMBER(EH78:EH274),ROW(EH78:EH274),"")))</f>
        <v>4.8717948717948731</v>
      </c>
      <c r="EJ78" s="13">
        <f>IF('Données projet'!$A$192&gt;35,EJ77+EI78-ER77,IF(A78&lt;'Données projet'!$A$192,$EG$205^A78,IF(A78='Données projet'!$A$192,'Données projet'!$B$192,EJ77+EI78-ER77)))</f>
        <v>244.23076923076925</v>
      </c>
      <c r="EK78" s="18">
        <f>EJ78*VLOOKUP('Données projet'!$B$15,Paramètres!$A$1:$I$89,3,0)*VLOOKUP('Données projet'!$B$15,Paramètres!$A$1:$I$89,5,0)</f>
        <v>232.41000000000005</v>
      </c>
      <c r="EL78" s="14">
        <f t="shared" si="99"/>
        <v>56.803463325366828</v>
      </c>
      <c r="EM78" s="22">
        <f t="shared" si="73"/>
        <v>503.713448625014</v>
      </c>
      <c r="EN78" s="62">
        <f t="shared" si="74"/>
        <v>776.94670834662793</v>
      </c>
      <c r="EO78" s="62">
        <f ca="1">AVERAGE(OFFSET($EN$3,0,0,'Données projet'!$E$15+1,1))-AVERAGE(OFFSET($H$3,0,0,'Données projet'!$E$15+1,1))</f>
        <v>454.78867027701426</v>
      </c>
      <c r="EP78" s="62">
        <f t="shared" si="100"/>
        <v>366.45346303927056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0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64.518161742258343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>
        <f>VLOOKUP(A78,'Données projet'!$A$217:$I$237,2,0)</f>
        <v>303.20512820512818</v>
      </c>
      <c r="FC78" s="13">
        <f>VLOOKUP(A78,'Données projet'!$A$217:$I$237,9,0)</f>
        <v>5.1282051282051269</v>
      </c>
      <c r="FD78" s="13">
        <f t="array" ref="FD78">INDEX(FC:FC,MIN(IF(ISNUMBER(FC78:FC274),ROW(FC78:FC274),"")))</f>
        <v>5.1282051282051269</v>
      </c>
      <c r="FE78" s="13">
        <f>IF('Données projet'!$A$218&gt;35,FE77+FD78-FM77,IF(A78&lt;'Données projet'!$A$218,$FB$205^A78,IF(A78='Données projet'!$A$218,'Données projet'!$B$218,FE77+FD78-FM77)))</f>
        <v>303.20512820512829</v>
      </c>
      <c r="FF78" s="18">
        <f>FE78*VLOOKUP('Données projet'!$B$16,Paramètres!$A$1:$I$89,3,0)*VLOOKUP('Données projet'!$B$16,Paramètres!$A$1:$I$89,5,0)</f>
        <v>203.39000000000007</v>
      </c>
      <c r="FG78" s="14">
        <f t="shared" si="101"/>
        <v>50.488456760806663</v>
      </c>
      <c r="FH78" s="22">
        <f t="shared" si="76"/>
        <v>442.17164552507165</v>
      </c>
      <c r="FI78" s="62">
        <f t="shared" si="77"/>
        <v>715.40490524668553</v>
      </c>
      <c r="FJ78" s="62">
        <f ca="1">AVERAGE(OFFSET($FI$3,0,0,'Données projet'!$E$16+1,1))-AVERAGE(OFFSET($H$3,0,0,'Données projet'!$E$16+1,1))</f>
        <v>390.05579539539576</v>
      </c>
      <c r="FK78" s="62">
        <f t="shared" si="102"/>
        <v>323.72278615226139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projet'!$B$16,Paramètres!$A$1:$I$89,3,0)*0.475*44/12</f>
        <v>0</v>
      </c>
      <c r="FR78" s="23">
        <f>EXP(-LN(2)/25)*FR77+(1-EXP(-LN(2)/25))/(LN(2)/25)*Calculateur!FM78*Calculateur!FO78*VLOOKUP('Données projet'!$B$16,Paramètres!$A$1:$I$89,3,0)*0.475*44/12</f>
        <v>0</v>
      </c>
      <c r="FS78" s="23">
        <f>EXP(-LN(2)/2)*FS77+(1-EXP(-LN(2)/2))/(LN(2)/2)*FM78*FP78*VLOOKUP('Données projet'!$B$16,Paramètres!$A$1:$I$89,3,0)*0.475*44/12</f>
        <v>0</v>
      </c>
      <c r="FT78" s="24">
        <f t="shared" si="78"/>
        <v>0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64.518161742258343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>
        <f>VLOOKUP(A78,'Données projet'!$A$243:$I$263,2,0)</f>
        <v>312</v>
      </c>
      <c r="FX78" s="13">
        <f>VLOOKUP(A78,'Données projet'!$A$243:$I$263,9,0)</f>
        <v>7.6</v>
      </c>
      <c r="FY78" s="13">
        <f t="array" ref="FY78">INDEX(FX:FX,MIN(IF(ISNUMBER(FX78:FX274),ROW(FX78:FX274),"")))</f>
        <v>7.6</v>
      </c>
      <c r="FZ78" s="13">
        <f>IF('Données projet'!$A$244&gt;35,FZ77+FY78-GH77,IF(A78&lt;'Données projet'!$A$244,$FW$205^A78,IF(A78='Données projet'!$A$244,'Données projet'!$B$244,FZ77+FY78-GH77)))</f>
        <v>311.99999999999994</v>
      </c>
      <c r="GA78" s="18">
        <f>FZ78*VLOOKUP('Données projet'!$B$17,Paramètres!$A$1:$I$89,3,0)*VLOOKUP('Données projet'!$B$17,Paramètres!$A$1:$I$89,5,0)</f>
        <v>301.76639999999998</v>
      </c>
      <c r="GB78" s="14">
        <f t="shared" si="103"/>
        <v>71.546642144235364</v>
      </c>
      <c r="GC78" s="22">
        <f t="shared" si="79"/>
        <v>650.18688173454314</v>
      </c>
      <c r="GD78" s="62">
        <f t="shared" si="80"/>
        <v>923.42014145615713</v>
      </c>
      <c r="GE78" s="62">
        <f ca="1">AVERAGE(OFFSET($GD$3,0,0,'Données projet'!$E$17+1,1))-AVERAGE(OFFSET($H$3,0,0,'Données projet'!$E$17+1,1))</f>
        <v>578.44111602076555</v>
      </c>
      <c r="GF78" s="62">
        <f t="shared" si="104"/>
        <v>368.08542661432784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>
        <f>EXP(-LN(2)/35)*GL77+(1-EXP(-LN(2)/35))/(LN(2)/35)*GH78*GI78*VLOOKUP('Données projet'!$B$17,Paramètres!$A$1:$I$89,3,0)*0.475*44/12</f>
        <v>0</v>
      </c>
      <c r="GM78" s="23">
        <f>EXP(-LN(2)/25)*GM77+(1-EXP(-LN(2)/25))/(LN(2)/25)*Calculateur!GH78*Calculateur!GJ78*VLOOKUP('Données projet'!$B$17,Paramètres!$A$1:$I$89,3,0)*0.475*44/12</f>
        <v>0</v>
      </c>
      <c r="GN78" s="23">
        <f>EXP(-LN(2)/2)*GN77+(1-EXP(-LN(2)/2))/(LN(2)/2)*GH78*GK78*VLOOKUP('Données projet'!$B$17,Paramètres!$A$1:$I$89,3,0)*0.475*44/12</f>
        <v>0</v>
      </c>
      <c r="GO78" s="23">
        <f t="shared" si="81"/>
        <v>0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64.518161742258343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4.0735000000000001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14.936166666666667</v>
      </c>
      <c r="H79" s="70">
        <f t="shared" si="56"/>
        <v>196.922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64.613259380475824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7.2</v>
      </c>
      <c r="N79" s="14">
        <f>IF('Données projet'!$A$36&gt;35,N78+M79-V78,IF(A79&lt;'Données projet'!$A$36,$K$205^A79,IF(A79='Données projet'!$A$36,'Données projet'!$B$36,N78+M79-V78)))</f>
        <v>319.19999999999993</v>
      </c>
      <c r="O79" s="14">
        <f>N79*VLOOKUP('Données projet'!$B$9,Paramètres!$A$1:$I$89,3,0)*VLOOKUP('Données projet'!$B$9,Paramètres!$A$1:$I$89,5,0)</f>
        <v>288.81215999999989</v>
      </c>
      <c r="P79" s="14">
        <f t="shared" si="87"/>
        <v>68.825899854238102</v>
      </c>
      <c r="Q79" s="22">
        <f t="shared" si="54"/>
        <v>622.88628757946447</v>
      </c>
      <c r="R79" s="62">
        <f t="shared" si="55"/>
        <v>896.46823864120915</v>
      </c>
      <c r="S79" s="62">
        <f ca="1">AVERAGE(OFFSET($R$3,0,0,'Données projet'!$E$9+1,1))-AVERAGE(OFFSET($H$3,0,0,'Données projet'!$E$9+1,1))</f>
        <v>546.11281471711925</v>
      </c>
      <c r="T79" s="62">
        <f t="shared" si="88"/>
        <v>348.18069831447099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64.613259380475824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10.4</v>
      </c>
      <c r="AI79" s="14">
        <f>IF('Données projet'!$A$62&gt;35,AI78+AH79-AQ78,IF(A79&lt;'Données projet'!$A$62,$AF$205^A79,IF(A79='Données projet'!$A$62,'Données projet'!$B$62,AI78+AH79-AQ78)))</f>
        <v>382.4</v>
      </c>
      <c r="AJ79" s="14">
        <f>AI79*VLOOKUP('Données projet'!$B$10,Paramètres!$A$1:$I$89,3,0)*VLOOKUP('Données projet'!$B$10,Paramètres!$A$1:$I$89,5,0)</f>
        <v>328.0992</v>
      </c>
      <c r="AK79" s="14">
        <f t="shared" si="89"/>
        <v>77.036090442258086</v>
      </c>
      <c r="AL79" s="22">
        <f t="shared" si="58"/>
        <v>705.61063085359956</v>
      </c>
      <c r="AM79" s="62">
        <f t="shared" si="59"/>
        <v>979.19258191534425</v>
      </c>
      <c r="AN79" s="62">
        <f ca="1">AVERAGE(OFFSET($AM$3,0,0,'Données projet'!$E$10+1,1))-AVERAGE(OFFSET($H$3,0,0,'Données projet'!$E$10+1,1))</f>
        <v>693.87994318348024</v>
      </c>
      <c r="AO79" s="62">
        <f t="shared" si="90"/>
        <v>327.71043739333641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64.613259380475824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7.2</v>
      </c>
      <c r="BD79" s="13">
        <f>IF('Données projet'!$A$88&gt;35,BD78+BC79-BL78,IF(A79&lt;'Données projet'!$A$88,$BA$205^A79,IF(A79='Données projet'!$A$88,'Données projet'!$B$88,BD78+BC79-BL78)))</f>
        <v>319.19999999999993</v>
      </c>
      <c r="BE79" s="14">
        <f>BD79*VLOOKUP('Données projet'!$B$11,Paramètres!$A$1:$I$89,3,0)*VLOOKUP('Données projet'!$B$11,Paramètres!$A$1:$I$89,5,0)</f>
        <v>268.89407999999997</v>
      </c>
      <c r="BF79" s="14">
        <f t="shared" si="91"/>
        <v>64.614509116360892</v>
      </c>
      <c r="BG79" s="22">
        <f t="shared" si="61"/>
        <v>580.86079271099516</v>
      </c>
      <c r="BH79" s="62">
        <f t="shared" si="62"/>
        <v>854.44274377273985</v>
      </c>
      <c r="BI79" s="62">
        <f ca="1">AVERAGE(OFFSET($BH$3,0,0,'Données projet'!$E$11+1,1))-AVERAGE(OFFSET($H$3,0,0,'Données projet'!$E$11+1,1))</f>
        <v>513.7388209355762</v>
      </c>
      <c r="BJ79" s="62">
        <f t="shared" si="92"/>
        <v>328.24603121433927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64.613259380475824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4.0999999999999996</v>
      </c>
      <c r="BY79" s="13">
        <f>IF('Données projet'!$A$114&gt;35,BY78+BX79-CG78,IF(A79&lt;'Données projet'!$A$114,$BV$205^A79,IF(A79='Données projet'!$A$114,'Données projet'!$B$114,BY78+BX79-CG78)))</f>
        <v>379.20000000000039</v>
      </c>
      <c r="BZ79" s="14">
        <f>BY79*VLOOKUP('Données projet'!$B$12,Paramètres!$A$1:$I$89,3,0)*VLOOKUP('Données projet'!$B$12,Paramètres!$A$1:$I$89,5,0)</f>
        <v>301.69152000000031</v>
      </c>
      <c r="CA79" s="14">
        <f t="shared" si="93"/>
        <v>71.530954916923676</v>
      </c>
      <c r="CB79" s="22">
        <f t="shared" si="64"/>
        <v>650.02914381364258</v>
      </c>
      <c r="CC79" s="62">
        <f t="shared" si="65"/>
        <v>923.61109487538727</v>
      </c>
      <c r="CD79" s="62">
        <f ca="1">AVERAGE(OFFSET($CC$3,0,0,'Données projet'!$E$12+1,1))-AVERAGE(OFFSET($H$3,0,0,'Données projet'!$E$12+1,1))</f>
        <v>447.25854887589878</v>
      </c>
      <c r="CE79" s="62">
        <f t="shared" si="94"/>
        <v>480.13390593590157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64.613259380475824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1.1368683772161603E-13</v>
      </c>
      <c r="CU79" s="18">
        <f>CT79*VLOOKUP('Données projet'!$B$13,Paramètres!$A$1:$I$89,3,0)*VLOOKUP('Données projet'!$B$13,Paramètres!$A$1:$I$89,5,0)</f>
        <v>8.8675733422860506E-14</v>
      </c>
      <c r="CV79" s="14">
        <f t="shared" si="95"/>
        <v>1.3509285393066301E-12</v>
      </c>
      <c r="CW79" s="22">
        <f t="shared" si="67"/>
        <v>2.5073107750038623E-12</v>
      </c>
      <c r="CX79" s="62">
        <f t="shared" si="68"/>
        <v>273.58195106174719</v>
      </c>
      <c r="CY79" s="62">
        <f ca="1">AVERAGE(OFFSET($CX$3,0,0,'Données projet'!$E$13+1,1))-AVERAGE(OFFSET($H$3,0,0,'Données projet'!$E$13+1,1))</f>
        <v>308.52515801950324</v>
      </c>
      <c r="CZ79" s="62">
        <f t="shared" si="96"/>
        <v>299.05420638408953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64.613259380475824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4.0999999999999996</v>
      </c>
      <c r="DO79" s="13">
        <f>IF('Données projet'!$A$166&gt;35,DO78+DN79-DW78,IF(A79&lt;'Données projet'!$A$166,$DL$205^A79,IF(A79='Données projet'!$A$166,'Données projet'!$B$166,DO78+DN79-DW78)))</f>
        <v>379.20000000000039</v>
      </c>
      <c r="DP79" s="18">
        <f>DO79*VLOOKUP('Données projet'!$B$14,Paramètres!$A$1:$I$89,3,0)*VLOOKUP('Données projet'!$B$14,Paramètres!$A$1:$I$89,5,0)</f>
        <v>278.02944000000025</v>
      </c>
      <c r="DQ79" s="14">
        <f t="shared" si="97"/>
        <v>66.550401887743007</v>
      </c>
      <c r="DR79" s="22">
        <f t="shared" si="70"/>
        <v>600.14322462115285</v>
      </c>
      <c r="DS79" s="62">
        <f t="shared" si="71"/>
        <v>873.72517568289754</v>
      </c>
      <c r="DT79" s="62">
        <f ca="1">AVERAGE(OFFSET($DS$3,0,0,'Données projet'!$E$14+1,1))-AVERAGE(OFFSET($H$3,0,0,'Données projet'!$E$14+1,1))</f>
        <v>416.72317068678774</v>
      </c>
      <c r="DU79" s="62">
        <f t="shared" si="98"/>
        <v>447.32457429495537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64.613259380475824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4.4871794871794917</v>
      </c>
      <c r="EJ79" s="13">
        <f>IF('Données projet'!$A$192&gt;35,EJ78+EI79-ER78,IF(A79&lt;'Données projet'!$A$192,$EG$205^A79,IF(A79='Données projet'!$A$192,'Données projet'!$B$192,EJ78+EI79-ER78)))</f>
        <v>248.71794871794876</v>
      </c>
      <c r="EK79" s="18">
        <f>EJ79*VLOOKUP('Données projet'!$B$15,Paramètres!$A$1:$I$89,3,0)*VLOOKUP('Données projet'!$B$15,Paramètres!$A$1:$I$89,5,0)</f>
        <v>236.68000000000004</v>
      </c>
      <c r="EL79" s="14">
        <f t="shared" si="99"/>
        <v>57.724638232498961</v>
      </c>
      <c r="EM79" s="22">
        <f t="shared" si="73"/>
        <v>512.75474492160231</v>
      </c>
      <c r="EN79" s="62">
        <f t="shared" si="74"/>
        <v>786.336695983347</v>
      </c>
      <c r="EO79" s="62">
        <f ca="1">AVERAGE(OFFSET($EN$3,0,0,'Données projet'!$E$15+1,1))-AVERAGE(OFFSET($H$3,0,0,'Données projet'!$E$15+1,1))</f>
        <v>454.78867027701426</v>
      </c>
      <c r="EP79" s="62">
        <f t="shared" si="100"/>
        <v>366.45346303927056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0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64.613259380475824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4.7435897435897463</v>
      </c>
      <c r="FE79" s="13">
        <f>IF('Données projet'!$A$218&gt;35,FE78+FD79-FM78,IF(A79&lt;'Données projet'!$A$218,$FB$205^A79,IF(A79='Données projet'!$A$218,'Données projet'!$B$218,FE78+FD79-FM78)))</f>
        <v>307.94871794871801</v>
      </c>
      <c r="FF79" s="18">
        <f>FE79*VLOOKUP('Données projet'!$B$16,Paramètres!$A$1:$I$89,3,0)*VLOOKUP('Données projet'!$B$16,Paramètres!$A$1:$I$89,5,0)</f>
        <v>206.57200000000006</v>
      </c>
      <c r="FG79" s="14">
        <f t="shared" si="101"/>
        <v>51.185765406859225</v>
      </c>
      <c r="FH79" s="22">
        <f t="shared" si="76"/>
        <v>448.92810808361315</v>
      </c>
      <c r="FI79" s="62">
        <f t="shared" si="77"/>
        <v>722.5100591453579</v>
      </c>
      <c r="FJ79" s="62">
        <f ca="1">AVERAGE(OFFSET($FI$3,0,0,'Données projet'!$E$16+1,1))-AVERAGE(OFFSET($H$3,0,0,'Données projet'!$E$16+1,1))</f>
        <v>390.05579539539576</v>
      </c>
      <c r="FK79" s="62">
        <f t="shared" si="102"/>
        <v>323.72278615226139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projet'!$B$16,Paramètres!$A$1:$I$89,3,0)*0.475*44/12</f>
        <v>0</v>
      </c>
      <c r="FR79" s="23">
        <f>EXP(-LN(2)/25)*FR78+(1-EXP(-LN(2)/25))/(LN(2)/25)*Calculateur!FM79*Calculateur!FO79*VLOOKUP('Données projet'!$B$16,Paramètres!$A$1:$I$89,3,0)*0.475*44/12</f>
        <v>0</v>
      </c>
      <c r="FS79" s="23">
        <f>EXP(-LN(2)/2)*FS78+(1-EXP(-LN(2)/2))/(LN(2)/2)*FM79*FP79*VLOOKUP('Données projet'!$B$16,Paramètres!$A$1:$I$89,3,0)*0.475*44/12</f>
        <v>0</v>
      </c>
      <c r="FT79" s="24">
        <f t="shared" si="78"/>
        <v>0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64.613259380475824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7.2</v>
      </c>
      <c r="FZ79" s="13">
        <f>IF('Données projet'!$A$244&gt;35,FZ78+FY79-GH78,IF(A79&lt;'Données projet'!$A$244,$FW$205^A79,IF(A79='Données projet'!$A$244,'Données projet'!$B$244,FZ78+FY79-GH78)))</f>
        <v>319.19999999999993</v>
      </c>
      <c r="GA79" s="18">
        <f>FZ79*VLOOKUP('Données projet'!$B$17,Paramètres!$A$1:$I$89,3,0)*VLOOKUP('Données projet'!$B$17,Paramètres!$A$1:$I$89,5,0)</f>
        <v>308.73023999999998</v>
      </c>
      <c r="GB79" s="14">
        <f t="shared" si="103"/>
        <v>73.003590434710517</v>
      </c>
      <c r="GC79" s="22">
        <f t="shared" si="79"/>
        <v>664.85308800712085</v>
      </c>
      <c r="GD79" s="62">
        <f t="shared" si="80"/>
        <v>938.43503906886554</v>
      </c>
      <c r="GE79" s="62">
        <f ca="1">AVERAGE(OFFSET($GD$3,0,0,'Données projet'!$E$17+1,1))-AVERAGE(OFFSET($H$3,0,0,'Données projet'!$E$17+1,1))</f>
        <v>578.44111602076555</v>
      </c>
      <c r="GF79" s="62">
        <f t="shared" si="104"/>
        <v>368.08542661432784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>
        <f>EXP(-LN(2)/35)*GL78+(1-EXP(-LN(2)/35))/(LN(2)/35)*GH79*GI79*VLOOKUP('Données projet'!$B$17,Paramètres!$A$1:$I$89,3,0)*0.475*44/12</f>
        <v>0</v>
      </c>
      <c r="GM79" s="23">
        <f>EXP(-LN(2)/25)*GM78+(1-EXP(-LN(2)/25))/(LN(2)/25)*Calculateur!GH79*Calculateur!GJ79*VLOOKUP('Données projet'!$B$17,Paramètres!$A$1:$I$89,3,0)*0.475*44/12</f>
        <v>0</v>
      </c>
      <c r="GN79" s="23">
        <f>EXP(-LN(2)/2)*GN78+(1-EXP(-LN(2)/2))/(LN(2)/2)*GH79*GK79*VLOOKUP('Données projet'!$B$17,Paramètres!$A$1:$I$89,3,0)*0.475*44/12</f>
        <v>0</v>
      </c>
      <c r="GO79" s="23">
        <f t="shared" si="81"/>
        <v>0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64.613259380475824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4.0735000000000001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14.936166666666667</v>
      </c>
      <c r="H80" s="70">
        <f t="shared" si="56"/>
        <v>196.922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64.706707287276714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7.2</v>
      </c>
      <c r="N80" s="14">
        <f>IF('Données projet'!$A$36&gt;35,N79+M80-V79,IF(A80&lt;'Données projet'!$A$36,$K$205^A80,IF(A80='Données projet'!$A$36,'Données projet'!$B$36,N79+M80-V79)))</f>
        <v>326.39999999999992</v>
      </c>
      <c r="O80" s="14">
        <f>N80*VLOOKUP('Données projet'!$B$9,Paramètres!$A$1:$I$89,3,0)*VLOOKUP('Données projet'!$B$9,Paramètres!$A$1:$I$89,5,0)</f>
        <v>295.32671999999997</v>
      </c>
      <c r="P80" s="14">
        <f t="shared" si="87"/>
        <v>70.195871082165155</v>
      </c>
      <c r="Q80" s="22">
        <f t="shared" si="54"/>
        <v>636.61851280143765</v>
      </c>
      <c r="R80" s="62">
        <f t="shared" si="55"/>
        <v>910.54310618811894</v>
      </c>
      <c r="S80" s="62">
        <f ca="1">AVERAGE(OFFSET($R$3,0,0,'Données projet'!$E$9+1,1))-AVERAGE(OFFSET($H$3,0,0,'Données projet'!$E$9+1,1))</f>
        <v>546.11281471711925</v>
      </c>
      <c r="T80" s="62">
        <f t="shared" si="88"/>
        <v>348.18069831447099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64.706707287276714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10.4</v>
      </c>
      <c r="AI80" s="14">
        <f>IF('Données projet'!$A$62&gt;35,AI79+AH80-AQ79,IF(A80&lt;'Données projet'!$A$62,$AF$205^A80,IF(A80='Données projet'!$A$62,'Données projet'!$B$62,AI79+AH80-AQ79)))</f>
        <v>392.79999999999995</v>
      </c>
      <c r="AJ80" s="14">
        <f>AI80*VLOOKUP('Données projet'!$B$10,Paramètres!$A$1:$I$89,3,0)*VLOOKUP('Données projet'!$B$10,Paramètres!$A$1:$I$89,5,0)</f>
        <v>337.0224</v>
      </c>
      <c r="AK80" s="14">
        <f t="shared" si="89"/>
        <v>78.884440823098231</v>
      </c>
      <c r="AL80" s="22">
        <f t="shared" si="58"/>
        <v>724.37108110022939</v>
      </c>
      <c r="AM80" s="62">
        <f t="shared" si="59"/>
        <v>998.29567448691068</v>
      </c>
      <c r="AN80" s="62">
        <f ca="1">AVERAGE(OFFSET($AM$3,0,0,'Données projet'!$E$10+1,1))-AVERAGE(OFFSET($H$3,0,0,'Données projet'!$E$10+1,1))</f>
        <v>693.87994318348024</v>
      </c>
      <c r="AO80" s="62">
        <f t="shared" si="90"/>
        <v>327.71043739333641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64.706707287276714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7.2</v>
      </c>
      <c r="BD80" s="13">
        <f>IF('Données projet'!$A$88&gt;35,BD79+BC80-BL79,IF(A80&lt;'Données projet'!$A$88,$BA$205^A80,IF(A80='Données projet'!$A$88,'Données projet'!$B$88,BD79+BC80-BL79)))</f>
        <v>326.39999999999992</v>
      </c>
      <c r="BE80" s="14">
        <f>BD80*VLOOKUP('Données projet'!$B$11,Paramètres!$A$1:$I$89,3,0)*VLOOKUP('Données projet'!$B$11,Paramètres!$A$1:$I$89,5,0)</f>
        <v>274.95935999999995</v>
      </c>
      <c r="BF80" s="14">
        <f t="shared" si="91"/>
        <v>65.900653120050137</v>
      </c>
      <c r="BG80" s="22">
        <f t="shared" si="61"/>
        <v>593.664522850754</v>
      </c>
      <c r="BH80" s="62">
        <f t="shared" si="62"/>
        <v>867.58911623743529</v>
      </c>
      <c r="BI80" s="62">
        <f ca="1">AVERAGE(OFFSET($BH$3,0,0,'Données projet'!$E$11+1,1))-AVERAGE(OFFSET($H$3,0,0,'Données projet'!$E$11+1,1))</f>
        <v>513.7388209355762</v>
      </c>
      <c r="BJ80" s="62">
        <f t="shared" si="92"/>
        <v>328.24603121433927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64.706707287276714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4.0999999999999996</v>
      </c>
      <c r="BY80" s="13">
        <f>IF('Données projet'!$A$114&gt;35,BY79+BX80-CG79,IF(A80&lt;'Données projet'!$A$114,$BV$205^A80,IF(A80='Données projet'!$A$114,'Données projet'!$B$114,BY79+BX80-CG79)))</f>
        <v>383.30000000000041</v>
      </c>
      <c r="BZ80" s="14">
        <f>BY80*VLOOKUP('Données projet'!$B$12,Paramètres!$A$1:$I$89,3,0)*VLOOKUP('Données projet'!$B$12,Paramètres!$A$1:$I$89,5,0)</f>
        <v>304.95348000000035</v>
      </c>
      <c r="CA80" s="14">
        <f t="shared" si="93"/>
        <v>72.213911312944774</v>
      </c>
      <c r="CB80" s="22">
        <f t="shared" si="64"/>
        <v>656.89987320337946</v>
      </c>
      <c r="CC80" s="62">
        <f t="shared" si="65"/>
        <v>930.82446659006075</v>
      </c>
      <c r="CD80" s="62">
        <f ca="1">AVERAGE(OFFSET($CC$3,0,0,'Données projet'!$E$12+1,1))-AVERAGE(OFFSET($H$3,0,0,'Données projet'!$E$12+1,1))</f>
        <v>447.25854887589878</v>
      </c>
      <c r="CE80" s="62">
        <f t="shared" si="94"/>
        <v>480.13390593590157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64.706707287276714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1.1368683772161603E-13</v>
      </c>
      <c r="CU80" s="18">
        <f>CT80*VLOOKUP('Données projet'!$B$13,Paramètres!$A$1:$I$89,3,0)*VLOOKUP('Données projet'!$B$13,Paramètres!$A$1:$I$89,5,0)</f>
        <v>8.8675733422860506E-14</v>
      </c>
      <c r="CV80" s="14">
        <f t="shared" si="95"/>
        <v>1.3509285393066301E-12</v>
      </c>
      <c r="CW80" s="22">
        <f t="shared" si="67"/>
        <v>2.5073107750038623E-12</v>
      </c>
      <c r="CX80" s="62">
        <f t="shared" si="68"/>
        <v>273.9245933866838</v>
      </c>
      <c r="CY80" s="62">
        <f ca="1">AVERAGE(OFFSET($CX$3,0,0,'Données projet'!$E$13+1,1))-AVERAGE(OFFSET($H$3,0,0,'Données projet'!$E$13+1,1))</f>
        <v>308.52515801950324</v>
      </c>
      <c r="CZ80" s="62">
        <f t="shared" si="96"/>
        <v>299.05420638408953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64.706707287276714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4.0999999999999996</v>
      </c>
      <c r="DO80" s="13">
        <f>IF('Données projet'!$A$166&gt;35,DO79+DN80-DW79,IF(A80&lt;'Données projet'!$A$166,$DL$205^A80,IF(A80='Données projet'!$A$166,'Données projet'!$B$166,DO79+DN80-DW79)))</f>
        <v>383.30000000000041</v>
      </c>
      <c r="DP80" s="18">
        <f>DO80*VLOOKUP('Données projet'!$B$14,Paramètres!$A$1:$I$89,3,0)*VLOOKUP('Données projet'!$B$14,Paramètres!$A$1:$I$89,5,0)</f>
        <v>281.03556000000032</v>
      </c>
      <c r="DQ80" s="14">
        <f t="shared" si="97"/>
        <v>67.185805436874929</v>
      </c>
      <c r="DR80" s="22">
        <f t="shared" si="70"/>
        <v>606.48554480255768</v>
      </c>
      <c r="DS80" s="62">
        <f t="shared" si="71"/>
        <v>880.41013818923898</v>
      </c>
      <c r="DT80" s="62">
        <f ca="1">AVERAGE(OFFSET($DS$3,0,0,'Données projet'!$E$14+1,1))-AVERAGE(OFFSET($H$3,0,0,'Données projet'!$E$14+1,1))</f>
        <v>416.72317068678774</v>
      </c>
      <c r="DU80" s="62">
        <f t="shared" si="98"/>
        <v>447.32457429495537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64.706707287276714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4.4871794871794917</v>
      </c>
      <c r="EJ80" s="13">
        <f>IF('Données projet'!$A$192&gt;35,EJ79+EI80-ER79,IF(A80&lt;'Données projet'!$A$192,$EG$205^A80,IF(A80='Données projet'!$A$192,'Données projet'!$B$192,EJ79+EI80-ER79)))</f>
        <v>253.20512820512826</v>
      </c>
      <c r="EK80" s="18">
        <f>EJ80*VLOOKUP('Données projet'!$B$15,Paramètres!$A$1:$I$89,3,0)*VLOOKUP('Données projet'!$B$15,Paramètres!$A$1:$I$89,5,0)</f>
        <v>240.95000000000005</v>
      </c>
      <c r="EL80" s="14">
        <f t="shared" si="99"/>
        <v>58.643880591265635</v>
      </c>
      <c r="EM80" s="22">
        <f t="shared" si="73"/>
        <v>521.79267536312102</v>
      </c>
      <c r="EN80" s="62">
        <f t="shared" si="74"/>
        <v>795.71726874980232</v>
      </c>
      <c r="EO80" s="62">
        <f ca="1">AVERAGE(OFFSET($EN$3,0,0,'Données projet'!$E$15+1,1))-AVERAGE(OFFSET($H$3,0,0,'Données projet'!$E$15+1,1))</f>
        <v>454.78867027701426</v>
      </c>
      <c r="EP80" s="62">
        <f t="shared" si="100"/>
        <v>366.45346303927056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0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64.706707287276714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4.7435897435897463</v>
      </c>
      <c r="FE80" s="13">
        <f>IF('Données projet'!$A$218&gt;35,FE79+FD80-FM79,IF(A80&lt;'Données projet'!$A$218,$FB$205^A80,IF(A80='Données projet'!$A$218,'Données projet'!$B$218,FE79+FD80-FM79)))</f>
        <v>312.69230769230774</v>
      </c>
      <c r="FF80" s="18">
        <f>FE80*VLOOKUP('Données projet'!$B$16,Paramètres!$A$1:$I$89,3,0)*VLOOKUP('Données projet'!$B$16,Paramètres!$A$1:$I$89,5,0)</f>
        <v>209.75400000000005</v>
      </c>
      <c r="FG80" s="14">
        <f t="shared" si="101"/>
        <v>51.881824842420912</v>
      </c>
      <c r="FH80" s="22">
        <f t="shared" si="76"/>
        <v>455.68239493388319</v>
      </c>
      <c r="FI80" s="62">
        <f t="shared" si="77"/>
        <v>729.60698832056448</v>
      </c>
      <c r="FJ80" s="62">
        <f ca="1">AVERAGE(OFFSET($FI$3,0,0,'Données projet'!$E$16+1,1))-AVERAGE(OFFSET($H$3,0,0,'Données projet'!$E$16+1,1))</f>
        <v>390.05579539539576</v>
      </c>
      <c r="FK80" s="62">
        <f t="shared" si="102"/>
        <v>323.72278615226139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projet'!$B$16,Paramètres!$A$1:$I$89,3,0)*0.475*44/12</f>
        <v>0</v>
      </c>
      <c r="FR80" s="23">
        <f>EXP(-LN(2)/25)*FR79+(1-EXP(-LN(2)/25))/(LN(2)/25)*Calculateur!FM80*Calculateur!FO80*VLOOKUP('Données projet'!$B$16,Paramètres!$A$1:$I$89,3,0)*0.475*44/12</f>
        <v>0</v>
      </c>
      <c r="FS80" s="23">
        <f>EXP(-LN(2)/2)*FS79+(1-EXP(-LN(2)/2))/(LN(2)/2)*FM80*FP80*VLOOKUP('Données projet'!$B$16,Paramètres!$A$1:$I$89,3,0)*0.475*44/12</f>
        <v>0</v>
      </c>
      <c r="FT80" s="24">
        <f t="shared" si="78"/>
        <v>0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64.706707287276714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7.2</v>
      </c>
      <c r="FZ80" s="13">
        <f>IF('Données projet'!$A$244&gt;35,FZ79+FY80-GH79,IF(A80&lt;'Données projet'!$A$244,$FW$205^A80,IF(A80='Données projet'!$A$244,'Données projet'!$B$244,FZ79+FY80-GH79)))</f>
        <v>326.39999999999992</v>
      </c>
      <c r="GA80" s="18">
        <f>FZ80*VLOOKUP('Données projet'!$B$17,Paramètres!$A$1:$I$89,3,0)*VLOOKUP('Données projet'!$B$17,Paramètres!$A$1:$I$89,5,0)</f>
        <v>315.69407999999993</v>
      </c>
      <c r="GB80" s="14">
        <f t="shared" si="103"/>
        <v>74.456718089310456</v>
      </c>
      <c r="GC80" s="22">
        <f t="shared" si="79"/>
        <v>679.51264000554886</v>
      </c>
      <c r="GD80" s="62">
        <f t="shared" si="80"/>
        <v>953.43723339223016</v>
      </c>
      <c r="GE80" s="62">
        <f ca="1">AVERAGE(OFFSET($GD$3,0,0,'Données projet'!$E$17+1,1))-AVERAGE(OFFSET($H$3,0,0,'Données projet'!$E$17+1,1))</f>
        <v>578.44111602076555</v>
      </c>
      <c r="GF80" s="62">
        <f t="shared" si="104"/>
        <v>368.08542661432784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>
        <f>EXP(-LN(2)/35)*GL79+(1-EXP(-LN(2)/35))/(LN(2)/35)*GH80*GI80*VLOOKUP('Données projet'!$B$17,Paramètres!$A$1:$I$89,3,0)*0.475*44/12</f>
        <v>0</v>
      </c>
      <c r="GM80" s="23">
        <f>EXP(-LN(2)/25)*GM79+(1-EXP(-LN(2)/25))/(LN(2)/25)*Calculateur!GH80*Calculateur!GJ80*VLOOKUP('Données projet'!$B$17,Paramètres!$A$1:$I$89,3,0)*0.475*44/12</f>
        <v>0</v>
      </c>
      <c r="GN80" s="23">
        <f>EXP(-LN(2)/2)*GN79+(1-EXP(-LN(2)/2))/(LN(2)/2)*GH80*GK80*VLOOKUP('Données projet'!$B$17,Paramètres!$A$1:$I$89,3,0)*0.475*44/12</f>
        <v>0</v>
      </c>
      <c r="GO80" s="23">
        <f t="shared" si="81"/>
        <v>0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64.706707287276714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4.0735000000000001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14.936166666666667</v>
      </c>
      <c r="H81" s="70">
        <f t="shared" si="56"/>
        <v>196.922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64.798534081812832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7.2</v>
      </c>
      <c r="N81" s="14">
        <f>IF('Données projet'!$A$36&gt;35,N80+M81-V80,IF(A81&lt;'Données projet'!$A$36,$K$205^A81,IF(A81='Données projet'!$A$36,'Données projet'!$B$36,N80+M81-V80)))</f>
        <v>333.59999999999991</v>
      </c>
      <c r="O81" s="14">
        <f>N81*VLOOKUP('Données projet'!$B$9,Paramètres!$A$1:$I$89,3,0)*VLOOKUP('Données projet'!$B$9,Paramètres!$A$1:$I$89,5,0)</f>
        <v>301.84127999999993</v>
      </c>
      <c r="P81" s="14">
        <f t="shared" si="87"/>
        <v>71.562328918453616</v>
      </c>
      <c r="Q81" s="22">
        <f t="shared" si="54"/>
        <v>650.34461886630652</v>
      </c>
      <c r="R81" s="62">
        <f t="shared" si="55"/>
        <v>924.60591049962022</v>
      </c>
      <c r="S81" s="62">
        <f ca="1">AVERAGE(OFFSET($R$3,0,0,'Données projet'!$E$9+1,1))-AVERAGE(OFFSET($H$3,0,0,'Données projet'!$E$9+1,1))</f>
        <v>546.11281471711925</v>
      </c>
      <c r="T81" s="62">
        <f t="shared" si="88"/>
        <v>348.18069831447099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64.798534081812832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10.4</v>
      </c>
      <c r="AI81" s="14">
        <f>IF('Données projet'!$A$62&gt;35,AI80+AH81-AQ80,IF(A81&lt;'Données projet'!$A$62,$AF$205^A81,IF(A81='Données projet'!$A$62,'Données projet'!$B$62,AI80+AH81-AQ80)))</f>
        <v>403.19999999999993</v>
      </c>
      <c r="AJ81" s="14">
        <f>AI81*VLOOKUP('Données projet'!$B$10,Paramètres!$A$1:$I$89,3,0)*VLOOKUP('Données projet'!$B$10,Paramètres!$A$1:$I$89,5,0)</f>
        <v>345.94560000000001</v>
      </c>
      <c r="AK81" s="14">
        <f t="shared" si="89"/>
        <v>80.727102887907222</v>
      </c>
      <c r="AL81" s="22">
        <f t="shared" si="58"/>
        <v>743.12162419643846</v>
      </c>
      <c r="AM81" s="62">
        <f t="shared" si="59"/>
        <v>1017.3829158297522</v>
      </c>
      <c r="AN81" s="62">
        <f ca="1">AVERAGE(OFFSET($AM$3,0,0,'Données projet'!$E$10+1,1))-AVERAGE(OFFSET($H$3,0,0,'Données projet'!$E$10+1,1))</f>
        <v>693.87994318348024</v>
      </c>
      <c r="AO81" s="62">
        <f t="shared" si="90"/>
        <v>327.71043739333641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64.798534081812832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7.2</v>
      </c>
      <c r="BD81" s="13">
        <f>IF('Données projet'!$A$88&gt;35,BD80+BC81-BL80,IF(A81&lt;'Données projet'!$A$88,$BA$205^A81,IF(A81='Données projet'!$A$88,'Données projet'!$B$88,BD80+BC81-BL80)))</f>
        <v>333.59999999999991</v>
      </c>
      <c r="BE81" s="14">
        <f>BD81*VLOOKUP('Données projet'!$B$11,Paramètres!$A$1:$I$89,3,0)*VLOOKUP('Données projet'!$B$11,Paramètres!$A$1:$I$89,5,0)</f>
        <v>281.02463999999992</v>
      </c>
      <c r="BF81" s="14">
        <f t="shared" si="91"/>
        <v>67.183498713162166</v>
      </c>
      <c r="BG81" s="22">
        <f t="shared" si="61"/>
        <v>606.46250825875734</v>
      </c>
      <c r="BH81" s="62">
        <f t="shared" si="62"/>
        <v>880.72379989207104</v>
      </c>
      <c r="BI81" s="62">
        <f ca="1">AVERAGE(OFFSET($BH$3,0,0,'Données projet'!$E$11+1,1))-AVERAGE(OFFSET($H$3,0,0,'Données projet'!$E$11+1,1))</f>
        <v>513.7388209355762</v>
      </c>
      <c r="BJ81" s="62">
        <f t="shared" si="92"/>
        <v>328.24603121433927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64.798534081812832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4.0999999999999996</v>
      </c>
      <c r="BY81" s="13">
        <f>IF('Données projet'!$A$114&gt;35,BY80+BX81-CG80,IF(A81&lt;'Données projet'!$A$114,$BV$205^A81,IF(A81='Données projet'!$A$114,'Données projet'!$B$114,BY80+BX81-CG80)))</f>
        <v>387.40000000000043</v>
      </c>
      <c r="BZ81" s="14">
        <f>BY81*VLOOKUP('Données projet'!$B$12,Paramètres!$A$1:$I$89,3,0)*VLOOKUP('Données projet'!$B$12,Paramètres!$A$1:$I$89,5,0)</f>
        <v>308.21544000000034</v>
      </c>
      <c r="CA81" s="14">
        <f t="shared" si="93"/>
        <v>72.896017884138075</v>
      </c>
      <c r="CB81" s="22">
        <f t="shared" si="64"/>
        <v>663.7691224815411</v>
      </c>
      <c r="CC81" s="62">
        <f t="shared" si="65"/>
        <v>938.03041411485481</v>
      </c>
      <c r="CD81" s="62">
        <f ca="1">AVERAGE(OFFSET($CC$3,0,0,'Données projet'!$E$12+1,1))-AVERAGE(OFFSET($H$3,0,0,'Données projet'!$E$12+1,1))</f>
        <v>447.25854887589878</v>
      </c>
      <c r="CE81" s="62">
        <f t="shared" si="94"/>
        <v>480.13390593590157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64.798534081812832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1.1368683772161603E-13</v>
      </c>
      <c r="CU81" s="18">
        <f>CT81*VLOOKUP('Données projet'!$B$13,Paramètres!$A$1:$I$89,3,0)*VLOOKUP('Données projet'!$B$13,Paramètres!$A$1:$I$89,5,0)</f>
        <v>8.8675733422860506E-14</v>
      </c>
      <c r="CV81" s="14">
        <f t="shared" si="95"/>
        <v>1.3509285393066301E-12</v>
      </c>
      <c r="CW81" s="22">
        <f t="shared" si="67"/>
        <v>2.5073107750038623E-12</v>
      </c>
      <c r="CX81" s="62">
        <f t="shared" si="68"/>
        <v>274.2612916333162</v>
      </c>
      <c r="CY81" s="62">
        <f ca="1">AVERAGE(OFFSET($CX$3,0,0,'Données projet'!$E$13+1,1))-AVERAGE(OFFSET($H$3,0,0,'Données projet'!$E$13+1,1))</f>
        <v>308.52515801950324</v>
      </c>
      <c r="CZ81" s="62">
        <f t="shared" si="96"/>
        <v>299.05420638408953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64.798534081812832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4.0999999999999996</v>
      </c>
      <c r="DO81" s="13">
        <f>IF('Données projet'!$A$166&gt;35,DO80+DN81-DW80,IF(A81&lt;'Données projet'!$A$166,$DL$205^A81,IF(A81='Données projet'!$A$166,'Données projet'!$B$166,DO80+DN81-DW80)))</f>
        <v>387.40000000000043</v>
      </c>
      <c r="DP81" s="18">
        <f>DO81*VLOOKUP('Données projet'!$B$14,Paramètres!$A$1:$I$89,3,0)*VLOOKUP('Données projet'!$B$14,Paramètres!$A$1:$I$89,5,0)</f>
        <v>284.04168000000033</v>
      </c>
      <c r="DQ81" s="14">
        <f t="shared" si="97"/>
        <v>67.820418332731066</v>
      </c>
      <c r="DR81" s="22">
        <f t="shared" si="70"/>
        <v>612.82648792950715</v>
      </c>
      <c r="DS81" s="62">
        <f t="shared" si="71"/>
        <v>887.08777956282086</v>
      </c>
      <c r="DT81" s="62">
        <f ca="1">AVERAGE(OFFSET($DS$3,0,0,'Données projet'!$E$14+1,1))-AVERAGE(OFFSET($H$3,0,0,'Données projet'!$E$14+1,1))</f>
        <v>416.72317068678774</v>
      </c>
      <c r="DU81" s="62">
        <f t="shared" si="98"/>
        <v>447.32457429495537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64.798534081812832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4.4871794871794917</v>
      </c>
      <c r="EJ81" s="13">
        <f>IF('Données projet'!$A$192&gt;35,EJ80+EI81-ER80,IF(A81&lt;'Données projet'!$A$192,$EG$205^A81,IF(A81='Données projet'!$A$192,'Données projet'!$B$192,EJ80+EI81-ER80)))</f>
        <v>257.69230769230774</v>
      </c>
      <c r="EK81" s="18">
        <f>EJ81*VLOOKUP('Données projet'!$B$15,Paramètres!$A$1:$I$89,3,0)*VLOOKUP('Données projet'!$B$15,Paramètres!$A$1:$I$89,5,0)</f>
        <v>245.22000000000003</v>
      </c>
      <c r="EL81" s="14">
        <f t="shared" si="99"/>
        <v>59.561228600414459</v>
      </c>
      <c r="EM81" s="22">
        <f t="shared" si="73"/>
        <v>530.82730647905521</v>
      </c>
      <c r="EN81" s="62">
        <f t="shared" si="74"/>
        <v>805.08859811236891</v>
      </c>
      <c r="EO81" s="62">
        <f ca="1">AVERAGE(OFFSET($EN$3,0,0,'Données projet'!$E$15+1,1))-AVERAGE(OFFSET($H$3,0,0,'Données projet'!$E$15+1,1))</f>
        <v>454.78867027701426</v>
      </c>
      <c r="EP81" s="62">
        <f t="shared" si="100"/>
        <v>366.45346303927056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0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64.798534081812832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4.7435897435897463</v>
      </c>
      <c r="FE81" s="13">
        <f>IF('Données projet'!$A$218&gt;35,FE80+FD81-FM80,IF(A81&lt;'Données projet'!$A$218,$FB$205^A81,IF(A81='Données projet'!$A$218,'Données projet'!$B$218,FE80+FD81-FM80)))</f>
        <v>317.43589743589746</v>
      </c>
      <c r="FF81" s="18">
        <f>FE81*VLOOKUP('Données projet'!$B$16,Paramètres!$A$1:$I$89,3,0)*VLOOKUP('Données projet'!$B$16,Paramètres!$A$1:$I$89,5,0)</f>
        <v>212.93600000000001</v>
      </c>
      <c r="FG81" s="14">
        <f t="shared" si="101"/>
        <v>52.576656207031739</v>
      </c>
      <c r="FH81" s="22">
        <f t="shared" si="76"/>
        <v>462.4345428939136</v>
      </c>
      <c r="FI81" s="62">
        <f t="shared" si="77"/>
        <v>736.69583452722736</v>
      </c>
      <c r="FJ81" s="62">
        <f ca="1">AVERAGE(OFFSET($FI$3,0,0,'Données projet'!$E$16+1,1))-AVERAGE(OFFSET($H$3,0,0,'Données projet'!$E$16+1,1))</f>
        <v>390.05579539539576</v>
      </c>
      <c r="FK81" s="62">
        <f t="shared" si="102"/>
        <v>323.72278615226139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projet'!$B$16,Paramètres!$A$1:$I$89,3,0)*0.475*44/12</f>
        <v>0</v>
      </c>
      <c r="FR81" s="23">
        <f>EXP(-LN(2)/25)*FR80+(1-EXP(-LN(2)/25))/(LN(2)/25)*Calculateur!FM81*Calculateur!FO81*VLOOKUP('Données projet'!$B$16,Paramètres!$A$1:$I$89,3,0)*0.475*44/12</f>
        <v>0</v>
      </c>
      <c r="FS81" s="23">
        <f>EXP(-LN(2)/2)*FS80+(1-EXP(-LN(2)/2))/(LN(2)/2)*FM81*FP81*VLOOKUP('Données projet'!$B$16,Paramètres!$A$1:$I$89,3,0)*0.475*44/12</f>
        <v>0</v>
      </c>
      <c r="FT81" s="24">
        <f t="shared" si="78"/>
        <v>0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64.798534081812832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7.2</v>
      </c>
      <c r="FZ81" s="13">
        <f>IF('Données projet'!$A$244&gt;35,FZ80+FY81-GH80,IF(A81&lt;'Données projet'!$A$244,$FW$205^A81,IF(A81='Données projet'!$A$244,'Données projet'!$B$244,FZ80+FY81-GH80)))</f>
        <v>333.59999999999991</v>
      </c>
      <c r="GA81" s="18">
        <f>FZ81*VLOOKUP('Données projet'!$B$17,Paramètres!$A$1:$I$89,3,0)*VLOOKUP('Données projet'!$B$17,Paramètres!$A$1:$I$89,5,0)</f>
        <v>322.65791999999993</v>
      </c>
      <c r="GB81" s="14">
        <f t="shared" si="103"/>
        <v>75.906119091519898</v>
      </c>
      <c r="GC81" s="22">
        <f t="shared" si="79"/>
        <v>694.16570141773025</v>
      </c>
      <c r="GD81" s="62">
        <f t="shared" si="80"/>
        <v>968.42699305104395</v>
      </c>
      <c r="GE81" s="62">
        <f ca="1">AVERAGE(OFFSET($GD$3,0,0,'Données projet'!$E$17+1,1))-AVERAGE(OFFSET($H$3,0,0,'Données projet'!$E$17+1,1))</f>
        <v>578.44111602076555</v>
      </c>
      <c r="GF81" s="62">
        <f t="shared" si="104"/>
        <v>368.08542661432784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>
        <f>EXP(-LN(2)/35)*GL80+(1-EXP(-LN(2)/35))/(LN(2)/35)*GH81*GI81*VLOOKUP('Données projet'!$B$17,Paramètres!$A$1:$I$89,3,0)*0.475*44/12</f>
        <v>0</v>
      </c>
      <c r="GM81" s="23">
        <f>EXP(-LN(2)/25)*GM80+(1-EXP(-LN(2)/25))/(LN(2)/25)*Calculateur!GH81*Calculateur!GJ81*VLOOKUP('Données projet'!$B$17,Paramètres!$A$1:$I$89,3,0)*0.475*44/12</f>
        <v>0</v>
      </c>
      <c r="GN81" s="23">
        <f>EXP(-LN(2)/2)*GN80+(1-EXP(-LN(2)/2))/(LN(2)/2)*GH81*GK81*VLOOKUP('Données projet'!$B$17,Paramètres!$A$1:$I$89,3,0)*0.475*44/12</f>
        <v>0</v>
      </c>
      <c r="GO81" s="23">
        <f t="shared" si="81"/>
        <v>0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64.798534081812832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4.0735000000000001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14.936166666666667</v>
      </c>
      <c r="H82" s="70">
        <f t="shared" si="56"/>
        <v>196.922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64.888767886757691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7.2</v>
      </c>
      <c r="N82" s="14">
        <f>IF('Données projet'!$A$36&gt;35,N81+M82-V81,IF(A82&lt;'Données projet'!$A$36,$K$205^A82,IF(A82='Données projet'!$A$36,'Données projet'!$B$36,N81+M82-V81)))</f>
        <v>340.7999999999999</v>
      </c>
      <c r="O82" s="14">
        <f>N82*VLOOKUP('Données projet'!$B$9,Paramètres!$A$1:$I$89,3,0)*VLOOKUP('Données projet'!$B$9,Paramètres!$A$1:$I$89,5,0)</f>
        <v>308.35583999999989</v>
      </c>
      <c r="P82" s="14">
        <f t="shared" si="87"/>
        <v>72.925357925160824</v>
      </c>
      <c r="Q82" s="22">
        <f t="shared" si="54"/>
        <v>664.06475305298818</v>
      </c>
      <c r="R82" s="62">
        <f t="shared" si="55"/>
        <v>938.65690197109973</v>
      </c>
      <c r="S82" s="62">
        <f ca="1">AVERAGE(OFFSET($R$3,0,0,'Données projet'!$E$9+1,1))-AVERAGE(OFFSET($H$3,0,0,'Données projet'!$E$9+1,1))</f>
        <v>546.11281471711925</v>
      </c>
      <c r="T82" s="62">
        <f t="shared" si="88"/>
        <v>348.18069831447099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64.888767886757691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10.4</v>
      </c>
      <c r="AI82" s="14">
        <f>IF('Données projet'!$A$62&gt;35,AI81+AH82-AQ81,IF(A82&lt;'Données projet'!$A$62,$AF$205^A82,IF(A82='Données projet'!$A$62,'Données projet'!$B$62,AI81+AH82-AQ81)))</f>
        <v>413.59999999999991</v>
      </c>
      <c r="AJ82" s="14">
        <f>AI82*VLOOKUP('Données projet'!$B$10,Paramètres!$A$1:$I$89,3,0)*VLOOKUP('Données projet'!$B$10,Paramètres!$A$1:$I$89,5,0)</f>
        <v>354.86879999999996</v>
      </c>
      <c r="AK82" s="14">
        <f t="shared" si="89"/>
        <v>82.564240228675203</v>
      </c>
      <c r="AL82" s="22">
        <f t="shared" si="58"/>
        <v>761.86254506494254</v>
      </c>
      <c r="AM82" s="62">
        <f t="shared" si="59"/>
        <v>1036.4546939830541</v>
      </c>
      <c r="AN82" s="62">
        <f ca="1">AVERAGE(OFFSET($AM$3,0,0,'Données projet'!$E$10+1,1))-AVERAGE(OFFSET($H$3,0,0,'Données projet'!$E$10+1,1))</f>
        <v>693.87994318348024</v>
      </c>
      <c r="AO82" s="62">
        <f t="shared" si="90"/>
        <v>327.71043739333641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64.888767886757691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7.2</v>
      </c>
      <c r="BD82" s="13">
        <f>IF('Données projet'!$A$88&gt;35,BD81+BC82-BL81,IF(A82&lt;'Données projet'!$A$88,$BA$205^A82,IF(A82='Données projet'!$A$88,'Données projet'!$B$88,BD81+BC82-BL81)))</f>
        <v>340.7999999999999</v>
      </c>
      <c r="BE82" s="14">
        <f>BD82*VLOOKUP('Données projet'!$B$11,Paramètres!$A$1:$I$89,3,0)*VLOOKUP('Données projet'!$B$11,Paramètres!$A$1:$I$89,5,0)</f>
        <v>287.08991999999995</v>
      </c>
      <c r="BF82" s="14">
        <f t="shared" si="91"/>
        <v>68.463125283483407</v>
      </c>
      <c r="BG82" s="22">
        <f t="shared" si="61"/>
        <v>619.2548872020667</v>
      </c>
      <c r="BH82" s="62">
        <f t="shared" si="62"/>
        <v>893.84703612017825</v>
      </c>
      <c r="BI82" s="62">
        <f ca="1">AVERAGE(OFFSET($BH$3,0,0,'Données projet'!$E$11+1,1))-AVERAGE(OFFSET($H$3,0,0,'Données projet'!$E$11+1,1))</f>
        <v>513.7388209355762</v>
      </c>
      <c r="BJ82" s="62">
        <f t="shared" si="92"/>
        <v>328.24603121433927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64.888767886757691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4.0999999999999996</v>
      </c>
      <c r="BY82" s="13">
        <f>IF('Données projet'!$A$114&gt;35,BY81+BX82-CG81,IF(A82&lt;'Données projet'!$A$114,$BV$205^A82,IF(A82='Données projet'!$A$114,'Données projet'!$B$114,BY81+BX82-CG81)))</f>
        <v>391.50000000000045</v>
      </c>
      <c r="BZ82" s="14">
        <f>BY82*VLOOKUP('Données projet'!$B$12,Paramètres!$A$1:$I$89,3,0)*VLOOKUP('Données projet'!$B$12,Paramètres!$A$1:$I$89,5,0)</f>
        <v>311.47740000000039</v>
      </c>
      <c r="CA82" s="14">
        <f t="shared" si="93"/>
        <v>73.577284665617242</v>
      </c>
      <c r="CB82" s="22">
        <f t="shared" si="64"/>
        <v>670.63690912595075</v>
      </c>
      <c r="CC82" s="62">
        <f t="shared" si="65"/>
        <v>945.2290580440623</v>
      </c>
      <c r="CD82" s="62">
        <f ca="1">AVERAGE(OFFSET($CC$3,0,0,'Données projet'!$E$12+1,1))-AVERAGE(OFFSET($H$3,0,0,'Données projet'!$E$12+1,1))</f>
        <v>447.25854887589878</v>
      </c>
      <c r="CE82" s="62">
        <f t="shared" si="94"/>
        <v>480.13390593590157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64.888767886757691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1.1368683772161603E-13</v>
      </c>
      <c r="CU82" s="18">
        <f>CT82*VLOOKUP('Données projet'!$B$13,Paramètres!$A$1:$I$89,3,0)*VLOOKUP('Données projet'!$B$13,Paramètres!$A$1:$I$89,5,0)</f>
        <v>8.8675733422860506E-14</v>
      </c>
      <c r="CV82" s="14">
        <f t="shared" si="95"/>
        <v>1.3509285393066301E-12</v>
      </c>
      <c r="CW82" s="22">
        <f t="shared" si="67"/>
        <v>2.5073107750038623E-12</v>
      </c>
      <c r="CX82" s="62">
        <f t="shared" si="68"/>
        <v>274.59214891811405</v>
      </c>
      <c r="CY82" s="62">
        <f ca="1">AVERAGE(OFFSET($CX$3,0,0,'Données projet'!$E$13+1,1))-AVERAGE(OFFSET($H$3,0,0,'Données projet'!$E$13+1,1))</f>
        <v>308.52515801950324</v>
      </c>
      <c r="CZ82" s="62">
        <f t="shared" si="96"/>
        <v>299.05420638408953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64.888767886757691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4.0999999999999996</v>
      </c>
      <c r="DO82" s="13">
        <f>IF('Données projet'!$A$166&gt;35,DO81+DN82-DW81,IF(A82&lt;'Données projet'!$A$166,$DL$205^A82,IF(A82='Données projet'!$A$166,'Données projet'!$B$166,DO81+DN82-DW81)))</f>
        <v>391.50000000000045</v>
      </c>
      <c r="DP82" s="18">
        <f>DO82*VLOOKUP('Données projet'!$B$14,Paramètres!$A$1:$I$89,3,0)*VLOOKUP('Données projet'!$B$14,Paramètres!$A$1:$I$89,5,0)</f>
        <v>287.04780000000034</v>
      </c>
      <c r="DQ82" s="14">
        <f t="shared" si="97"/>
        <v>68.454249911700813</v>
      </c>
      <c r="DR82" s="22">
        <f t="shared" si="70"/>
        <v>619.16607026287943</v>
      </c>
      <c r="DS82" s="62">
        <f t="shared" si="71"/>
        <v>893.75821918099098</v>
      </c>
      <c r="DT82" s="62">
        <f ca="1">AVERAGE(OFFSET($DS$3,0,0,'Données projet'!$E$14+1,1))-AVERAGE(OFFSET($H$3,0,0,'Données projet'!$E$14+1,1))</f>
        <v>416.72317068678774</v>
      </c>
      <c r="DU82" s="62">
        <f t="shared" si="98"/>
        <v>447.32457429495537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64.888767886757691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4.4871794871794917</v>
      </c>
      <c r="EJ82" s="13">
        <f>IF('Données projet'!$A$192&gt;35,EJ81+EI82-ER81,IF(A82&lt;'Données projet'!$A$192,$EG$205^A82,IF(A82='Données projet'!$A$192,'Données projet'!$B$192,EJ81+EI82-ER81)))</f>
        <v>262.17948717948724</v>
      </c>
      <c r="EK82" s="18">
        <f>EJ82*VLOOKUP('Données projet'!$B$15,Paramètres!$A$1:$I$89,3,0)*VLOOKUP('Données projet'!$B$15,Paramètres!$A$1:$I$89,5,0)</f>
        <v>249.49000000000007</v>
      </c>
      <c r="EL82" s="14">
        <f t="shared" si="99"/>
        <v>60.476719052177842</v>
      </c>
      <c r="EM82" s="22">
        <f t="shared" si="73"/>
        <v>539.85870234920981</v>
      </c>
      <c r="EN82" s="62">
        <f t="shared" si="74"/>
        <v>814.45085126732135</v>
      </c>
      <c r="EO82" s="62">
        <f ca="1">AVERAGE(OFFSET($EN$3,0,0,'Données projet'!$E$15+1,1))-AVERAGE(OFFSET($H$3,0,0,'Données projet'!$E$15+1,1))</f>
        <v>454.78867027701426</v>
      </c>
      <c r="EP82" s="62">
        <f t="shared" si="100"/>
        <v>366.45346303927056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0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64.888767886757691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4.7435897435897463</v>
      </c>
      <c r="FE82" s="13">
        <f>IF('Données projet'!$A$218&gt;35,FE81+FD82-FM81,IF(A82&lt;'Données projet'!$A$218,$FB$205^A82,IF(A82='Données projet'!$A$218,'Données projet'!$B$218,FE81+FD82-FM81)))</f>
        <v>322.17948717948718</v>
      </c>
      <c r="FF82" s="18">
        <f>FE82*VLOOKUP('Données projet'!$B$16,Paramètres!$A$1:$I$89,3,0)*VLOOKUP('Données projet'!$B$16,Paramètres!$A$1:$I$89,5,0)</f>
        <v>216.11799999999999</v>
      </c>
      <c r="FG82" s="14">
        <f t="shared" si="101"/>
        <v>53.270279972172681</v>
      </c>
      <c r="FH82" s="22">
        <f t="shared" si="76"/>
        <v>469.18458761820074</v>
      </c>
      <c r="FI82" s="62">
        <f t="shared" si="77"/>
        <v>743.77673653631223</v>
      </c>
      <c r="FJ82" s="62">
        <f ca="1">AVERAGE(OFFSET($FI$3,0,0,'Données projet'!$E$16+1,1))-AVERAGE(OFFSET($H$3,0,0,'Données projet'!$E$16+1,1))</f>
        <v>390.05579539539576</v>
      </c>
      <c r="FK82" s="62">
        <f t="shared" si="102"/>
        <v>323.72278615226139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projet'!$B$16,Paramètres!$A$1:$I$89,3,0)*0.475*44/12</f>
        <v>0</v>
      </c>
      <c r="FR82" s="23">
        <f>EXP(-LN(2)/25)*FR81+(1-EXP(-LN(2)/25))/(LN(2)/25)*Calculateur!FM82*Calculateur!FO82*VLOOKUP('Données projet'!$B$16,Paramètres!$A$1:$I$89,3,0)*0.475*44/12</f>
        <v>0</v>
      </c>
      <c r="FS82" s="23">
        <f>EXP(-LN(2)/2)*FS81+(1-EXP(-LN(2)/2))/(LN(2)/2)*FM82*FP82*VLOOKUP('Données projet'!$B$16,Paramètres!$A$1:$I$89,3,0)*0.475*44/12</f>
        <v>0</v>
      </c>
      <c r="FT82" s="24">
        <f t="shared" si="78"/>
        <v>0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64.888767886757691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7.2</v>
      </c>
      <c r="FZ82" s="13">
        <f>IF('Données projet'!$A$244&gt;35,FZ81+FY82-GH81,IF(A82&lt;'Données projet'!$A$244,$FW$205^A82,IF(A82='Données projet'!$A$244,'Données projet'!$B$244,FZ81+FY82-GH81)))</f>
        <v>340.7999999999999</v>
      </c>
      <c r="GA82" s="18">
        <f>FZ82*VLOOKUP('Données projet'!$B$17,Paramètres!$A$1:$I$89,3,0)*VLOOKUP('Données projet'!$B$17,Paramètres!$A$1:$I$89,5,0)</f>
        <v>329.62175999999994</v>
      </c>
      <c r="GB82" s="14">
        <f t="shared" si="103"/>
        <v>77.351883136262217</v>
      </c>
      <c r="GC82" s="22">
        <f t="shared" si="79"/>
        <v>708.81242846232317</v>
      </c>
      <c r="GD82" s="62">
        <f t="shared" si="80"/>
        <v>983.40457738043472</v>
      </c>
      <c r="GE82" s="62">
        <f ca="1">AVERAGE(OFFSET($GD$3,0,0,'Données projet'!$E$17+1,1))-AVERAGE(OFFSET($H$3,0,0,'Données projet'!$E$17+1,1))</f>
        <v>578.44111602076555</v>
      </c>
      <c r="GF82" s="62">
        <f t="shared" si="104"/>
        <v>368.08542661432784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>
        <f>EXP(-LN(2)/35)*GL81+(1-EXP(-LN(2)/35))/(LN(2)/35)*GH82*GI82*VLOOKUP('Données projet'!$B$17,Paramètres!$A$1:$I$89,3,0)*0.475*44/12</f>
        <v>0</v>
      </c>
      <c r="GM82" s="23">
        <f>EXP(-LN(2)/25)*GM81+(1-EXP(-LN(2)/25))/(LN(2)/25)*Calculateur!GH82*Calculateur!GJ82*VLOOKUP('Données projet'!$B$17,Paramètres!$A$1:$I$89,3,0)*0.475*44/12</f>
        <v>0</v>
      </c>
      <c r="GN82" s="23">
        <f>EXP(-LN(2)/2)*GN81+(1-EXP(-LN(2)/2))/(LN(2)/2)*GH82*GK82*VLOOKUP('Données projet'!$B$17,Paramètres!$A$1:$I$89,3,0)*0.475*44/12</f>
        <v>0</v>
      </c>
      <c r="GO82" s="23">
        <f t="shared" si="81"/>
        <v>0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64.888767886757691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4.0735000000000001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14.936166666666667</v>
      </c>
      <c r="H83" s="70">
        <f t="shared" si="56"/>
        <v>196.922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64.977436336919325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348</v>
      </c>
      <c r="L83" s="13">
        <f>VLOOKUP(A83,'Données projet'!$A$35:$I$55,9,0)</f>
        <v>7.2</v>
      </c>
      <c r="M83" s="13">
        <f t="array" ref="M83">INDEX(L:L,MIN(IF(ISNUMBER(L83:L279),ROW(L83:L279),"")))</f>
        <v>7.2</v>
      </c>
      <c r="N83" s="14">
        <f>IF('Données projet'!$A$36&gt;35,N82+M83-V82,IF(A83&lt;'Données projet'!$A$36,$K$205^A83,IF(A83='Données projet'!$A$36,'Données projet'!$B$36,N82+M83-V82)))</f>
        <v>347.99999999999989</v>
      </c>
      <c r="O83" s="14">
        <f>N83*VLOOKUP('Données projet'!$B$9,Paramètres!$A$1:$I$89,3,0)*VLOOKUP('Données projet'!$B$9,Paramètres!$A$1:$I$89,5,0)</f>
        <v>314.8703999999999</v>
      </c>
      <c r="P83" s="14">
        <f t="shared" si="87"/>
        <v>74.285038887149952</v>
      </c>
      <c r="Q83" s="22">
        <f t="shared" si="54"/>
        <v>677.77905606178604</v>
      </c>
      <c r="R83" s="62">
        <f t="shared" si="55"/>
        <v>952.69632263049016</v>
      </c>
      <c r="S83" s="62">
        <f ca="1">AVERAGE(OFFSET($R$3,0,0,'Données projet'!$E$9+1,1))-AVERAGE(OFFSET($H$3,0,0,'Données projet'!$E$9+1,1))</f>
        <v>546.11281471711925</v>
      </c>
      <c r="T83" s="62">
        <f t="shared" si="88"/>
        <v>348.18069831447099</v>
      </c>
      <c r="U83" s="16">
        <f>IF(ISNA(VLOOKUP(A83,'Données projet'!$A$35:$I$55,3,0)),0,VLOOKUP(A83,'Données projet'!$A$35:$I$55,3,0))</f>
        <v>7</v>
      </c>
      <c r="V83" s="16">
        <f>IF(ISNA(VLOOKUP(A83,'Données projet'!$A$35:$I$55,4,0)),0,VLOOKUP(A83,'Données projet'!$A$35:$I$55,4,0))</f>
        <v>56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64.977436336919325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424</v>
      </c>
      <c r="AG83" s="13">
        <f>VLOOKUP(A83,'Données projet'!$A$61:$I$81,9,0)</f>
        <v>10.4</v>
      </c>
      <c r="AH83" s="13">
        <f t="array" ref="AH83">INDEX(AG:AG,MIN(IF(ISNUMBER(AG83:AG279),ROW(AG83:AG279),"")))</f>
        <v>10.4</v>
      </c>
      <c r="AI83" s="14">
        <f>IF('Données projet'!$A$62&gt;35,AI82+AH83-AQ82,IF(A83&lt;'Données projet'!$A$62,$AF$205^A83,IF(A83='Données projet'!$A$62,'Données projet'!$B$62,AI82+AH83-AQ82)))</f>
        <v>423.99999999999989</v>
      </c>
      <c r="AJ83" s="14">
        <f>AI83*VLOOKUP('Données projet'!$B$10,Paramètres!$A$1:$I$89,3,0)*VLOOKUP('Données projet'!$B$10,Paramètres!$A$1:$I$89,5,0)</f>
        <v>363.79199999999997</v>
      </c>
      <c r="AK83" s="14">
        <f t="shared" si="89"/>
        <v>84.396007741478684</v>
      </c>
      <c r="AL83" s="22">
        <f t="shared" si="58"/>
        <v>780.59411348307538</v>
      </c>
      <c r="AM83" s="62">
        <f t="shared" si="59"/>
        <v>1055.5113800517795</v>
      </c>
      <c r="AN83" s="62">
        <f ca="1">AVERAGE(OFFSET($AM$3,0,0,'Données projet'!$E$10+1,1))-AVERAGE(OFFSET($H$3,0,0,'Données projet'!$E$10+1,1))</f>
        <v>693.87994318348024</v>
      </c>
      <c r="AO83" s="62">
        <f t="shared" si="90"/>
        <v>327.71043739333641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64.977436336919325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348</v>
      </c>
      <c r="BB83" s="13">
        <f>VLOOKUP(A83,'Données projet'!$A$87:$I$107,9,0)</f>
        <v>7.2</v>
      </c>
      <c r="BC83" s="13">
        <f t="array" ref="BC83">INDEX(BB:BB,MIN(IF(ISNUMBER(BB83:BB279),ROW(BB83:BB279),"")))</f>
        <v>7.2</v>
      </c>
      <c r="BD83" s="13">
        <f>IF('Données projet'!$A$88&gt;35,BD82+BC83-BL82,IF(A83&lt;'Données projet'!$A$88,$BA$205^A83,IF(A83='Données projet'!$A$88,'Données projet'!$B$88,BD82+BC83-BL82)))</f>
        <v>347.99999999999989</v>
      </c>
      <c r="BE83" s="14">
        <f>BD83*VLOOKUP('Données projet'!$B$11,Paramètres!$A$1:$I$89,3,0)*VLOOKUP('Données projet'!$B$11,Paramètres!$A$1:$I$89,5,0)</f>
        <v>293.15519999999992</v>
      </c>
      <c r="BF83" s="14">
        <f t="shared" si="91"/>
        <v>69.739608672728551</v>
      </c>
      <c r="BG83" s="22">
        <f t="shared" si="61"/>
        <v>632.04179177166873</v>
      </c>
      <c r="BH83" s="62">
        <f t="shared" si="62"/>
        <v>906.95905834037285</v>
      </c>
      <c r="BI83" s="62">
        <f ca="1">AVERAGE(OFFSET($BH$3,0,0,'Données projet'!$E$11+1,1))-AVERAGE(OFFSET($H$3,0,0,'Données projet'!$E$11+1,1))</f>
        <v>513.7388209355762</v>
      </c>
      <c r="BJ83" s="62">
        <f t="shared" si="92"/>
        <v>328.24603121433927</v>
      </c>
      <c r="BK83" s="16">
        <f>IF(ISNA(VLOOKUP(A83,'Données projet'!$A$87:$I$107,3,0)),0,VLOOKUP(A83,'Données projet'!$A$87:$I$107,3,0))</f>
        <v>7</v>
      </c>
      <c r="BL83" s="23">
        <f>IF(ISNA(VLOOKUP(A83,'Données projet'!$A$87:$I$107,4,0)),0,VLOOKUP(A83,'Données projet'!$A$87:$I$107,4,0))</f>
        <v>56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64.977436336919325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395.6</v>
      </c>
      <c r="BW83" s="13">
        <f>VLOOKUP(A83,'Données projet'!$A$113:$I$133,9,0)</f>
        <v>4.0999999999999996</v>
      </c>
      <c r="BX83" s="13">
        <f t="array" ref="BX83">INDEX(BW:BW,MIN(IF(ISNUMBER(BW83:BW279),ROW(BW83:BW279),"")))</f>
        <v>4.0999999999999996</v>
      </c>
      <c r="BY83" s="13">
        <f>IF('Données projet'!$A$114&gt;35,BY82+BX83-CG82,IF(A83&lt;'Données projet'!$A$114,$BV$205^A83,IF(A83='Données projet'!$A$114,'Données projet'!$B$114,BY82+BX83-CG82)))</f>
        <v>395.60000000000048</v>
      </c>
      <c r="BZ83" s="14">
        <f>BY83*VLOOKUP('Données projet'!$B$12,Paramètres!$A$1:$I$89,3,0)*VLOOKUP('Données projet'!$B$12,Paramètres!$A$1:$I$89,5,0)</f>
        <v>314.73936000000043</v>
      </c>
      <c r="CA83" s="14">
        <f t="shared" si="93"/>
        <v>74.257721470200352</v>
      </c>
      <c r="CB83" s="22">
        <f t="shared" si="64"/>
        <v>677.50325022726634</v>
      </c>
      <c r="CC83" s="62">
        <f t="shared" si="65"/>
        <v>952.42051679597057</v>
      </c>
      <c r="CD83" s="62">
        <f ca="1">AVERAGE(OFFSET($CC$3,0,0,'Données projet'!$E$12+1,1))-AVERAGE(OFFSET($H$3,0,0,'Données projet'!$E$12+1,1))</f>
        <v>447.25854887589878</v>
      </c>
      <c r="CE83" s="62">
        <f t="shared" si="94"/>
        <v>480.13390593590157</v>
      </c>
      <c r="CF83" s="16">
        <f>IF(ISNA(VLOOKUP(A83,'Données projet'!$A$113:$I$133,3,0)),0,VLOOKUP(A83,'Données projet'!$A$113:$I$133,3,0))</f>
        <v>7</v>
      </c>
      <c r="CG83" s="16">
        <f>IF(ISNA(VLOOKUP(A83,'Données projet'!$A$113:$I$133,4,0)),0,VLOOKUP(A83,'Données projet'!$A$113:$I$133,4,0))</f>
        <v>395.6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64.977436336919325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1.1368683772161603E-13</v>
      </c>
      <c r="CU83" s="18">
        <f>CT83*VLOOKUP('Données projet'!$B$13,Paramètres!$A$1:$I$89,3,0)*VLOOKUP('Données projet'!$B$13,Paramètres!$A$1:$I$89,5,0)</f>
        <v>8.8675733422860506E-14</v>
      </c>
      <c r="CV83" s="14">
        <f t="shared" si="95"/>
        <v>1.3509285393066301E-12</v>
      </c>
      <c r="CW83" s="22">
        <f t="shared" si="67"/>
        <v>2.5073107750038623E-12</v>
      </c>
      <c r="CX83" s="62">
        <f t="shared" si="68"/>
        <v>274.91726656870668</v>
      </c>
      <c r="CY83" s="62">
        <f ca="1">AVERAGE(OFFSET($CX$3,0,0,'Données projet'!$E$13+1,1))-AVERAGE(OFFSET($H$3,0,0,'Données projet'!$E$13+1,1))</f>
        <v>308.52515801950324</v>
      </c>
      <c r="CZ83" s="62">
        <f t="shared" si="96"/>
        <v>299.05420638408953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64.977436336919325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395.6</v>
      </c>
      <c r="DM83" s="13">
        <f>VLOOKUP(A83,'Données projet'!$A$165:$I$185,9,0)</f>
        <v>4.0999999999999996</v>
      </c>
      <c r="DN83" s="13">
        <f t="array" ref="DN83">INDEX(DM:DM,MIN(IF(ISNUMBER(DM83:DM279),ROW(DM83:DM279),"")))</f>
        <v>4.0999999999999996</v>
      </c>
      <c r="DO83" s="13">
        <f>IF('Données projet'!$A$166&gt;35,DO82+DN83-DW82,IF(A83&lt;'Données projet'!$A$166,$DL$205^A83,IF(A83='Données projet'!$A$166,'Données projet'!$B$166,DO82+DN83-DW82)))</f>
        <v>395.60000000000048</v>
      </c>
      <c r="DP83" s="18">
        <f>DO83*VLOOKUP('Données projet'!$B$14,Paramètres!$A$1:$I$89,3,0)*VLOOKUP('Données projet'!$B$14,Paramètres!$A$1:$I$89,5,0)</f>
        <v>290.05392000000035</v>
      </c>
      <c r="DQ83" s="14">
        <f t="shared" si="97"/>
        <v>69.087309303355894</v>
      </c>
      <c r="DR83" s="22">
        <f t="shared" si="70"/>
        <v>625.50430770334538</v>
      </c>
      <c r="DS83" s="62">
        <f t="shared" si="71"/>
        <v>900.42157427204961</v>
      </c>
      <c r="DT83" s="62">
        <f ca="1">AVERAGE(OFFSET($DS$3,0,0,'Données projet'!$E$14+1,1))-AVERAGE(OFFSET($H$3,0,0,'Données projet'!$E$14+1,1))</f>
        <v>416.72317068678774</v>
      </c>
      <c r="DU83" s="62">
        <f t="shared" si="98"/>
        <v>447.32457429495537</v>
      </c>
      <c r="DV83" s="16">
        <f>IF(ISNA(VLOOKUP(A83,'Données projet'!$A$165:$I$185,3,0)),0,VLOOKUP(A83,'Données projet'!$A$165:$I$185,3,0))</f>
        <v>7</v>
      </c>
      <c r="DW83" s="16">
        <f>IF(ISNA(VLOOKUP(A83,'Données projet'!$A$165:$I$185,4,0)),0,VLOOKUP(A83,'Données projet'!$A$165:$I$185,4,0))</f>
        <v>395.6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64.977436336919325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>
        <f>VLOOKUP(A83,'Données projet'!$A$191:$I$211,2,0)</f>
        <v>266.66666666666669</v>
      </c>
      <c r="EH83" s="13">
        <f>VLOOKUP(A83,'Données projet'!$A$191:$I$211,9,0)</f>
        <v>4.4871794871794917</v>
      </c>
      <c r="EI83" s="13">
        <f t="array" ref="EI83">INDEX(EH:EH,MIN(IF(ISNUMBER(EH83:EH279),ROW(EH83:EH279),"")))</f>
        <v>4.4871794871794917</v>
      </c>
      <c r="EJ83" s="13">
        <f>IF('Données projet'!$A$192&gt;35,EJ82+EI83-ER82,IF(A83&lt;'Données projet'!$A$192,$EG$205^A83,IF(A83='Données projet'!$A$192,'Données projet'!$B$192,EJ82+EI83-ER82)))</f>
        <v>266.66666666666674</v>
      </c>
      <c r="EK83" s="18">
        <f>EJ83*VLOOKUP('Données projet'!$B$15,Paramètres!$A$1:$I$89,3,0)*VLOOKUP('Données projet'!$B$15,Paramètres!$A$1:$I$89,5,0)</f>
        <v>253.76000000000008</v>
      </c>
      <c r="EL83" s="14">
        <f t="shared" si="99"/>
        <v>61.390387407231827</v>
      </c>
      <c r="EM83" s="22">
        <f t="shared" si="73"/>
        <v>548.88692473426227</v>
      </c>
      <c r="EN83" s="62">
        <f t="shared" si="74"/>
        <v>823.8041913029665</v>
      </c>
      <c r="EO83" s="62">
        <f ca="1">AVERAGE(OFFSET($EN$3,0,0,'Données projet'!$E$15+1,1))-AVERAGE(OFFSET($H$3,0,0,'Données projet'!$E$15+1,1))</f>
        <v>454.78867027701426</v>
      </c>
      <c r="EP83" s="62">
        <f t="shared" si="100"/>
        <v>366.45346303927056</v>
      </c>
      <c r="EQ83" s="16">
        <f>IF(ISNA(VLOOKUP(A83,'Données projet'!$A$191:$I$211,3,0)),0,VLOOKUP(A83,'Données projet'!$A$191:$I$211,3,0))</f>
        <v>7</v>
      </c>
      <c r="ER83" s="16">
        <f>IF(ISNA(VLOOKUP(A83,'Données projet'!$A$191:$I$211,4,0)),0,VLOOKUP(A83,'Données projet'!$A$191:$I$211,4,0))</f>
        <v>31.410256410256409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0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64.977436336919325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>
        <f>VLOOKUP(A83,'Données projet'!$A$217:$I$237,2,0)</f>
        <v>326.92307692307691</v>
      </c>
      <c r="FC83" s="13">
        <f>VLOOKUP(A83,'Données projet'!$A$217:$I$237,9,0)</f>
        <v>4.7435897435897463</v>
      </c>
      <c r="FD83" s="13">
        <f t="array" ref="FD83">INDEX(FC:FC,MIN(IF(ISNUMBER(FC83:FC279),ROW(FC83:FC279),"")))</f>
        <v>4.7435897435897463</v>
      </c>
      <c r="FE83" s="13">
        <f>IF('Données projet'!$A$218&gt;35,FE82+FD83-FM82,IF(A83&lt;'Données projet'!$A$218,$FB$205^A83,IF(A83='Données projet'!$A$218,'Données projet'!$B$218,FE82+FD83-FM82)))</f>
        <v>326.92307692307691</v>
      </c>
      <c r="FF83" s="18">
        <f>FE83*VLOOKUP('Données projet'!$B$16,Paramètres!$A$1:$I$89,3,0)*VLOOKUP('Données projet'!$B$16,Paramètres!$A$1:$I$89,5,0)</f>
        <v>219.29999999999998</v>
      </c>
      <c r="FG83" s="14">
        <f t="shared" si="101"/>
        <v>53.962715971896969</v>
      </c>
      <c r="FH83" s="22">
        <f t="shared" si="76"/>
        <v>475.9325636510539</v>
      </c>
      <c r="FI83" s="62">
        <f t="shared" si="77"/>
        <v>750.84983021975813</v>
      </c>
      <c r="FJ83" s="62">
        <f ca="1">AVERAGE(OFFSET($FI$3,0,0,'Données projet'!$E$16+1,1))-AVERAGE(OFFSET($H$3,0,0,'Données projet'!$E$16+1,1))</f>
        <v>390.05579539539576</v>
      </c>
      <c r="FK83" s="62">
        <f t="shared" si="102"/>
        <v>323.72278615226139</v>
      </c>
      <c r="FL83" s="16">
        <f>IF(ISNA(VLOOKUP(A83,'Données projet'!$A$217:$I$237,3,0)),0,VLOOKUP(A83,'Données projet'!$A$217:$I$237,3,0))</f>
        <v>7</v>
      </c>
      <c r="FM83" s="16">
        <f>IF(ISNA(VLOOKUP(A83,'Données projet'!$A$217:$I$237,4,0)),0,VLOOKUP(A83,'Données projet'!$A$217:$I$237,4,0))</f>
        <v>28.846153846153847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projet'!$B$16,Paramètres!$A$1:$I$89,3,0)*0.475*44/12</f>
        <v>0</v>
      </c>
      <c r="FR83" s="23">
        <f>EXP(-LN(2)/25)*FR82+(1-EXP(-LN(2)/25))/(LN(2)/25)*Calculateur!FM83*Calculateur!FO83*VLOOKUP('Données projet'!$B$16,Paramètres!$A$1:$I$89,3,0)*0.475*44/12</f>
        <v>0</v>
      </c>
      <c r="FS83" s="23">
        <f>EXP(-LN(2)/2)*FS82+(1-EXP(-LN(2)/2))/(LN(2)/2)*FM83*FP83*VLOOKUP('Données projet'!$B$16,Paramètres!$A$1:$I$89,3,0)*0.475*44/12</f>
        <v>0</v>
      </c>
      <c r="FT83" s="24">
        <f t="shared" si="78"/>
        <v>0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64.977436336919325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>
        <f>VLOOKUP(A83,'Données projet'!$A$243:$I$263,2,0)</f>
        <v>348</v>
      </c>
      <c r="FX83" s="13">
        <f>VLOOKUP(A83,'Données projet'!$A$243:$I$263,9,0)</f>
        <v>7.2</v>
      </c>
      <c r="FY83" s="13">
        <f t="array" ref="FY83">INDEX(FX:FX,MIN(IF(ISNUMBER(FX83:FX279),ROW(FX83:FX279),"")))</f>
        <v>7.2</v>
      </c>
      <c r="FZ83" s="13">
        <f>IF('Données projet'!$A$244&gt;35,FZ82+FY83-GH82,IF(A83&lt;'Données projet'!$A$244,$FW$205^A83,IF(A83='Données projet'!$A$244,'Données projet'!$B$244,FZ82+FY83-GH82)))</f>
        <v>347.99999999999989</v>
      </c>
      <c r="GA83" s="18">
        <f>FZ83*VLOOKUP('Données projet'!$B$17,Paramètres!$A$1:$I$89,3,0)*VLOOKUP('Données projet'!$B$17,Paramètres!$A$1:$I$89,5,0)</f>
        <v>336.58559999999989</v>
      </c>
      <c r="GB83" s="14">
        <f t="shared" si="103"/>
        <v>78.794095911992599</v>
      </c>
      <c r="GC83" s="22">
        <f t="shared" si="79"/>
        <v>723.45297038005356</v>
      </c>
      <c r="GD83" s="62">
        <f t="shared" si="80"/>
        <v>998.37023694875779</v>
      </c>
      <c r="GE83" s="62">
        <f ca="1">AVERAGE(OFFSET($GD$3,0,0,'Données projet'!$E$17+1,1))-AVERAGE(OFFSET($H$3,0,0,'Données projet'!$E$17+1,1))</f>
        <v>578.44111602076555</v>
      </c>
      <c r="GF83" s="62">
        <f t="shared" si="104"/>
        <v>368.08542661432784</v>
      </c>
      <c r="GG83" s="16">
        <f>IF(ISNA(VLOOKUP(A83,'Données projet'!$A$243:$I$263,3,0)),0,VLOOKUP(A83,'Données projet'!$A$243:$I$263,3,0))</f>
        <v>7</v>
      </c>
      <c r="GH83" s="16">
        <f>IF(ISNA(VLOOKUP(A83,'Données projet'!$A$243:$I$263,4,0)),0,VLOOKUP(A83,'Données projet'!$A$243:$I$263,4,0))</f>
        <v>56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>
        <f>EXP(-LN(2)/35)*GL82+(1-EXP(-LN(2)/35))/(LN(2)/35)*GH83*GI83*VLOOKUP('Données projet'!$B$17,Paramètres!$A$1:$I$89,3,0)*0.475*44/12</f>
        <v>0</v>
      </c>
      <c r="GM83" s="23">
        <f>EXP(-LN(2)/25)*GM82+(1-EXP(-LN(2)/25))/(LN(2)/25)*Calculateur!GH83*Calculateur!GJ83*VLOOKUP('Données projet'!$B$17,Paramètres!$A$1:$I$89,3,0)*0.475*44/12</f>
        <v>0</v>
      </c>
      <c r="GN83" s="23">
        <f>EXP(-LN(2)/2)*GN82+(1-EXP(-LN(2)/2))/(LN(2)/2)*GH83*GK83*VLOOKUP('Données projet'!$B$17,Paramètres!$A$1:$I$89,3,0)*0.475*44/12</f>
        <v>0</v>
      </c>
      <c r="GO83" s="23">
        <f t="shared" si="81"/>
        <v>0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64.977436336919325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4.0735000000000001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14.936166666666667</v>
      </c>
      <c r="H84" s="70">
        <f t="shared" si="56"/>
        <v>196.922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65.064566587703624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6.6</v>
      </c>
      <c r="N84" s="14">
        <f>IF('Données projet'!$A$36&gt;35,N83+M84-V83,IF(A84&lt;'Données projet'!$A$36,$K$205^A84,IF(A84='Données projet'!$A$36,'Données projet'!$B$36,N83+M84-V83)))</f>
        <v>298.59999999999991</v>
      </c>
      <c r="O84" s="14">
        <f>N84*VLOOKUP('Données projet'!$B$9,Paramètres!$A$1:$I$89,3,0)*VLOOKUP('Données projet'!$B$9,Paramètres!$A$1:$I$89,5,0)</f>
        <v>270.17327999999992</v>
      </c>
      <c r="P84" s="14">
        <f t="shared" si="87"/>
        <v>64.886042303882988</v>
      </c>
      <c r="Q84" s="22">
        <f t="shared" si="54"/>
        <v>583.56165301259614</v>
      </c>
      <c r="R84" s="62">
        <f t="shared" si="55"/>
        <v>858.79839716750939</v>
      </c>
      <c r="S84" s="62">
        <f ca="1">AVERAGE(OFFSET($R$3,0,0,'Données projet'!$E$9+1,1))-AVERAGE(OFFSET($H$3,0,0,'Données projet'!$E$9+1,1))</f>
        <v>546.11281471711925</v>
      </c>
      <c r="T84" s="62">
        <f t="shared" si="88"/>
        <v>348.18069831447099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65.064566587703624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9.6</v>
      </c>
      <c r="AI84" s="14">
        <f>IF('Données projet'!$A$62&gt;35,AI83+AH84-AQ83,IF(A84&lt;'Données projet'!$A$62,$AF$205^A84,IF(A84='Données projet'!$A$62,'Données projet'!$B$62,AI83+AH84-AQ83)))</f>
        <v>433.59999999999991</v>
      </c>
      <c r="AJ84" s="14">
        <f>AI84*VLOOKUP('Données projet'!$B$10,Paramètres!$A$1:$I$89,3,0)*VLOOKUP('Données projet'!$B$10,Paramètres!$A$1:$I$89,5,0)</f>
        <v>372.02879999999993</v>
      </c>
      <c r="AK84" s="14">
        <f t="shared" si="89"/>
        <v>86.082231077580573</v>
      </c>
      <c r="AL84" s="22">
        <f t="shared" si="58"/>
        <v>797.87671246011939</v>
      </c>
      <c r="AM84" s="62">
        <f t="shared" si="59"/>
        <v>1073.1134566150326</v>
      </c>
      <c r="AN84" s="62">
        <f ca="1">AVERAGE(OFFSET($AM$3,0,0,'Données projet'!$E$10+1,1))-AVERAGE(OFFSET($H$3,0,0,'Données projet'!$E$10+1,1))</f>
        <v>693.87994318348024</v>
      </c>
      <c r="AO84" s="62">
        <f t="shared" si="90"/>
        <v>327.71043739333641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65.064566587703624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6.6</v>
      </c>
      <c r="BD84" s="13">
        <f>IF('Données projet'!$A$88&gt;35,BD83+BC84-BL83,IF(A84&lt;'Données projet'!$A$88,$BA$205^A84,IF(A84='Données projet'!$A$88,'Données projet'!$B$88,BD83+BC84-BL83)))</f>
        <v>298.59999999999991</v>
      </c>
      <c r="BE84" s="14">
        <f>BD84*VLOOKUP('Données projet'!$B$11,Paramètres!$A$1:$I$89,3,0)*VLOOKUP('Données projet'!$B$11,Paramètres!$A$1:$I$89,5,0)</f>
        <v>251.54063999999997</v>
      </c>
      <c r="BF84" s="14">
        <f t="shared" si="91"/>
        <v>60.915727667172064</v>
      </c>
      <c r="BG84" s="22">
        <f t="shared" si="61"/>
        <v>544.19484035365792</v>
      </c>
      <c r="BH84" s="62">
        <f t="shared" si="62"/>
        <v>819.43158450857118</v>
      </c>
      <c r="BI84" s="62">
        <f ca="1">AVERAGE(OFFSET($BH$3,0,0,'Données projet'!$E$11+1,1))-AVERAGE(OFFSET($H$3,0,0,'Données projet'!$E$11+1,1))</f>
        <v>513.7388209355762</v>
      </c>
      <c r="BJ84" s="62">
        <f t="shared" si="92"/>
        <v>328.24603121433927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65.064566587703624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4.5474735088646412E-13</v>
      </c>
      <c r="BZ84" s="14">
        <f>BY84*VLOOKUP('Données projet'!$B$12,Paramètres!$A$1:$I$89,3,0)*VLOOKUP('Données projet'!$B$12,Paramètres!$A$1:$I$89,5,0)</f>
        <v>3.6179699236527089E-13</v>
      </c>
      <c r="CA84" s="14">
        <f t="shared" si="93"/>
        <v>4.6796319415916035E-12</v>
      </c>
      <c r="CB84" s="22">
        <f t="shared" si="64"/>
        <v>8.7804887266415556E-12</v>
      </c>
      <c r="CC84" s="62">
        <f t="shared" si="65"/>
        <v>275.23674415492206</v>
      </c>
      <c r="CD84" s="62">
        <f ca="1">AVERAGE(OFFSET($CC$3,0,0,'Données projet'!$E$12+1,1))-AVERAGE(OFFSET($H$3,0,0,'Données projet'!$E$12+1,1))</f>
        <v>447.25854887589878</v>
      </c>
      <c r="CE84" s="62">
        <f t="shared" si="94"/>
        <v>480.13390593590157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65.064566587703624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1.1368683772161603E-13</v>
      </c>
      <c r="CU84" s="18">
        <f>CT84*VLOOKUP('Données projet'!$B$13,Paramètres!$A$1:$I$89,3,0)*VLOOKUP('Données projet'!$B$13,Paramètres!$A$1:$I$89,5,0)</f>
        <v>8.8675733422860506E-14</v>
      </c>
      <c r="CV84" s="14">
        <f t="shared" si="95"/>
        <v>1.3509285393066301E-12</v>
      </c>
      <c r="CW84" s="22">
        <f t="shared" si="67"/>
        <v>2.5073107750038623E-12</v>
      </c>
      <c r="CX84" s="62">
        <f t="shared" si="68"/>
        <v>275.23674415491581</v>
      </c>
      <c r="CY84" s="62">
        <f ca="1">AVERAGE(OFFSET($CX$3,0,0,'Données projet'!$E$13+1,1))-AVERAGE(OFFSET($H$3,0,0,'Données projet'!$E$13+1,1))</f>
        <v>308.52515801950324</v>
      </c>
      <c r="CZ84" s="62">
        <f t="shared" si="96"/>
        <v>299.05420638408953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65.064566587703624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4.5474735088646412E-13</v>
      </c>
      <c r="DP84" s="18">
        <f>DO84*VLOOKUP('Données projet'!$B$14,Paramètres!$A$1:$I$89,3,0)*VLOOKUP('Données projet'!$B$14,Paramètres!$A$1:$I$89,5,0)</f>
        <v>3.3342075766995548E-13</v>
      </c>
      <c r="DQ84" s="14">
        <f t="shared" si="97"/>
        <v>4.3537988100583648E-12</v>
      </c>
      <c r="DR84" s="22">
        <f t="shared" si="70"/>
        <v>8.1635740804601579E-12</v>
      </c>
      <c r="DS84" s="62">
        <f t="shared" si="71"/>
        <v>275.2367441549215</v>
      </c>
      <c r="DT84" s="62">
        <f ca="1">AVERAGE(OFFSET($DS$3,0,0,'Données projet'!$E$14+1,1))-AVERAGE(OFFSET($H$3,0,0,'Données projet'!$E$14+1,1))</f>
        <v>416.72317068678774</v>
      </c>
      <c r="DU84" s="62">
        <f t="shared" si="98"/>
        <v>447.32457429495537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65.064566587703624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4.3589743589743533</v>
      </c>
      <c r="EJ84" s="13">
        <f>IF('Données projet'!$A$192&gt;35,EJ83+EI84-ER83,IF(A84&lt;'Données projet'!$A$192,$EG$205^A84,IF(A84='Données projet'!$A$192,'Données projet'!$B$192,EJ83+EI84-ER83)))</f>
        <v>239.6153846153847</v>
      </c>
      <c r="EK84" s="18">
        <f>EJ84*VLOOKUP('Données projet'!$B$15,Paramètres!$A$1:$I$89,3,0)*VLOOKUP('Données projet'!$B$15,Paramètres!$A$1:$I$89,5,0)</f>
        <v>228.01800000000006</v>
      </c>
      <c r="EL84" s="14">
        <f t="shared" si="99"/>
        <v>55.853911165569251</v>
      </c>
      <c r="EM84" s="22">
        <f t="shared" si="73"/>
        <v>494.41024528003317</v>
      </c>
      <c r="EN84" s="62">
        <f t="shared" si="74"/>
        <v>769.64698943494648</v>
      </c>
      <c r="EO84" s="62">
        <f ca="1">AVERAGE(OFFSET($EN$3,0,0,'Données projet'!$E$15+1,1))-AVERAGE(OFFSET($H$3,0,0,'Données projet'!$E$15+1,1))</f>
        <v>454.78867027701426</v>
      </c>
      <c r="EP84" s="62">
        <f t="shared" si="100"/>
        <v>366.45346303927056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0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65.064566587703624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4.4871794871794917</v>
      </c>
      <c r="FE84" s="13">
        <f>IF('Données projet'!$A$218&gt;35,FE83+FD84-FM83,IF(A84&lt;'Données projet'!$A$218,$FB$205^A84,IF(A84='Données projet'!$A$218,'Données projet'!$B$218,FE83+FD84-FM83)))</f>
        <v>302.56410256410254</v>
      </c>
      <c r="FF84" s="18">
        <f>FE84*VLOOKUP('Données projet'!$B$16,Paramètres!$A$1:$I$89,3,0)*VLOOKUP('Données projet'!$B$16,Paramètres!$A$1:$I$89,5,0)</f>
        <v>202.95999999999998</v>
      </c>
      <c r="FG84" s="14">
        <f t="shared" si="101"/>
        <v>50.394128866673796</v>
      </c>
      <c r="FH84" s="22">
        <f t="shared" si="76"/>
        <v>441.25844110945678</v>
      </c>
      <c r="FI84" s="62">
        <f t="shared" si="77"/>
        <v>716.49518526437009</v>
      </c>
      <c r="FJ84" s="62">
        <f ca="1">AVERAGE(OFFSET($FI$3,0,0,'Données projet'!$E$16+1,1))-AVERAGE(OFFSET($H$3,0,0,'Données projet'!$E$16+1,1))</f>
        <v>390.05579539539576</v>
      </c>
      <c r="FK84" s="62">
        <f t="shared" si="102"/>
        <v>323.72278615226139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projet'!$B$16,Paramètres!$A$1:$I$89,3,0)*0.475*44/12</f>
        <v>0</v>
      </c>
      <c r="FR84" s="23">
        <f>EXP(-LN(2)/25)*FR83+(1-EXP(-LN(2)/25))/(LN(2)/25)*Calculateur!FM84*Calculateur!FO84*VLOOKUP('Données projet'!$B$16,Paramètres!$A$1:$I$89,3,0)*0.475*44/12</f>
        <v>0</v>
      </c>
      <c r="FS84" s="23">
        <f>EXP(-LN(2)/2)*FS83+(1-EXP(-LN(2)/2))/(LN(2)/2)*FM84*FP84*VLOOKUP('Données projet'!$B$16,Paramètres!$A$1:$I$89,3,0)*0.475*44/12</f>
        <v>0</v>
      </c>
      <c r="FT84" s="24">
        <f t="shared" si="78"/>
        <v>0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65.064566587703624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6.6</v>
      </c>
      <c r="FZ84" s="13">
        <f>IF('Données projet'!$A$244&gt;35,FZ83+FY84-GH83,IF(A84&lt;'Données projet'!$A$244,$FW$205^A84,IF(A84='Données projet'!$A$244,'Données projet'!$B$244,FZ83+FY84-GH83)))</f>
        <v>298.59999999999991</v>
      </c>
      <c r="GA84" s="18">
        <f>FZ84*VLOOKUP('Données projet'!$B$17,Paramètres!$A$1:$I$89,3,0)*VLOOKUP('Données projet'!$B$17,Paramètres!$A$1:$I$89,5,0)</f>
        <v>288.8059199999999</v>
      </c>
      <c r="GB84" s="14">
        <f t="shared" si="103"/>
        <v>68.824585908996127</v>
      </c>
      <c r="GC84" s="22">
        <f t="shared" si="79"/>
        <v>622.87313112483469</v>
      </c>
      <c r="GD84" s="62">
        <f t="shared" si="80"/>
        <v>898.10987527974794</v>
      </c>
      <c r="GE84" s="62">
        <f ca="1">AVERAGE(OFFSET($GD$3,0,0,'Données projet'!$E$17+1,1))-AVERAGE(OFFSET($H$3,0,0,'Données projet'!$E$17+1,1))</f>
        <v>578.44111602076555</v>
      </c>
      <c r="GF84" s="62">
        <f t="shared" si="104"/>
        <v>368.08542661432784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>
        <f>EXP(-LN(2)/35)*GL83+(1-EXP(-LN(2)/35))/(LN(2)/35)*GH84*GI84*VLOOKUP('Données projet'!$B$17,Paramètres!$A$1:$I$89,3,0)*0.475*44/12</f>
        <v>0</v>
      </c>
      <c r="GM84" s="23">
        <f>EXP(-LN(2)/25)*GM83+(1-EXP(-LN(2)/25))/(LN(2)/25)*Calculateur!GH84*Calculateur!GJ84*VLOOKUP('Données projet'!$B$17,Paramètres!$A$1:$I$89,3,0)*0.475*44/12</f>
        <v>0</v>
      </c>
      <c r="GN84" s="23">
        <f>EXP(-LN(2)/2)*GN83+(1-EXP(-LN(2)/2))/(LN(2)/2)*GH84*GK84*VLOOKUP('Données projet'!$B$17,Paramètres!$A$1:$I$89,3,0)*0.475*44/12</f>
        <v>0</v>
      </c>
      <c r="GO84" s="23">
        <f t="shared" si="81"/>
        <v>0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65.064566587703624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4.0735000000000001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14.936166666666667</v>
      </c>
      <c r="H85" s="70">
        <f t="shared" si="56"/>
        <v>196.922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65.150185323430861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6.6</v>
      </c>
      <c r="N85" s="14">
        <f>IF('Données projet'!$A$36&gt;35,N84+M85-V84,IF(A85&lt;'Données projet'!$A$36,$K$205^A85,IF(A85='Données projet'!$A$36,'Données projet'!$B$36,N84+M85-V84)))</f>
        <v>305.19999999999993</v>
      </c>
      <c r="O85" s="14">
        <f>N85*VLOOKUP('Données projet'!$B$9,Paramètres!$A$1:$I$89,3,0)*VLOOKUP('Données projet'!$B$9,Paramètres!$A$1:$I$89,5,0)</f>
        <v>276.14495999999991</v>
      </c>
      <c r="P85" s="14">
        <f t="shared" si="87"/>
        <v>66.151671938851194</v>
      </c>
      <c r="Q85" s="22">
        <f t="shared" si="54"/>
        <v>596.16663396016554</v>
      </c>
      <c r="R85" s="62">
        <f t="shared" si="55"/>
        <v>871.71731347941204</v>
      </c>
      <c r="S85" s="62">
        <f ca="1">AVERAGE(OFFSET($R$3,0,0,'Données projet'!$E$9+1,1))-AVERAGE(OFFSET($H$3,0,0,'Données projet'!$E$9+1,1))</f>
        <v>546.11281471711925</v>
      </c>
      <c r="T85" s="62">
        <f t="shared" si="88"/>
        <v>348.18069831447099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65.150185323430861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9.6</v>
      </c>
      <c r="AI85" s="14">
        <f>IF('Données projet'!$A$62&gt;35,AI84+AH85-AQ84,IF(A85&lt;'Données projet'!$A$62,$AF$205^A85,IF(A85='Données projet'!$A$62,'Données projet'!$B$62,AI84+AH85-AQ84)))</f>
        <v>443.19999999999993</v>
      </c>
      <c r="AJ85" s="14">
        <f>AI85*VLOOKUP('Données projet'!$B$10,Paramètres!$A$1:$I$89,3,0)*VLOOKUP('Données projet'!$B$10,Paramètres!$A$1:$I$89,5,0)</f>
        <v>380.26560000000001</v>
      </c>
      <c r="AK85" s="14">
        <f t="shared" si="89"/>
        <v>87.764114030778003</v>
      </c>
      <c r="AL85" s="22">
        <f t="shared" si="58"/>
        <v>815.15175193693824</v>
      </c>
      <c r="AM85" s="62">
        <f t="shared" si="59"/>
        <v>1090.7024314561847</v>
      </c>
      <c r="AN85" s="62">
        <f ca="1">AVERAGE(OFFSET($AM$3,0,0,'Données projet'!$E$10+1,1))-AVERAGE(OFFSET($H$3,0,0,'Données projet'!$E$10+1,1))</f>
        <v>693.87994318348024</v>
      </c>
      <c r="AO85" s="62">
        <f t="shared" si="90"/>
        <v>327.71043739333641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65.150185323430861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6.6</v>
      </c>
      <c r="BD85" s="13">
        <f>IF('Données projet'!$A$88&gt;35,BD84+BC85-BL84,IF(A85&lt;'Données projet'!$A$88,$BA$205^A85,IF(A85='Données projet'!$A$88,'Données projet'!$B$88,BD84+BC85-BL84)))</f>
        <v>305.19999999999993</v>
      </c>
      <c r="BE85" s="14">
        <f>BD85*VLOOKUP('Données projet'!$B$11,Paramètres!$A$1:$I$89,3,0)*VLOOKUP('Données projet'!$B$11,Paramètres!$A$1:$I$89,5,0)</f>
        <v>257.10047999999995</v>
      </c>
      <c r="BF85" s="14">
        <f t="shared" si="91"/>
        <v>62.103914639805659</v>
      </c>
      <c r="BG85" s="22">
        <f t="shared" si="61"/>
        <v>555.9476539976614</v>
      </c>
      <c r="BH85" s="62">
        <f t="shared" si="62"/>
        <v>831.49833351690791</v>
      </c>
      <c r="BI85" s="62">
        <f ca="1">AVERAGE(OFFSET($BH$3,0,0,'Données projet'!$E$11+1,1))-AVERAGE(OFFSET($H$3,0,0,'Données projet'!$E$11+1,1))</f>
        <v>513.7388209355762</v>
      </c>
      <c r="BJ85" s="62">
        <f t="shared" si="92"/>
        <v>328.24603121433927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65.150185323430861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4.5474735088646412E-13</v>
      </c>
      <c r="BZ85" s="14">
        <f>BY85*VLOOKUP('Données projet'!$B$12,Paramètres!$A$1:$I$89,3,0)*VLOOKUP('Données projet'!$B$12,Paramètres!$A$1:$I$89,5,0)</f>
        <v>3.6179699236527089E-13</v>
      </c>
      <c r="CA85" s="14">
        <f t="shared" si="93"/>
        <v>4.6796319415916035E-12</v>
      </c>
      <c r="CB85" s="22">
        <f t="shared" si="64"/>
        <v>8.7804887266415556E-12</v>
      </c>
      <c r="CC85" s="62">
        <f t="shared" si="65"/>
        <v>275.55067951925525</v>
      </c>
      <c r="CD85" s="62">
        <f ca="1">AVERAGE(OFFSET($CC$3,0,0,'Données projet'!$E$12+1,1))-AVERAGE(OFFSET($H$3,0,0,'Données projet'!$E$12+1,1))</f>
        <v>447.25854887589878</v>
      </c>
      <c r="CE85" s="62">
        <f t="shared" si="94"/>
        <v>480.13390593590157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65.150185323430861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1.1368683772161603E-13</v>
      </c>
      <c r="CU85" s="18">
        <f>CT85*VLOOKUP('Données projet'!$B$13,Paramètres!$A$1:$I$89,3,0)*VLOOKUP('Données projet'!$B$13,Paramètres!$A$1:$I$89,5,0)</f>
        <v>8.8675733422860506E-14</v>
      </c>
      <c r="CV85" s="14">
        <f t="shared" si="95"/>
        <v>1.3509285393066301E-12</v>
      </c>
      <c r="CW85" s="22">
        <f t="shared" si="67"/>
        <v>2.5073107750038623E-12</v>
      </c>
      <c r="CX85" s="62">
        <f t="shared" si="68"/>
        <v>275.550679519249</v>
      </c>
      <c r="CY85" s="62">
        <f ca="1">AVERAGE(OFFSET($CX$3,0,0,'Données projet'!$E$13+1,1))-AVERAGE(OFFSET($H$3,0,0,'Données projet'!$E$13+1,1))</f>
        <v>308.52515801950324</v>
      </c>
      <c r="CZ85" s="62">
        <f t="shared" si="96"/>
        <v>299.05420638408953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65.150185323430861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4.5474735088646412E-13</v>
      </c>
      <c r="DP85" s="18">
        <f>DO85*VLOOKUP('Données projet'!$B$14,Paramètres!$A$1:$I$89,3,0)*VLOOKUP('Données projet'!$B$14,Paramètres!$A$1:$I$89,5,0)</f>
        <v>3.3342075766995548E-13</v>
      </c>
      <c r="DQ85" s="14">
        <f t="shared" si="97"/>
        <v>4.3537988100583648E-12</v>
      </c>
      <c r="DR85" s="22">
        <f t="shared" si="70"/>
        <v>8.1635740804601579E-12</v>
      </c>
      <c r="DS85" s="62">
        <f t="shared" si="71"/>
        <v>275.55067951925469</v>
      </c>
      <c r="DT85" s="62">
        <f ca="1">AVERAGE(OFFSET($DS$3,0,0,'Données projet'!$E$14+1,1))-AVERAGE(OFFSET($H$3,0,0,'Données projet'!$E$14+1,1))</f>
        <v>416.72317068678774</v>
      </c>
      <c r="DU85" s="62">
        <f t="shared" si="98"/>
        <v>447.32457429495537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65.150185323430861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4.3589743589743533</v>
      </c>
      <c r="EJ85" s="13">
        <f>IF('Données projet'!$A$192&gt;35,EJ84+EI85-ER84,IF(A85&lt;'Données projet'!$A$192,$EG$205^A85,IF(A85='Données projet'!$A$192,'Données projet'!$B$192,EJ84+EI85-ER84)))</f>
        <v>243.97435897435906</v>
      </c>
      <c r="EK85" s="18">
        <f>EJ85*VLOOKUP('Données projet'!$B$15,Paramètres!$A$1:$I$89,3,0)*VLOOKUP('Données projet'!$B$15,Paramètres!$A$1:$I$89,5,0)</f>
        <v>232.16600000000008</v>
      </c>
      <c r="EL85" s="14">
        <f t="shared" si="99"/>
        <v>56.750765573960223</v>
      </c>
      <c r="EM85" s="22">
        <f t="shared" si="73"/>
        <v>503.19670004131422</v>
      </c>
      <c r="EN85" s="62">
        <f t="shared" si="74"/>
        <v>778.74737956056072</v>
      </c>
      <c r="EO85" s="62">
        <f ca="1">AVERAGE(OFFSET($EN$3,0,0,'Données projet'!$E$15+1,1))-AVERAGE(OFFSET($H$3,0,0,'Données projet'!$E$15+1,1))</f>
        <v>454.78867027701426</v>
      </c>
      <c r="EP85" s="62">
        <f t="shared" si="100"/>
        <v>366.45346303927056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0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65.150185323430861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4.4871794871794917</v>
      </c>
      <c r="FE85" s="13">
        <f>IF('Données projet'!$A$218&gt;35,FE84+FD85-FM84,IF(A85&lt;'Données projet'!$A$218,$FB$205^A85,IF(A85='Données projet'!$A$218,'Données projet'!$B$218,FE84+FD85-FM84)))</f>
        <v>307.05128205128204</v>
      </c>
      <c r="FF85" s="18">
        <f>FE85*VLOOKUP('Données projet'!$B$16,Paramètres!$A$1:$I$89,3,0)*VLOOKUP('Données projet'!$B$16,Paramètres!$A$1:$I$89,5,0)</f>
        <v>205.97</v>
      </c>
      <c r="FG85" s="14">
        <f t="shared" si="101"/>
        <v>51.053938616003535</v>
      </c>
      <c r="FH85" s="22">
        <f t="shared" si="76"/>
        <v>447.65002642287277</v>
      </c>
      <c r="FI85" s="62">
        <f t="shared" si="77"/>
        <v>723.20070594211927</v>
      </c>
      <c r="FJ85" s="62">
        <f ca="1">AVERAGE(OFFSET($FI$3,0,0,'Données projet'!$E$16+1,1))-AVERAGE(OFFSET($H$3,0,0,'Données projet'!$E$16+1,1))</f>
        <v>390.05579539539576</v>
      </c>
      <c r="FK85" s="62">
        <f t="shared" si="102"/>
        <v>323.72278615226139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projet'!$B$16,Paramètres!$A$1:$I$89,3,0)*0.475*44/12</f>
        <v>0</v>
      </c>
      <c r="FR85" s="23">
        <f>EXP(-LN(2)/25)*FR84+(1-EXP(-LN(2)/25))/(LN(2)/25)*Calculateur!FM85*Calculateur!FO85*VLOOKUP('Données projet'!$B$16,Paramètres!$A$1:$I$89,3,0)*0.475*44/12</f>
        <v>0</v>
      </c>
      <c r="FS85" s="23">
        <f>EXP(-LN(2)/2)*FS84+(1-EXP(-LN(2)/2))/(LN(2)/2)*FM85*FP85*VLOOKUP('Données projet'!$B$16,Paramètres!$A$1:$I$89,3,0)*0.475*44/12</f>
        <v>0</v>
      </c>
      <c r="FT85" s="24">
        <f t="shared" si="78"/>
        <v>0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65.150185323430861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6.6</v>
      </c>
      <c r="FZ85" s="13">
        <f>IF('Données projet'!$A$244&gt;35,FZ84+FY85-GH84,IF(A85&lt;'Données projet'!$A$244,$FW$205^A85,IF(A85='Données projet'!$A$244,'Données projet'!$B$244,FZ84+FY85-GH84)))</f>
        <v>305.19999999999993</v>
      </c>
      <c r="GA85" s="18">
        <f>FZ85*VLOOKUP('Données projet'!$B$17,Paramètres!$A$1:$I$89,3,0)*VLOOKUP('Données projet'!$B$17,Paramètres!$A$1:$I$89,5,0)</f>
        <v>295.18943999999993</v>
      </c>
      <c r="GB85" s="14">
        <f t="shared" si="103"/>
        <v>70.167038498921215</v>
      </c>
      <c r="GC85" s="22">
        <f t="shared" si="79"/>
        <v>636.32920005228766</v>
      </c>
      <c r="GD85" s="62">
        <f t="shared" si="80"/>
        <v>911.87987957153416</v>
      </c>
      <c r="GE85" s="62">
        <f ca="1">AVERAGE(OFFSET($GD$3,0,0,'Données projet'!$E$17+1,1))-AVERAGE(OFFSET($H$3,0,0,'Données projet'!$E$17+1,1))</f>
        <v>578.44111602076555</v>
      </c>
      <c r="GF85" s="62">
        <f t="shared" si="104"/>
        <v>368.08542661432784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>
        <f>EXP(-LN(2)/35)*GL84+(1-EXP(-LN(2)/35))/(LN(2)/35)*GH85*GI85*VLOOKUP('Données projet'!$B$17,Paramètres!$A$1:$I$89,3,0)*0.475*44/12</f>
        <v>0</v>
      </c>
      <c r="GM85" s="23">
        <f>EXP(-LN(2)/25)*GM84+(1-EXP(-LN(2)/25))/(LN(2)/25)*Calculateur!GH85*Calculateur!GJ85*VLOOKUP('Données projet'!$B$17,Paramètres!$A$1:$I$89,3,0)*0.475*44/12</f>
        <v>0</v>
      </c>
      <c r="GN85" s="23">
        <f>EXP(-LN(2)/2)*GN84+(1-EXP(-LN(2)/2))/(LN(2)/2)*GH85*GK85*VLOOKUP('Données projet'!$B$17,Paramètres!$A$1:$I$89,3,0)*0.475*44/12</f>
        <v>0</v>
      </c>
      <c r="GO85" s="23">
        <f t="shared" si="81"/>
        <v>0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65.150185323430861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4.0735000000000001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14.936166666666667</v>
      </c>
      <c r="H86" s="70">
        <f t="shared" si="56"/>
        <v>196.922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65.23431876550805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6.6</v>
      </c>
      <c r="N86" s="14">
        <f>IF('Données projet'!$A$36&gt;35,N85+M86-V85,IF(A86&lt;'Données projet'!$A$36,$K$205^A86,IF(A86='Données projet'!$A$36,'Données projet'!$B$36,N85+M86-V85)))</f>
        <v>311.79999999999995</v>
      </c>
      <c r="O86" s="14">
        <f>N86*VLOOKUP('Données projet'!$B$9,Paramètres!$A$1:$I$89,3,0)*VLOOKUP('Données projet'!$B$9,Paramètres!$A$1:$I$89,5,0)</f>
        <v>282.11663999999996</v>
      </c>
      <c r="P86" s="14">
        <f t="shared" si="87"/>
        <v>67.414119514142243</v>
      </c>
      <c r="Q86" s="22">
        <f t="shared" si="54"/>
        <v>608.76607282046439</v>
      </c>
      <c r="R86" s="62">
        <f t="shared" si="55"/>
        <v>884.62524162732723</v>
      </c>
      <c r="S86" s="62">
        <f ca="1">AVERAGE(OFFSET($R$3,0,0,'Données projet'!$E$9+1,1))-AVERAGE(OFFSET($H$3,0,0,'Données projet'!$E$9+1,1))</f>
        <v>546.11281471711925</v>
      </c>
      <c r="T86" s="62">
        <f t="shared" si="88"/>
        <v>348.18069831447099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65.23431876550805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9.6</v>
      </c>
      <c r="AI86" s="14">
        <f>IF('Données projet'!$A$62&gt;35,AI85+AH86-AQ85,IF(A86&lt;'Données projet'!$A$62,$AF$205^A86,IF(A86='Données projet'!$A$62,'Données projet'!$B$62,AI85+AH86-AQ85)))</f>
        <v>452.79999999999995</v>
      </c>
      <c r="AJ86" s="14">
        <f>AI86*VLOOKUP('Données projet'!$B$10,Paramètres!$A$1:$I$89,3,0)*VLOOKUP('Données projet'!$B$10,Paramètres!$A$1:$I$89,5,0)</f>
        <v>388.50240000000002</v>
      </c>
      <c r="AK86" s="14">
        <f t="shared" si="89"/>
        <v>89.441761444345047</v>
      </c>
      <c r="AL86" s="22">
        <f t="shared" si="58"/>
        <v>832.41941451556761</v>
      </c>
      <c r="AM86" s="62">
        <f t="shared" si="59"/>
        <v>1108.2785833224304</v>
      </c>
      <c r="AN86" s="62">
        <f ca="1">AVERAGE(OFFSET($AM$3,0,0,'Données projet'!$E$10+1,1))-AVERAGE(OFFSET($H$3,0,0,'Données projet'!$E$10+1,1))</f>
        <v>693.87994318348024</v>
      </c>
      <c r="AO86" s="62">
        <f t="shared" si="90"/>
        <v>327.71043739333641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65.23431876550805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6.6</v>
      </c>
      <c r="BD86" s="13">
        <f>IF('Données projet'!$A$88&gt;35,BD85+BC86-BL85,IF(A86&lt;'Données projet'!$A$88,$BA$205^A86,IF(A86='Données projet'!$A$88,'Données projet'!$B$88,BD85+BC86-BL85)))</f>
        <v>311.79999999999995</v>
      </c>
      <c r="BE86" s="14">
        <f>BD86*VLOOKUP('Données projet'!$B$11,Paramètres!$A$1:$I$89,3,0)*VLOOKUP('Données projet'!$B$11,Paramètres!$A$1:$I$89,5,0)</f>
        <v>262.66032000000001</v>
      </c>
      <c r="BF86" s="14">
        <f t="shared" si="91"/>
        <v>63.289114259938891</v>
      </c>
      <c r="BG86" s="22">
        <f t="shared" si="61"/>
        <v>567.69526466939362</v>
      </c>
      <c r="BH86" s="62">
        <f t="shared" si="62"/>
        <v>843.55443347625646</v>
      </c>
      <c r="BI86" s="62">
        <f ca="1">AVERAGE(OFFSET($BH$3,0,0,'Données projet'!$E$11+1,1))-AVERAGE(OFFSET($H$3,0,0,'Données projet'!$E$11+1,1))</f>
        <v>513.7388209355762</v>
      </c>
      <c r="BJ86" s="62">
        <f t="shared" si="92"/>
        <v>328.24603121433927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65.23431876550805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4.5474735088646412E-13</v>
      </c>
      <c r="BZ86" s="14">
        <f>BY86*VLOOKUP('Données projet'!$B$12,Paramètres!$A$1:$I$89,3,0)*VLOOKUP('Données projet'!$B$12,Paramètres!$A$1:$I$89,5,0)</f>
        <v>3.6179699236527089E-13</v>
      </c>
      <c r="CA86" s="14">
        <f t="shared" si="93"/>
        <v>4.6796319415916035E-12</v>
      </c>
      <c r="CB86" s="22">
        <f t="shared" si="64"/>
        <v>8.7804887266415556E-12</v>
      </c>
      <c r="CC86" s="62">
        <f t="shared" si="65"/>
        <v>275.85916880687159</v>
      </c>
      <c r="CD86" s="62">
        <f ca="1">AVERAGE(OFFSET($CC$3,0,0,'Données projet'!$E$12+1,1))-AVERAGE(OFFSET($H$3,0,0,'Données projet'!$E$12+1,1))</f>
        <v>447.25854887589878</v>
      </c>
      <c r="CE86" s="62">
        <f t="shared" si="94"/>
        <v>480.13390593590157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65.23431876550805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1.1368683772161603E-13</v>
      </c>
      <c r="CU86" s="18">
        <f>CT86*VLOOKUP('Données projet'!$B$13,Paramètres!$A$1:$I$89,3,0)*VLOOKUP('Données projet'!$B$13,Paramètres!$A$1:$I$89,5,0)</f>
        <v>8.8675733422860506E-14</v>
      </c>
      <c r="CV86" s="14">
        <f t="shared" si="95"/>
        <v>1.3509285393066301E-12</v>
      </c>
      <c r="CW86" s="22">
        <f t="shared" si="67"/>
        <v>2.5073107750038623E-12</v>
      </c>
      <c r="CX86" s="62">
        <f t="shared" si="68"/>
        <v>275.85916880686534</v>
      </c>
      <c r="CY86" s="62">
        <f ca="1">AVERAGE(OFFSET($CX$3,0,0,'Données projet'!$E$13+1,1))-AVERAGE(OFFSET($H$3,0,0,'Données projet'!$E$13+1,1))</f>
        <v>308.52515801950324</v>
      </c>
      <c r="CZ86" s="62">
        <f t="shared" si="96"/>
        <v>299.05420638408953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65.23431876550805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4.5474735088646412E-13</v>
      </c>
      <c r="DP86" s="18">
        <f>DO86*VLOOKUP('Données projet'!$B$14,Paramètres!$A$1:$I$89,3,0)*VLOOKUP('Données projet'!$B$14,Paramètres!$A$1:$I$89,5,0)</f>
        <v>3.3342075766995548E-13</v>
      </c>
      <c r="DQ86" s="14">
        <f t="shared" si="97"/>
        <v>4.3537988100583648E-12</v>
      </c>
      <c r="DR86" s="22">
        <f t="shared" si="70"/>
        <v>8.1635740804601579E-12</v>
      </c>
      <c r="DS86" s="62">
        <f t="shared" si="71"/>
        <v>275.85916880687103</v>
      </c>
      <c r="DT86" s="62">
        <f ca="1">AVERAGE(OFFSET($DS$3,0,0,'Données projet'!$E$14+1,1))-AVERAGE(OFFSET($H$3,0,0,'Données projet'!$E$14+1,1))</f>
        <v>416.72317068678774</v>
      </c>
      <c r="DU86" s="62">
        <f t="shared" si="98"/>
        <v>447.32457429495537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65.23431876550805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4.3589743589743533</v>
      </c>
      <c r="EJ86" s="13">
        <f>IF('Données projet'!$A$192&gt;35,EJ85+EI86-ER85,IF(A86&lt;'Données projet'!$A$192,$EG$205^A86,IF(A86='Données projet'!$A$192,'Données projet'!$B$192,EJ85+EI86-ER85)))</f>
        <v>248.33333333333343</v>
      </c>
      <c r="EK86" s="18">
        <f>EJ86*VLOOKUP('Données projet'!$B$15,Paramètres!$A$1:$I$89,3,0)*VLOOKUP('Données projet'!$B$15,Paramètres!$A$1:$I$89,5,0)</f>
        <v>236.31400000000008</v>
      </c>
      <c r="EL86" s="14">
        <f t="shared" si="99"/>
        <v>57.645756660106933</v>
      </c>
      <c r="EM86" s="22">
        <f t="shared" si="73"/>
        <v>511.97990951635302</v>
      </c>
      <c r="EN86" s="62">
        <f t="shared" si="74"/>
        <v>787.83907832321586</v>
      </c>
      <c r="EO86" s="62">
        <f ca="1">AVERAGE(OFFSET($EN$3,0,0,'Données projet'!$E$15+1,1))-AVERAGE(OFFSET($H$3,0,0,'Données projet'!$E$15+1,1))</f>
        <v>454.78867027701426</v>
      </c>
      <c r="EP86" s="62">
        <f t="shared" si="100"/>
        <v>366.45346303927056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0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65.23431876550805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4.4871794871794917</v>
      </c>
      <c r="FE86" s="13">
        <f>IF('Données projet'!$A$218&gt;35,FE85+FD86-FM85,IF(A86&lt;'Données projet'!$A$218,$FB$205^A86,IF(A86='Données projet'!$A$218,'Données projet'!$B$218,FE85+FD86-FM85)))</f>
        <v>311.53846153846155</v>
      </c>
      <c r="FF86" s="18">
        <f>FE86*VLOOKUP('Données projet'!$B$16,Paramètres!$A$1:$I$89,3,0)*VLOOKUP('Données projet'!$B$16,Paramètres!$A$1:$I$89,5,0)</f>
        <v>208.98</v>
      </c>
      <c r="FG86" s="14">
        <f t="shared" si="101"/>
        <v>51.712626911871766</v>
      </c>
      <c r="FH86" s="22">
        <f t="shared" si="76"/>
        <v>454.03965853817658</v>
      </c>
      <c r="FI86" s="62">
        <f t="shared" si="77"/>
        <v>729.89882734503942</v>
      </c>
      <c r="FJ86" s="62">
        <f ca="1">AVERAGE(OFFSET($FI$3,0,0,'Données projet'!$E$16+1,1))-AVERAGE(OFFSET($H$3,0,0,'Données projet'!$E$16+1,1))</f>
        <v>390.05579539539576</v>
      </c>
      <c r="FK86" s="62">
        <f t="shared" si="102"/>
        <v>323.72278615226139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projet'!$B$16,Paramètres!$A$1:$I$89,3,0)*0.475*44/12</f>
        <v>0</v>
      </c>
      <c r="FR86" s="23">
        <f>EXP(-LN(2)/25)*FR85+(1-EXP(-LN(2)/25))/(LN(2)/25)*Calculateur!FM86*Calculateur!FO86*VLOOKUP('Données projet'!$B$16,Paramètres!$A$1:$I$89,3,0)*0.475*44/12</f>
        <v>0</v>
      </c>
      <c r="FS86" s="23">
        <f>EXP(-LN(2)/2)*FS85+(1-EXP(-LN(2)/2))/(LN(2)/2)*FM86*FP86*VLOOKUP('Données projet'!$B$16,Paramètres!$A$1:$I$89,3,0)*0.475*44/12</f>
        <v>0</v>
      </c>
      <c r="FT86" s="24">
        <f t="shared" si="78"/>
        <v>0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65.23431876550805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6.6</v>
      </c>
      <c r="FZ86" s="13">
        <f>IF('Données projet'!$A$244&gt;35,FZ85+FY86-GH85,IF(A86&lt;'Données projet'!$A$244,$FW$205^A86,IF(A86='Données projet'!$A$244,'Données projet'!$B$244,FZ85+FY86-GH85)))</f>
        <v>311.79999999999995</v>
      </c>
      <c r="GA86" s="18">
        <f>FZ86*VLOOKUP('Données projet'!$B$17,Paramètres!$A$1:$I$89,3,0)*VLOOKUP('Données projet'!$B$17,Paramètres!$A$1:$I$89,5,0)</f>
        <v>301.57295999999997</v>
      </c>
      <c r="GB86" s="14">
        <f t="shared" si="103"/>
        <v>71.50611588006737</v>
      </c>
      <c r="GC86" s="22">
        <f t="shared" si="79"/>
        <v>649.77939049111717</v>
      </c>
      <c r="GD86" s="62">
        <f t="shared" si="80"/>
        <v>925.63855929798001</v>
      </c>
      <c r="GE86" s="62">
        <f ca="1">AVERAGE(OFFSET($GD$3,0,0,'Données projet'!$E$17+1,1))-AVERAGE(OFFSET($H$3,0,0,'Données projet'!$E$17+1,1))</f>
        <v>578.44111602076555</v>
      </c>
      <c r="GF86" s="62">
        <f t="shared" si="104"/>
        <v>368.08542661432784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>
        <f>EXP(-LN(2)/35)*GL85+(1-EXP(-LN(2)/35))/(LN(2)/35)*GH86*GI86*VLOOKUP('Données projet'!$B$17,Paramètres!$A$1:$I$89,3,0)*0.475*44/12</f>
        <v>0</v>
      </c>
      <c r="GM86" s="23">
        <f>EXP(-LN(2)/25)*GM85+(1-EXP(-LN(2)/25))/(LN(2)/25)*Calculateur!GH86*Calculateur!GJ86*VLOOKUP('Données projet'!$B$17,Paramètres!$A$1:$I$89,3,0)*0.475*44/12</f>
        <v>0</v>
      </c>
      <c r="GN86" s="23">
        <f>EXP(-LN(2)/2)*GN85+(1-EXP(-LN(2)/2))/(LN(2)/2)*GH86*GK86*VLOOKUP('Données projet'!$B$17,Paramètres!$A$1:$I$89,3,0)*0.475*44/12</f>
        <v>0</v>
      </c>
      <c r="GO86" s="23">
        <f t="shared" si="81"/>
        <v>0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65.23431876550805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4.0735000000000001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14.936166666666667</v>
      </c>
      <c r="H87" s="70">
        <f t="shared" si="56"/>
        <v>196.922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65.316992680459407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6.6</v>
      </c>
      <c r="N87" s="14">
        <f>IF('Données projet'!$A$36&gt;35,N86+M87-V86,IF(A87&lt;'Données projet'!$A$36,$K$205^A87,IF(A87='Données projet'!$A$36,'Données projet'!$B$36,N86+M87-V86)))</f>
        <v>318.39999999999998</v>
      </c>
      <c r="O87" s="14">
        <f>N87*VLOOKUP('Données projet'!$B$9,Paramètres!$A$1:$I$89,3,0)*VLOOKUP('Données projet'!$B$9,Paramètres!$A$1:$I$89,5,0)</f>
        <v>288.08831999999995</v>
      </c>
      <c r="P87" s="14">
        <f t="shared" si="87"/>
        <v>68.673460144735557</v>
      </c>
      <c r="Q87" s="22">
        <f t="shared" si="54"/>
        <v>621.36010041874761</v>
      </c>
      <c r="R87" s="62">
        <f t="shared" si="55"/>
        <v>897.52240691376551</v>
      </c>
      <c r="S87" s="62">
        <f ca="1">AVERAGE(OFFSET($R$3,0,0,'Données projet'!$E$9+1,1))-AVERAGE(OFFSET($H$3,0,0,'Données projet'!$E$9+1,1))</f>
        <v>546.11281471711925</v>
      </c>
      <c r="T87" s="62">
        <f t="shared" si="88"/>
        <v>348.18069831447099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65.316992680459407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9.6</v>
      </c>
      <c r="AI87" s="14">
        <f>IF('Données projet'!$A$62&gt;35,AI86+AH87-AQ86,IF(A87&lt;'Données projet'!$A$62,$AF$205^A87,IF(A87='Données projet'!$A$62,'Données projet'!$B$62,AI86+AH87-AQ86)))</f>
        <v>462.4</v>
      </c>
      <c r="AJ87" s="14">
        <f>AI87*VLOOKUP('Données projet'!$B$10,Paramètres!$A$1:$I$89,3,0)*VLOOKUP('Données projet'!$B$10,Paramètres!$A$1:$I$89,5,0)</f>
        <v>396.73920000000004</v>
      </c>
      <c r="AK87" s="14">
        <f t="shared" si="89"/>
        <v>91.11527346191049</v>
      </c>
      <c r="AL87" s="22">
        <f t="shared" si="58"/>
        <v>849.67987461282746</v>
      </c>
      <c r="AM87" s="62">
        <f t="shared" si="59"/>
        <v>1125.8421811078454</v>
      </c>
      <c r="AN87" s="62">
        <f ca="1">AVERAGE(OFFSET($AM$3,0,0,'Données projet'!$E$10+1,1))-AVERAGE(OFFSET($H$3,0,0,'Données projet'!$E$10+1,1))</f>
        <v>693.87994318348024</v>
      </c>
      <c r="AO87" s="62">
        <f t="shared" si="90"/>
        <v>327.71043739333641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65.316992680459407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6.6</v>
      </c>
      <c r="BD87" s="13">
        <f>IF('Données projet'!$A$88&gt;35,BD86+BC87-BL86,IF(A87&lt;'Données projet'!$A$88,$BA$205^A87,IF(A87='Données projet'!$A$88,'Données projet'!$B$88,BD86+BC87-BL86)))</f>
        <v>318.39999999999998</v>
      </c>
      <c r="BE87" s="14">
        <f>BD87*VLOOKUP('Données projet'!$B$11,Paramètres!$A$1:$I$89,3,0)*VLOOKUP('Données projet'!$B$11,Paramètres!$A$1:$I$89,5,0)</f>
        <v>268.22016000000002</v>
      </c>
      <c r="BF87" s="14">
        <f t="shared" si="91"/>
        <v>64.471397046337728</v>
      </c>
      <c r="BG87" s="22">
        <f t="shared" si="61"/>
        <v>579.43779518903818</v>
      </c>
      <c r="BH87" s="62">
        <f t="shared" si="62"/>
        <v>855.60010168405597</v>
      </c>
      <c r="BI87" s="62">
        <f ca="1">AVERAGE(OFFSET($BH$3,0,0,'Données projet'!$E$11+1,1))-AVERAGE(OFFSET($H$3,0,0,'Données projet'!$E$11+1,1))</f>
        <v>513.7388209355762</v>
      </c>
      <c r="BJ87" s="62">
        <f t="shared" si="92"/>
        <v>328.24603121433927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65.316992680459407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4.5474735088646412E-13</v>
      </c>
      <c r="BZ87" s="14">
        <f>BY87*VLOOKUP('Données projet'!$B$12,Paramètres!$A$1:$I$89,3,0)*VLOOKUP('Données projet'!$B$12,Paramètres!$A$1:$I$89,5,0)</f>
        <v>3.6179699236527089E-13</v>
      </c>
      <c r="CA87" s="14">
        <f t="shared" si="93"/>
        <v>4.6796319415916035E-12</v>
      </c>
      <c r="CB87" s="22">
        <f t="shared" si="64"/>
        <v>8.7804887266415556E-12</v>
      </c>
      <c r="CC87" s="62">
        <f t="shared" si="65"/>
        <v>276.1623064950266</v>
      </c>
      <c r="CD87" s="62">
        <f ca="1">AVERAGE(OFFSET($CC$3,0,0,'Données projet'!$E$12+1,1))-AVERAGE(OFFSET($H$3,0,0,'Données projet'!$E$12+1,1))</f>
        <v>447.25854887589878</v>
      </c>
      <c r="CE87" s="62">
        <f t="shared" si="94"/>
        <v>480.13390593590157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65.316992680459407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1.1368683772161603E-13</v>
      </c>
      <c r="CU87" s="18">
        <f>CT87*VLOOKUP('Données projet'!$B$13,Paramètres!$A$1:$I$89,3,0)*VLOOKUP('Données projet'!$B$13,Paramètres!$A$1:$I$89,5,0)</f>
        <v>8.8675733422860506E-14</v>
      </c>
      <c r="CV87" s="14">
        <f t="shared" si="95"/>
        <v>1.3509285393066301E-12</v>
      </c>
      <c r="CW87" s="22">
        <f t="shared" si="67"/>
        <v>2.5073107750038623E-12</v>
      </c>
      <c r="CX87" s="62">
        <f t="shared" si="68"/>
        <v>276.16230649502035</v>
      </c>
      <c r="CY87" s="62">
        <f ca="1">AVERAGE(OFFSET($CX$3,0,0,'Données projet'!$E$13+1,1))-AVERAGE(OFFSET($H$3,0,0,'Données projet'!$E$13+1,1))</f>
        <v>308.52515801950324</v>
      </c>
      <c r="CZ87" s="62">
        <f t="shared" si="96"/>
        <v>299.05420638408953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65.316992680459407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4.5474735088646412E-13</v>
      </c>
      <c r="DP87" s="18">
        <f>DO87*VLOOKUP('Données projet'!$B$14,Paramètres!$A$1:$I$89,3,0)*VLOOKUP('Données projet'!$B$14,Paramètres!$A$1:$I$89,5,0)</f>
        <v>3.3342075766995548E-13</v>
      </c>
      <c r="DQ87" s="14">
        <f t="shared" si="97"/>
        <v>4.3537988100583648E-12</v>
      </c>
      <c r="DR87" s="22">
        <f t="shared" si="70"/>
        <v>8.1635740804601579E-12</v>
      </c>
      <c r="DS87" s="62">
        <f t="shared" si="71"/>
        <v>276.16230649502603</v>
      </c>
      <c r="DT87" s="62">
        <f ca="1">AVERAGE(OFFSET($DS$3,0,0,'Données projet'!$E$14+1,1))-AVERAGE(OFFSET($H$3,0,0,'Données projet'!$E$14+1,1))</f>
        <v>416.72317068678774</v>
      </c>
      <c r="DU87" s="62">
        <f t="shared" si="98"/>
        <v>447.32457429495537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65.316992680459407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4.3589743589743533</v>
      </c>
      <c r="EJ87" s="13">
        <f>IF('Données projet'!$A$192&gt;35,EJ86+EI87-ER86,IF(A87&lt;'Données projet'!$A$192,$EG$205^A87,IF(A87='Données projet'!$A$192,'Données projet'!$B$192,EJ86+EI87-ER86)))</f>
        <v>252.69230769230779</v>
      </c>
      <c r="EK87" s="18">
        <f>EJ87*VLOOKUP('Données projet'!$B$15,Paramètres!$A$1:$I$89,3,0)*VLOOKUP('Données projet'!$B$15,Paramètres!$A$1:$I$89,5,0)</f>
        <v>240.4620000000001</v>
      </c>
      <c r="EL87" s="14">
        <f t="shared" si="99"/>
        <v>58.538920904314509</v>
      </c>
      <c r="EM87" s="22">
        <f t="shared" si="73"/>
        <v>520.75993724168131</v>
      </c>
      <c r="EN87" s="62">
        <f t="shared" si="74"/>
        <v>796.9222437366991</v>
      </c>
      <c r="EO87" s="62">
        <f ca="1">AVERAGE(OFFSET($EN$3,0,0,'Données projet'!$E$15+1,1))-AVERAGE(OFFSET($H$3,0,0,'Données projet'!$E$15+1,1))</f>
        <v>454.78867027701426</v>
      </c>
      <c r="EP87" s="62">
        <f t="shared" si="100"/>
        <v>366.45346303927056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0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65.316992680459407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4.4871794871794917</v>
      </c>
      <c r="FE87" s="13">
        <f>IF('Données projet'!$A$218&gt;35,FE86+FD87-FM86,IF(A87&lt;'Données projet'!$A$218,$FB$205^A87,IF(A87='Données projet'!$A$218,'Données projet'!$B$218,FE86+FD87-FM86)))</f>
        <v>316.02564102564105</v>
      </c>
      <c r="FF87" s="18">
        <f>FE87*VLOOKUP('Données projet'!$B$16,Paramètres!$A$1:$I$89,3,0)*VLOOKUP('Données projet'!$B$16,Paramètres!$A$1:$I$89,5,0)</f>
        <v>211.99000000000004</v>
      </c>
      <c r="FG87" s="14">
        <f t="shared" si="101"/>
        <v>52.370211773211892</v>
      </c>
      <c r="FH87" s="22">
        <f t="shared" si="76"/>
        <v>460.42736883834408</v>
      </c>
      <c r="FI87" s="62">
        <f t="shared" si="77"/>
        <v>736.58967533336192</v>
      </c>
      <c r="FJ87" s="62">
        <f ca="1">AVERAGE(OFFSET($FI$3,0,0,'Données projet'!$E$16+1,1))-AVERAGE(OFFSET($H$3,0,0,'Données projet'!$E$16+1,1))</f>
        <v>390.05579539539576</v>
      </c>
      <c r="FK87" s="62">
        <f t="shared" si="102"/>
        <v>323.72278615226139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projet'!$B$16,Paramètres!$A$1:$I$89,3,0)*0.475*44/12</f>
        <v>0</v>
      </c>
      <c r="FR87" s="23">
        <f>EXP(-LN(2)/25)*FR86+(1-EXP(-LN(2)/25))/(LN(2)/25)*Calculateur!FM87*Calculateur!FO87*VLOOKUP('Données projet'!$B$16,Paramètres!$A$1:$I$89,3,0)*0.475*44/12</f>
        <v>0</v>
      </c>
      <c r="FS87" s="23">
        <f>EXP(-LN(2)/2)*FS86+(1-EXP(-LN(2)/2))/(LN(2)/2)*FM87*FP87*VLOOKUP('Données projet'!$B$16,Paramètres!$A$1:$I$89,3,0)*0.475*44/12</f>
        <v>0</v>
      </c>
      <c r="FT87" s="24">
        <f t="shared" si="78"/>
        <v>0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65.316992680459407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6.6</v>
      </c>
      <c r="FZ87" s="13">
        <f>IF('Données projet'!$A$244&gt;35,FZ86+FY87-GH86,IF(A87&lt;'Données projet'!$A$244,$FW$205^A87,IF(A87='Données projet'!$A$244,'Données projet'!$B$244,FZ86+FY87-GH86)))</f>
        <v>318.39999999999998</v>
      </c>
      <c r="GA87" s="18">
        <f>FZ87*VLOOKUP('Données projet'!$B$17,Paramètres!$A$1:$I$89,3,0)*VLOOKUP('Données projet'!$B$17,Paramètres!$A$1:$I$89,5,0)</f>
        <v>307.95648</v>
      </c>
      <c r="GB87" s="14">
        <f t="shared" si="103"/>
        <v>72.841897726847876</v>
      </c>
      <c r="GC87" s="22">
        <f t="shared" si="79"/>
        <v>663.22384120759341</v>
      </c>
      <c r="GD87" s="62">
        <f t="shared" si="80"/>
        <v>939.3861477026112</v>
      </c>
      <c r="GE87" s="62">
        <f ca="1">AVERAGE(OFFSET($GD$3,0,0,'Données projet'!$E$17+1,1))-AVERAGE(OFFSET($H$3,0,0,'Données projet'!$E$17+1,1))</f>
        <v>578.44111602076555</v>
      </c>
      <c r="GF87" s="62">
        <f t="shared" si="104"/>
        <v>368.08542661432784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>
        <f>EXP(-LN(2)/35)*GL86+(1-EXP(-LN(2)/35))/(LN(2)/35)*GH87*GI87*VLOOKUP('Données projet'!$B$17,Paramètres!$A$1:$I$89,3,0)*0.475*44/12</f>
        <v>0</v>
      </c>
      <c r="GM87" s="23">
        <f>EXP(-LN(2)/25)*GM86+(1-EXP(-LN(2)/25))/(LN(2)/25)*Calculateur!GH87*Calculateur!GJ87*VLOOKUP('Données projet'!$B$17,Paramètres!$A$1:$I$89,3,0)*0.475*44/12</f>
        <v>0</v>
      </c>
      <c r="GN87" s="23">
        <f>EXP(-LN(2)/2)*GN86+(1-EXP(-LN(2)/2))/(LN(2)/2)*GH87*GK87*VLOOKUP('Données projet'!$B$17,Paramètres!$A$1:$I$89,3,0)*0.475*44/12</f>
        <v>0</v>
      </c>
      <c r="GO87" s="23">
        <f t="shared" si="81"/>
        <v>0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65.316992680459407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4.0735000000000001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14.936166666666667</v>
      </c>
      <c r="H88" s="70">
        <f t="shared" si="56"/>
        <v>196.922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65.398232387817529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6.6</v>
      </c>
      <c r="N88" s="14">
        <f>IF('Données projet'!$A$36&gt;35,N87+M88-V87,IF(A88&lt;'Données projet'!$A$36,$K$205^A88,IF(A88='Données projet'!$A$36,'Données projet'!$B$36,N87+M88-V87)))</f>
        <v>325</v>
      </c>
      <c r="O88" s="14">
        <f>N88*VLOOKUP('Données projet'!$B$9,Paramètres!$A$1:$I$89,3,0)*VLOOKUP('Données projet'!$B$9,Paramètres!$A$1:$I$89,5,0)</f>
        <v>294.06</v>
      </c>
      <c r="P88" s="14">
        <f t="shared" si="87"/>
        <v>69.929765653573313</v>
      </c>
      <c r="Q88" s="22">
        <f t="shared" si="54"/>
        <v>633.94884184664022</v>
      </c>
      <c r="R88" s="62">
        <f t="shared" si="55"/>
        <v>910.40902726863783</v>
      </c>
      <c r="S88" s="62">
        <f ca="1">AVERAGE(OFFSET($R$3,0,0,'Données projet'!$E$9+1,1))-AVERAGE(OFFSET($H$3,0,0,'Données projet'!$E$9+1,1))</f>
        <v>546.11281471711925</v>
      </c>
      <c r="T88" s="62">
        <f t="shared" si="88"/>
        <v>348.18069831447099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65.398232387817529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472</v>
      </c>
      <c r="AG88" s="13">
        <f>VLOOKUP(A88,'Données projet'!$A$61:$I$81,9,0)</f>
        <v>9.6</v>
      </c>
      <c r="AH88" s="13">
        <f t="array" ref="AH88">INDEX(AG:AG,MIN(IF(ISNUMBER(AG88:AG284),ROW(AG88:AG284),"")))</f>
        <v>9.6</v>
      </c>
      <c r="AI88" s="14">
        <f>IF('Données projet'!$A$62&gt;35,AI87+AH88-AQ87,IF(A88&lt;'Données projet'!$A$62,$AF$205^A88,IF(A88='Données projet'!$A$62,'Données projet'!$B$62,AI87+AH88-AQ87)))</f>
        <v>472</v>
      </c>
      <c r="AJ88" s="14">
        <f>AI88*VLOOKUP('Données projet'!$B$10,Paramètres!$A$1:$I$89,3,0)*VLOOKUP('Données projet'!$B$10,Paramètres!$A$1:$I$89,5,0)</f>
        <v>404.97600000000006</v>
      </c>
      <c r="AK88" s="14">
        <f t="shared" si="89"/>
        <v>92.784745831246795</v>
      </c>
      <c r="AL88" s="22">
        <f t="shared" si="58"/>
        <v>866.93329898942159</v>
      </c>
      <c r="AM88" s="62">
        <f t="shared" si="59"/>
        <v>1143.3934844114192</v>
      </c>
      <c r="AN88" s="62">
        <f ca="1">AVERAGE(OFFSET($AM$3,0,0,'Données projet'!$E$10+1,1))-AVERAGE(OFFSET($H$3,0,0,'Données projet'!$E$10+1,1))</f>
        <v>693.87994318348024</v>
      </c>
      <c r="AO88" s="62">
        <f t="shared" si="90"/>
        <v>327.71043739333641</v>
      </c>
      <c r="AP88" s="16">
        <f>IF(ISNA(VLOOKUP(A88,'Données projet'!$A$61:$I$81,3,0)),0,VLOOKUP(A88,'Données projet'!$A$61:$I$81,3,0))</f>
        <v>7</v>
      </c>
      <c r="AQ88" s="16">
        <f>IF(ISNA(VLOOKUP(A88,'Données projet'!$A$61:$I$81,4,0)),0,VLOOKUP(A88,'Données projet'!$A$61:$I$81,4,0))</f>
        <v>67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65.398232387817529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6.6</v>
      </c>
      <c r="BD88" s="13">
        <f>IF('Données projet'!$A$88&gt;35,BD87+BC88-BL87,IF(A88&lt;'Données projet'!$A$88,$BA$205^A88,IF(A88='Données projet'!$A$88,'Données projet'!$B$88,BD87+BC88-BL87)))</f>
        <v>325</v>
      </c>
      <c r="BE88" s="14">
        <f>BD88*VLOOKUP('Données projet'!$B$11,Paramètres!$A$1:$I$89,3,0)*VLOOKUP('Données projet'!$B$11,Paramètres!$A$1:$I$89,5,0)</f>
        <v>273.78000000000003</v>
      </c>
      <c r="BF88" s="14">
        <f t="shared" si="91"/>
        <v>65.650830427167435</v>
      </c>
      <c r="BG88" s="22">
        <f t="shared" si="61"/>
        <v>591.17536299398319</v>
      </c>
      <c r="BH88" s="62">
        <f t="shared" si="62"/>
        <v>867.63554841598079</v>
      </c>
      <c r="BI88" s="62">
        <f ca="1">AVERAGE(OFFSET($BH$3,0,0,'Données projet'!$E$11+1,1))-AVERAGE(OFFSET($H$3,0,0,'Données projet'!$E$11+1,1))</f>
        <v>513.7388209355762</v>
      </c>
      <c r="BJ88" s="62">
        <f t="shared" si="92"/>
        <v>328.24603121433927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65.398232387817529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4.5474735088646412E-13</v>
      </c>
      <c r="BZ88" s="14">
        <f>BY88*VLOOKUP('Données projet'!$B$12,Paramètres!$A$1:$I$89,3,0)*VLOOKUP('Données projet'!$B$12,Paramètres!$A$1:$I$89,5,0)</f>
        <v>3.6179699236527089E-13</v>
      </c>
      <c r="CA88" s="14">
        <f t="shared" si="93"/>
        <v>4.6796319415916035E-12</v>
      </c>
      <c r="CB88" s="22">
        <f t="shared" si="64"/>
        <v>8.7804887266415556E-12</v>
      </c>
      <c r="CC88" s="62">
        <f t="shared" si="65"/>
        <v>276.46018542200636</v>
      </c>
      <c r="CD88" s="62">
        <f ca="1">AVERAGE(OFFSET($CC$3,0,0,'Données projet'!$E$12+1,1))-AVERAGE(OFFSET($H$3,0,0,'Données projet'!$E$12+1,1))</f>
        <v>447.25854887589878</v>
      </c>
      <c r="CE88" s="62">
        <f t="shared" si="94"/>
        <v>480.13390593590157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65.398232387817529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1.1368683772161603E-13</v>
      </c>
      <c r="CU88" s="18">
        <f>CT88*VLOOKUP('Données projet'!$B$13,Paramètres!$A$1:$I$89,3,0)*VLOOKUP('Données projet'!$B$13,Paramètres!$A$1:$I$89,5,0)</f>
        <v>8.8675733422860506E-14</v>
      </c>
      <c r="CV88" s="14">
        <f t="shared" si="95"/>
        <v>1.3509285393066301E-12</v>
      </c>
      <c r="CW88" s="22">
        <f t="shared" si="67"/>
        <v>2.5073107750038623E-12</v>
      </c>
      <c r="CX88" s="62">
        <f t="shared" si="68"/>
        <v>276.46018542200011</v>
      </c>
      <c r="CY88" s="62">
        <f ca="1">AVERAGE(OFFSET($CX$3,0,0,'Données projet'!$E$13+1,1))-AVERAGE(OFFSET($H$3,0,0,'Données projet'!$E$13+1,1))</f>
        <v>308.52515801950324</v>
      </c>
      <c r="CZ88" s="62">
        <f t="shared" si="96"/>
        <v>299.05420638408953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65.398232387817529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4.5474735088646412E-13</v>
      </c>
      <c r="DP88" s="18">
        <f>DO88*VLOOKUP('Données projet'!$B$14,Paramètres!$A$1:$I$89,3,0)*VLOOKUP('Données projet'!$B$14,Paramètres!$A$1:$I$89,5,0)</f>
        <v>3.3342075766995548E-13</v>
      </c>
      <c r="DQ88" s="14">
        <f t="shared" si="97"/>
        <v>4.3537988100583648E-12</v>
      </c>
      <c r="DR88" s="22">
        <f t="shared" si="70"/>
        <v>8.1635740804601579E-12</v>
      </c>
      <c r="DS88" s="62">
        <f t="shared" si="71"/>
        <v>276.46018542200579</v>
      </c>
      <c r="DT88" s="62">
        <f ca="1">AVERAGE(OFFSET($DS$3,0,0,'Données projet'!$E$14+1,1))-AVERAGE(OFFSET($H$3,0,0,'Données projet'!$E$14+1,1))</f>
        <v>416.72317068678774</v>
      </c>
      <c r="DU88" s="62">
        <f t="shared" si="98"/>
        <v>447.32457429495537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65.398232387817529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>
        <f>VLOOKUP(A88,'Données projet'!$A$191:$I$211,2,0)</f>
        <v>257.05128205128204</v>
      </c>
      <c r="EH88" s="13">
        <f>VLOOKUP(A88,'Données projet'!$A$191:$I$211,9,0)</f>
        <v>4.3589743589743533</v>
      </c>
      <c r="EI88" s="13">
        <f t="array" ref="EI88">INDEX(EH:EH,MIN(IF(ISNUMBER(EH88:EH284),ROW(EH88:EH284),"")))</f>
        <v>4.3589743589743533</v>
      </c>
      <c r="EJ88" s="13">
        <f>IF('Données projet'!$A$192&gt;35,EJ87+EI88-ER87,IF(A88&lt;'Données projet'!$A$192,$EG$205^A88,IF(A88='Données projet'!$A$192,'Données projet'!$B$192,EJ87+EI88-ER87)))</f>
        <v>257.05128205128216</v>
      </c>
      <c r="EK88" s="18">
        <f>EJ88*VLOOKUP('Données projet'!$B$15,Paramètres!$A$1:$I$89,3,0)*VLOOKUP('Données projet'!$B$15,Paramètres!$A$1:$I$89,5,0)</f>
        <v>244.6100000000001</v>
      </c>
      <c r="EL88" s="14">
        <f t="shared" si="99"/>
        <v>59.430293456197738</v>
      </c>
      <c r="EM88" s="22">
        <f t="shared" si="73"/>
        <v>529.53684443621125</v>
      </c>
      <c r="EN88" s="62">
        <f t="shared" si="74"/>
        <v>805.99702985820886</v>
      </c>
      <c r="EO88" s="62">
        <f ca="1">AVERAGE(OFFSET($EN$3,0,0,'Données projet'!$E$15+1,1))-AVERAGE(OFFSET($H$3,0,0,'Données projet'!$E$15+1,1))</f>
        <v>454.78867027701426</v>
      </c>
      <c r="EP88" s="62">
        <f t="shared" si="100"/>
        <v>366.45346303927056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0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65.398232387817529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>
        <f>VLOOKUP(A88,'Données projet'!$A$217:$I$237,2,0)</f>
        <v>320.5128205128205</v>
      </c>
      <c r="FC88" s="13">
        <f>VLOOKUP(A88,'Données projet'!$A$217:$I$237,9,0)</f>
        <v>4.4871794871794917</v>
      </c>
      <c r="FD88" s="13">
        <f t="array" ref="FD88">INDEX(FC:FC,MIN(IF(ISNUMBER(FC88:FC284),ROW(FC88:FC284),"")))</f>
        <v>4.4871794871794917</v>
      </c>
      <c r="FE88" s="13">
        <f>IF('Données projet'!$A$218&gt;35,FE87+FD88-FM87,IF(A88&lt;'Données projet'!$A$218,$FB$205^A88,IF(A88='Données projet'!$A$218,'Données projet'!$B$218,FE87+FD88-FM87)))</f>
        <v>320.51282051282055</v>
      </c>
      <c r="FF88" s="18">
        <f>FE88*VLOOKUP('Données projet'!$B$16,Paramètres!$A$1:$I$89,3,0)*VLOOKUP('Données projet'!$B$16,Paramètres!$A$1:$I$89,5,0)</f>
        <v>215.00000000000006</v>
      </c>
      <c r="FG88" s="14">
        <f t="shared" si="101"/>
        <v>53.026710677875606</v>
      </c>
      <c r="FH88" s="22">
        <f t="shared" si="76"/>
        <v>466.81318776396671</v>
      </c>
      <c r="FI88" s="62">
        <f t="shared" si="77"/>
        <v>743.27337318596437</v>
      </c>
      <c r="FJ88" s="62">
        <f ca="1">AVERAGE(OFFSET($FI$3,0,0,'Données projet'!$E$16+1,1))-AVERAGE(OFFSET($H$3,0,0,'Données projet'!$E$16+1,1))</f>
        <v>390.05579539539576</v>
      </c>
      <c r="FK88" s="62">
        <f t="shared" si="102"/>
        <v>323.72278615226139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projet'!$B$16,Paramètres!$A$1:$I$89,3,0)*0.475*44/12</f>
        <v>0</v>
      </c>
      <c r="FR88" s="23">
        <f>EXP(-LN(2)/25)*FR87+(1-EXP(-LN(2)/25))/(LN(2)/25)*Calculateur!FM88*Calculateur!FO88*VLOOKUP('Données projet'!$B$16,Paramètres!$A$1:$I$89,3,0)*0.475*44/12</f>
        <v>0</v>
      </c>
      <c r="FS88" s="23">
        <f>EXP(-LN(2)/2)*FS87+(1-EXP(-LN(2)/2))/(LN(2)/2)*FM88*FP88*VLOOKUP('Données projet'!$B$16,Paramètres!$A$1:$I$89,3,0)*0.475*44/12</f>
        <v>0</v>
      </c>
      <c r="FT88" s="24">
        <f t="shared" si="78"/>
        <v>0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65.398232387817529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6.6</v>
      </c>
      <c r="FZ88" s="13">
        <f>IF('Données projet'!$A$244&gt;35,FZ87+FY88-GH87,IF(A88&lt;'Données projet'!$A$244,$FW$205^A88,IF(A88='Données projet'!$A$244,'Données projet'!$B$244,FZ87+FY88-GH87)))</f>
        <v>325</v>
      </c>
      <c r="GA88" s="18">
        <f>FZ88*VLOOKUP('Données projet'!$B$17,Paramètres!$A$1:$I$89,3,0)*VLOOKUP('Données projet'!$B$17,Paramètres!$A$1:$I$89,5,0)</f>
        <v>314.34000000000003</v>
      </c>
      <c r="GB88" s="14">
        <f t="shared" si="103"/>
        <v>74.174460221814215</v>
      </c>
      <c r="GC88" s="22">
        <f t="shared" si="79"/>
        <v>676.66268488632647</v>
      </c>
      <c r="GD88" s="62">
        <f t="shared" si="80"/>
        <v>953.12287030832408</v>
      </c>
      <c r="GE88" s="62">
        <f ca="1">AVERAGE(OFFSET($GD$3,0,0,'Données projet'!$E$17+1,1))-AVERAGE(OFFSET($H$3,0,0,'Données projet'!$E$17+1,1))</f>
        <v>578.44111602076555</v>
      </c>
      <c r="GF88" s="62">
        <f t="shared" si="104"/>
        <v>368.08542661432784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>
        <f>EXP(-LN(2)/35)*GL87+(1-EXP(-LN(2)/35))/(LN(2)/35)*GH88*GI88*VLOOKUP('Données projet'!$B$17,Paramètres!$A$1:$I$89,3,0)*0.475*44/12</f>
        <v>0</v>
      </c>
      <c r="GM88" s="23">
        <f>EXP(-LN(2)/25)*GM87+(1-EXP(-LN(2)/25))/(LN(2)/25)*Calculateur!GH88*Calculateur!GJ88*VLOOKUP('Données projet'!$B$17,Paramètres!$A$1:$I$89,3,0)*0.475*44/12</f>
        <v>0</v>
      </c>
      <c r="GN88" s="23">
        <f>EXP(-LN(2)/2)*GN87+(1-EXP(-LN(2)/2))/(LN(2)/2)*GH88*GK88*VLOOKUP('Données projet'!$B$17,Paramètres!$A$1:$I$89,3,0)*0.475*44/12</f>
        <v>0</v>
      </c>
      <c r="GO88" s="23">
        <f t="shared" si="81"/>
        <v>0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65.398232387817529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4.0735000000000001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14.936166666666667</v>
      </c>
      <c r="H89" s="70">
        <f t="shared" si="56"/>
        <v>196.922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65.478062767877773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6.6</v>
      </c>
      <c r="N89" s="14">
        <f>IF('Données projet'!$A$36&gt;35,N88+M89-V88,IF(A89&lt;'Données projet'!$A$36,$K$205^A89,IF(A89='Données projet'!$A$36,'Données projet'!$B$36,N88+M89-V88)))</f>
        <v>331.6</v>
      </c>
      <c r="O89" s="14">
        <f>N89*VLOOKUP('Données projet'!$B$9,Paramètres!$A$1:$I$89,3,0)*VLOOKUP('Données projet'!$B$9,Paramètres!$A$1:$I$89,5,0)</f>
        <v>300.03167999999999</v>
      </c>
      <c r="P89" s="14">
        <f t="shared" si="87"/>
        <v>71.183104779714938</v>
      </c>
      <c r="Q89" s="22">
        <f t="shared" si="54"/>
        <v>646.53241682467012</v>
      </c>
      <c r="R89" s="62">
        <f t="shared" si="55"/>
        <v>923.28531364022194</v>
      </c>
      <c r="S89" s="62">
        <f ca="1">AVERAGE(OFFSET($R$3,0,0,'Données projet'!$E$9+1,1))-AVERAGE(OFFSET($H$3,0,0,'Données projet'!$E$9+1,1))</f>
        <v>546.11281471711925</v>
      </c>
      <c r="T89" s="62">
        <f t="shared" si="88"/>
        <v>348.18069831447099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65.478062767877773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8.9</v>
      </c>
      <c r="AI89" s="14">
        <f>IF('Données projet'!$A$62&gt;35,AI88+AH89-AQ88,IF(A89&lt;'Données projet'!$A$62,$AF$205^A89,IF(A89='Données projet'!$A$62,'Données projet'!$B$62,AI88+AH89-AQ88)))</f>
        <v>413.9</v>
      </c>
      <c r="AJ89" s="14">
        <f>AI89*VLOOKUP('Données projet'!$B$10,Paramètres!$A$1:$I$89,3,0)*VLOOKUP('Données projet'!$B$10,Paramètres!$A$1:$I$89,5,0)</f>
        <v>355.12620000000004</v>
      </c>
      <c r="AK89" s="14">
        <f t="shared" si="89"/>
        <v>82.617154167584189</v>
      </c>
      <c r="AL89" s="22">
        <f t="shared" si="58"/>
        <v>762.40300850854248</v>
      </c>
      <c r="AM89" s="62">
        <f t="shared" si="59"/>
        <v>1039.1559053240944</v>
      </c>
      <c r="AN89" s="62">
        <f ca="1">AVERAGE(OFFSET($AM$3,0,0,'Données projet'!$E$10+1,1))-AVERAGE(OFFSET($H$3,0,0,'Données projet'!$E$10+1,1))</f>
        <v>693.87994318348024</v>
      </c>
      <c r="AO89" s="62">
        <f t="shared" si="90"/>
        <v>327.71043739333641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65.478062767877773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6.6</v>
      </c>
      <c r="BD89" s="13">
        <f>IF('Données projet'!$A$88&gt;35,BD88+BC89-BL88,IF(A89&lt;'Données projet'!$A$88,$BA$205^A89,IF(A89='Données projet'!$A$88,'Données projet'!$B$88,BD88+BC89-BL88)))</f>
        <v>331.6</v>
      </c>
      <c r="BE89" s="14">
        <f>BD89*VLOOKUP('Données projet'!$B$11,Paramètres!$A$1:$I$89,3,0)*VLOOKUP('Données projet'!$B$11,Paramètres!$A$1:$I$89,5,0)</f>
        <v>279.33984000000004</v>
      </c>
      <c r="BF89" s="14">
        <f t="shared" si="91"/>
        <v>66.827478935410426</v>
      </c>
      <c r="BG89" s="22">
        <f t="shared" si="61"/>
        <v>602.90808047917312</v>
      </c>
      <c r="BH89" s="62">
        <f t="shared" si="62"/>
        <v>879.66097729472494</v>
      </c>
      <c r="BI89" s="62">
        <f ca="1">AVERAGE(OFFSET($BH$3,0,0,'Données projet'!$E$11+1,1))-AVERAGE(OFFSET($H$3,0,0,'Données projet'!$E$11+1,1))</f>
        <v>513.7388209355762</v>
      </c>
      <c r="BJ89" s="62">
        <f t="shared" si="92"/>
        <v>328.24603121433927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65.478062767877773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4.5474735088646412E-13</v>
      </c>
      <c r="BZ89" s="14">
        <f>BY89*VLOOKUP('Données projet'!$B$12,Paramètres!$A$1:$I$89,3,0)*VLOOKUP('Données projet'!$B$12,Paramètres!$A$1:$I$89,5,0)</f>
        <v>3.6179699236527089E-13</v>
      </c>
      <c r="CA89" s="14">
        <f t="shared" si="93"/>
        <v>4.6796319415916035E-12</v>
      </c>
      <c r="CB89" s="22">
        <f t="shared" si="64"/>
        <v>8.7804887266415556E-12</v>
      </c>
      <c r="CC89" s="62">
        <f t="shared" si="65"/>
        <v>276.75289681556058</v>
      </c>
      <c r="CD89" s="62">
        <f ca="1">AVERAGE(OFFSET($CC$3,0,0,'Données projet'!$E$12+1,1))-AVERAGE(OFFSET($H$3,0,0,'Données projet'!$E$12+1,1))</f>
        <v>447.25854887589878</v>
      </c>
      <c r="CE89" s="62">
        <f t="shared" si="94"/>
        <v>480.13390593590157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65.478062767877773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1.1368683772161603E-13</v>
      </c>
      <c r="CU89" s="18">
        <f>CT89*VLOOKUP('Données projet'!$B$13,Paramètres!$A$1:$I$89,3,0)*VLOOKUP('Données projet'!$B$13,Paramètres!$A$1:$I$89,5,0)</f>
        <v>8.8675733422860506E-14</v>
      </c>
      <c r="CV89" s="14">
        <f t="shared" si="95"/>
        <v>1.3509285393066301E-12</v>
      </c>
      <c r="CW89" s="22">
        <f t="shared" si="67"/>
        <v>2.5073107750038623E-12</v>
      </c>
      <c r="CX89" s="62">
        <f t="shared" si="68"/>
        <v>276.75289681555432</v>
      </c>
      <c r="CY89" s="62">
        <f ca="1">AVERAGE(OFFSET($CX$3,0,0,'Données projet'!$E$13+1,1))-AVERAGE(OFFSET($H$3,0,0,'Données projet'!$E$13+1,1))</f>
        <v>308.52515801950324</v>
      </c>
      <c r="CZ89" s="62">
        <f t="shared" si="96"/>
        <v>299.05420638408953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65.478062767877773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4.5474735088646412E-13</v>
      </c>
      <c r="DP89" s="18">
        <f>DO89*VLOOKUP('Données projet'!$B$14,Paramètres!$A$1:$I$89,3,0)*VLOOKUP('Données projet'!$B$14,Paramètres!$A$1:$I$89,5,0)</f>
        <v>3.3342075766995548E-13</v>
      </c>
      <c r="DQ89" s="14">
        <f t="shared" si="97"/>
        <v>4.3537988100583648E-12</v>
      </c>
      <c r="DR89" s="22">
        <f t="shared" si="70"/>
        <v>8.1635740804601579E-12</v>
      </c>
      <c r="DS89" s="62">
        <f t="shared" si="71"/>
        <v>276.75289681556001</v>
      </c>
      <c r="DT89" s="62">
        <f ca="1">AVERAGE(OFFSET($DS$3,0,0,'Données projet'!$E$14+1,1))-AVERAGE(OFFSET($H$3,0,0,'Données projet'!$E$14+1,1))</f>
        <v>416.72317068678774</v>
      </c>
      <c r="DU89" s="62">
        <f t="shared" si="98"/>
        <v>447.32457429495537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65.478062767877773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4.1025641025640995</v>
      </c>
      <c r="EJ89" s="13">
        <f>IF('Données projet'!$A$192&gt;35,EJ88+EI89-ER88,IF(A89&lt;'Données projet'!$A$192,$EG$205^A89,IF(A89='Données projet'!$A$192,'Données projet'!$B$192,EJ88+EI89-ER88)))</f>
        <v>261.15384615384625</v>
      </c>
      <c r="EK89" s="18">
        <f>EJ89*VLOOKUP('Données projet'!$B$15,Paramètres!$A$1:$I$89,3,0)*VLOOKUP('Données projet'!$B$15,Paramètres!$A$1:$I$89,5,0)</f>
        <v>248.51400000000007</v>
      </c>
      <c r="EL89" s="14">
        <f t="shared" si="99"/>
        <v>60.267625993420467</v>
      </c>
      <c r="EM89" s="22">
        <f t="shared" si="73"/>
        <v>537.79466527187412</v>
      </c>
      <c r="EN89" s="62">
        <f t="shared" si="74"/>
        <v>814.54756208742594</v>
      </c>
      <c r="EO89" s="62">
        <f ca="1">AVERAGE(OFFSET($EN$3,0,0,'Données projet'!$E$15+1,1))-AVERAGE(OFFSET($H$3,0,0,'Données projet'!$E$15+1,1))</f>
        <v>454.78867027701426</v>
      </c>
      <c r="EP89" s="62">
        <f t="shared" si="100"/>
        <v>366.45346303927056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0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65.478062767877773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4.3589743589743648</v>
      </c>
      <c r="FE89" s="13">
        <f>IF('Données projet'!$A$218&gt;35,FE88+FD89-FM88,IF(A89&lt;'Données projet'!$A$218,$FB$205^A89,IF(A89='Données projet'!$A$218,'Données projet'!$B$218,FE88+FD89-FM88)))</f>
        <v>324.87179487179492</v>
      </c>
      <c r="FF89" s="18">
        <f>FE89*VLOOKUP('Données projet'!$B$16,Paramètres!$A$1:$I$89,3,0)*VLOOKUP('Données projet'!$B$16,Paramètres!$A$1:$I$89,5,0)</f>
        <v>217.92400000000001</v>
      </c>
      <c r="FG89" s="14">
        <f t="shared" si="101"/>
        <v>53.663428701179583</v>
      </c>
      <c r="FH89" s="22">
        <f t="shared" si="76"/>
        <v>473.01477165455441</v>
      </c>
      <c r="FI89" s="62">
        <f t="shared" si="77"/>
        <v>749.76766847010617</v>
      </c>
      <c r="FJ89" s="62">
        <f ca="1">AVERAGE(OFFSET($FI$3,0,0,'Données projet'!$E$16+1,1))-AVERAGE(OFFSET($H$3,0,0,'Données projet'!$E$16+1,1))</f>
        <v>390.05579539539576</v>
      </c>
      <c r="FK89" s="62">
        <f t="shared" si="102"/>
        <v>323.72278615226139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projet'!$B$16,Paramètres!$A$1:$I$89,3,0)*0.475*44/12</f>
        <v>0</v>
      </c>
      <c r="FR89" s="23">
        <f>EXP(-LN(2)/25)*FR88+(1-EXP(-LN(2)/25))/(LN(2)/25)*Calculateur!FM89*Calculateur!FO89*VLOOKUP('Données projet'!$B$16,Paramètres!$A$1:$I$89,3,0)*0.475*44/12</f>
        <v>0</v>
      </c>
      <c r="FS89" s="23">
        <f>EXP(-LN(2)/2)*FS88+(1-EXP(-LN(2)/2))/(LN(2)/2)*FM89*FP89*VLOOKUP('Données projet'!$B$16,Paramètres!$A$1:$I$89,3,0)*0.475*44/12</f>
        <v>0</v>
      </c>
      <c r="FT89" s="24">
        <f t="shared" si="78"/>
        <v>0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65.478062767877773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6.6</v>
      </c>
      <c r="FZ89" s="13">
        <f>IF('Données projet'!$A$244&gt;35,FZ88+FY89-GH88,IF(A89&lt;'Données projet'!$A$244,$FW$205^A89,IF(A89='Données projet'!$A$244,'Données projet'!$B$244,FZ88+FY89-GH88)))</f>
        <v>331.6</v>
      </c>
      <c r="GA89" s="18">
        <f>FZ89*VLOOKUP('Données projet'!$B$17,Paramètres!$A$1:$I$89,3,0)*VLOOKUP('Données projet'!$B$17,Paramètres!$A$1:$I$89,5,0)</f>
        <v>320.72352000000001</v>
      </c>
      <c r="GB89" s="14">
        <f t="shared" si="103"/>
        <v>75.503876276445041</v>
      </c>
      <c r="GC89" s="22">
        <f t="shared" si="79"/>
        <v>690.09604851480844</v>
      </c>
      <c r="GD89" s="62">
        <f t="shared" si="80"/>
        <v>966.84894533036027</v>
      </c>
      <c r="GE89" s="62">
        <f ca="1">AVERAGE(OFFSET($GD$3,0,0,'Données projet'!$E$17+1,1))-AVERAGE(OFFSET($H$3,0,0,'Données projet'!$E$17+1,1))</f>
        <v>578.44111602076555</v>
      </c>
      <c r="GF89" s="62">
        <f t="shared" si="104"/>
        <v>368.08542661432784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>
        <f>EXP(-LN(2)/35)*GL88+(1-EXP(-LN(2)/35))/(LN(2)/35)*GH89*GI89*VLOOKUP('Données projet'!$B$17,Paramètres!$A$1:$I$89,3,0)*0.475*44/12</f>
        <v>0</v>
      </c>
      <c r="GM89" s="23">
        <f>EXP(-LN(2)/25)*GM88+(1-EXP(-LN(2)/25))/(LN(2)/25)*Calculateur!GH89*Calculateur!GJ89*VLOOKUP('Données projet'!$B$17,Paramètres!$A$1:$I$89,3,0)*0.475*44/12</f>
        <v>0</v>
      </c>
      <c r="GN89" s="23">
        <f>EXP(-LN(2)/2)*GN88+(1-EXP(-LN(2)/2))/(LN(2)/2)*GH89*GK89*VLOOKUP('Données projet'!$B$17,Paramètres!$A$1:$I$89,3,0)*0.475*44/12</f>
        <v>0</v>
      </c>
      <c r="GO89" s="23">
        <f t="shared" si="81"/>
        <v>0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65.478062767877773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4.0735000000000001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14.936166666666667</v>
      </c>
      <c r="H90" s="70">
        <f t="shared" si="56"/>
        <v>196.922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65.556508269317959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6.6</v>
      </c>
      <c r="N90" s="14">
        <f>IF('Données projet'!$A$36&gt;35,N89+M90-V89,IF(A90&lt;'Données projet'!$A$36,$K$205^A90,IF(A90='Données projet'!$A$36,'Données projet'!$B$36,N89+M90-V89)))</f>
        <v>338.20000000000005</v>
      </c>
      <c r="O90" s="14">
        <f>N90*VLOOKUP('Données projet'!$B$9,Paramètres!$A$1:$I$89,3,0)*VLOOKUP('Données projet'!$B$9,Paramètres!$A$1:$I$89,5,0)</f>
        <v>306.00336000000004</v>
      </c>
      <c r="P90" s="14">
        <f t="shared" si="87"/>
        <v>72.433543369450447</v>
      </c>
      <c r="Q90" s="22">
        <f t="shared" si="54"/>
        <v>659.11094003512619</v>
      </c>
      <c r="R90" s="62">
        <f t="shared" si="55"/>
        <v>936.15147035595874</v>
      </c>
      <c r="S90" s="62">
        <f ca="1">AVERAGE(OFFSET($R$3,0,0,'Données projet'!$E$9+1,1))-AVERAGE(OFFSET($H$3,0,0,'Données projet'!$E$9+1,1))</f>
        <v>546.11281471711925</v>
      </c>
      <c r="T90" s="62">
        <f t="shared" si="88"/>
        <v>348.18069831447099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65.556508269317959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8.9</v>
      </c>
      <c r="AI90" s="14">
        <f>IF('Données projet'!$A$62&gt;35,AI89+AH90-AQ89,IF(A90&lt;'Données projet'!$A$62,$AF$205^A90,IF(A90='Données projet'!$A$62,'Données projet'!$B$62,AI89+AH90-AQ89)))</f>
        <v>422.79999999999995</v>
      </c>
      <c r="AJ90" s="14">
        <f>AI90*VLOOKUP('Données projet'!$B$10,Paramètres!$A$1:$I$89,3,0)*VLOOKUP('Données projet'!$B$10,Paramètres!$A$1:$I$89,5,0)</f>
        <v>362.76240000000001</v>
      </c>
      <c r="AK90" s="14">
        <f t="shared" si="89"/>
        <v>84.18491922622529</v>
      </c>
      <c r="AL90" s="22">
        <f t="shared" si="58"/>
        <v>778.43324765234229</v>
      </c>
      <c r="AM90" s="62">
        <f t="shared" si="59"/>
        <v>1055.4737779731747</v>
      </c>
      <c r="AN90" s="62">
        <f ca="1">AVERAGE(OFFSET($AM$3,0,0,'Données projet'!$E$10+1,1))-AVERAGE(OFFSET($H$3,0,0,'Données projet'!$E$10+1,1))</f>
        <v>693.87994318348024</v>
      </c>
      <c r="AO90" s="62">
        <f t="shared" si="90"/>
        <v>327.71043739333641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65.556508269317959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6.6</v>
      </c>
      <c r="BD90" s="13">
        <f>IF('Données projet'!$A$88&gt;35,BD89+BC90-BL89,IF(A90&lt;'Données projet'!$A$88,$BA$205^A90,IF(A90='Données projet'!$A$88,'Données projet'!$B$88,BD89+BC90-BL89)))</f>
        <v>338.20000000000005</v>
      </c>
      <c r="BE90" s="14">
        <f>BD90*VLOOKUP('Données projet'!$B$11,Paramètres!$A$1:$I$89,3,0)*VLOOKUP('Données projet'!$B$11,Paramètres!$A$1:$I$89,5,0)</f>
        <v>284.8996800000001</v>
      </c>
      <c r="BF90" s="14">
        <f t="shared" si="91"/>
        <v>68.001404388285408</v>
      </c>
      <c r="BG90" s="22">
        <f t="shared" si="61"/>
        <v>614.63605530959728</v>
      </c>
      <c r="BH90" s="62">
        <f t="shared" si="62"/>
        <v>891.67658563042983</v>
      </c>
      <c r="BI90" s="62">
        <f ca="1">AVERAGE(OFFSET($BH$3,0,0,'Données projet'!$E$11+1,1))-AVERAGE(OFFSET($H$3,0,0,'Données projet'!$E$11+1,1))</f>
        <v>513.7388209355762</v>
      </c>
      <c r="BJ90" s="62">
        <f t="shared" si="92"/>
        <v>328.24603121433927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65.556508269317959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4.5474735088646412E-13</v>
      </c>
      <c r="BZ90" s="14">
        <f>BY90*VLOOKUP('Données projet'!$B$12,Paramètres!$A$1:$I$89,3,0)*VLOOKUP('Données projet'!$B$12,Paramètres!$A$1:$I$89,5,0)</f>
        <v>3.6179699236527089E-13</v>
      </c>
      <c r="CA90" s="14">
        <f t="shared" si="93"/>
        <v>4.6796319415916035E-12</v>
      </c>
      <c r="CB90" s="22">
        <f t="shared" si="64"/>
        <v>8.7804887266415556E-12</v>
      </c>
      <c r="CC90" s="62">
        <f t="shared" si="65"/>
        <v>277.04053032084124</v>
      </c>
      <c r="CD90" s="62">
        <f ca="1">AVERAGE(OFFSET($CC$3,0,0,'Données projet'!$E$12+1,1))-AVERAGE(OFFSET($H$3,0,0,'Données projet'!$E$12+1,1))</f>
        <v>447.25854887589878</v>
      </c>
      <c r="CE90" s="62">
        <f t="shared" si="94"/>
        <v>480.13390593590157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65.556508269317959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1.1368683772161603E-13</v>
      </c>
      <c r="CU90" s="18">
        <f>CT90*VLOOKUP('Données projet'!$B$13,Paramètres!$A$1:$I$89,3,0)*VLOOKUP('Données projet'!$B$13,Paramètres!$A$1:$I$89,5,0)</f>
        <v>8.8675733422860506E-14</v>
      </c>
      <c r="CV90" s="14">
        <f t="shared" si="95"/>
        <v>1.3509285393066301E-12</v>
      </c>
      <c r="CW90" s="22">
        <f t="shared" si="67"/>
        <v>2.5073107750038623E-12</v>
      </c>
      <c r="CX90" s="62">
        <f t="shared" si="68"/>
        <v>277.04053032083499</v>
      </c>
      <c r="CY90" s="62">
        <f ca="1">AVERAGE(OFFSET($CX$3,0,0,'Données projet'!$E$13+1,1))-AVERAGE(OFFSET($H$3,0,0,'Données projet'!$E$13+1,1))</f>
        <v>308.52515801950324</v>
      </c>
      <c r="CZ90" s="62">
        <f t="shared" si="96"/>
        <v>299.05420638408953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65.556508269317959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4.5474735088646412E-13</v>
      </c>
      <c r="DP90" s="18">
        <f>DO90*VLOOKUP('Données projet'!$B$14,Paramètres!$A$1:$I$89,3,0)*VLOOKUP('Données projet'!$B$14,Paramètres!$A$1:$I$89,5,0)</f>
        <v>3.3342075766995548E-13</v>
      </c>
      <c r="DQ90" s="14">
        <f t="shared" si="97"/>
        <v>4.3537988100583648E-12</v>
      </c>
      <c r="DR90" s="22">
        <f t="shared" si="70"/>
        <v>8.1635740804601579E-12</v>
      </c>
      <c r="DS90" s="62">
        <f t="shared" si="71"/>
        <v>277.04053032084067</v>
      </c>
      <c r="DT90" s="62">
        <f ca="1">AVERAGE(OFFSET($DS$3,0,0,'Données projet'!$E$14+1,1))-AVERAGE(OFFSET($H$3,0,0,'Données projet'!$E$14+1,1))</f>
        <v>416.72317068678774</v>
      </c>
      <c r="DU90" s="62">
        <f t="shared" si="98"/>
        <v>447.32457429495537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65.556508269317959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4.1025641025640995</v>
      </c>
      <c r="EJ90" s="13">
        <f>IF('Données projet'!$A$192&gt;35,EJ89+EI90-ER89,IF(A90&lt;'Données projet'!$A$192,$EG$205^A90,IF(A90='Données projet'!$A$192,'Données projet'!$B$192,EJ89+EI90-ER89)))</f>
        <v>265.25641025641033</v>
      </c>
      <c r="EK90" s="18">
        <f>EJ90*VLOOKUP('Données projet'!$B$15,Paramètres!$A$1:$I$89,3,0)*VLOOKUP('Données projet'!$B$15,Paramètres!$A$1:$I$89,5,0)</f>
        <v>252.41800000000006</v>
      </c>
      <c r="EL90" s="14">
        <f t="shared" si="99"/>
        <v>61.103428740793305</v>
      </c>
      <c r="EM90" s="22">
        <f t="shared" si="73"/>
        <v>546.04982172354835</v>
      </c>
      <c r="EN90" s="62">
        <f t="shared" si="74"/>
        <v>823.09035204438078</v>
      </c>
      <c r="EO90" s="62">
        <f ca="1">AVERAGE(OFFSET($EN$3,0,0,'Données projet'!$E$15+1,1))-AVERAGE(OFFSET($H$3,0,0,'Données projet'!$E$15+1,1))</f>
        <v>454.78867027701426</v>
      </c>
      <c r="EP90" s="62">
        <f t="shared" si="100"/>
        <v>366.45346303927056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0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65.556508269317959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4.3589743589743648</v>
      </c>
      <c r="FE90" s="13">
        <f>IF('Données projet'!$A$218&gt;35,FE89+FD90-FM89,IF(A90&lt;'Données projet'!$A$218,$FB$205^A90,IF(A90='Données projet'!$A$218,'Données projet'!$B$218,FE89+FD90-FM89)))</f>
        <v>329.23076923076928</v>
      </c>
      <c r="FF90" s="18">
        <f>FE90*VLOOKUP('Données projet'!$B$16,Paramètres!$A$1:$I$89,3,0)*VLOOKUP('Données projet'!$B$16,Paramètres!$A$1:$I$89,5,0)</f>
        <v>220.84800000000004</v>
      </c>
      <c r="FG90" s="14">
        <f t="shared" si="101"/>
        <v>54.299153043191723</v>
      </c>
      <c r="FH90" s="22">
        <f t="shared" si="76"/>
        <v>479.214624883559</v>
      </c>
      <c r="FI90" s="62">
        <f t="shared" si="77"/>
        <v>756.25515520439149</v>
      </c>
      <c r="FJ90" s="62">
        <f ca="1">AVERAGE(OFFSET($FI$3,0,0,'Données projet'!$E$16+1,1))-AVERAGE(OFFSET($H$3,0,0,'Données projet'!$E$16+1,1))</f>
        <v>390.05579539539576</v>
      </c>
      <c r="FK90" s="62">
        <f t="shared" si="102"/>
        <v>323.72278615226139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projet'!$B$16,Paramètres!$A$1:$I$89,3,0)*0.475*44/12</f>
        <v>0</v>
      </c>
      <c r="FR90" s="23">
        <f>EXP(-LN(2)/25)*FR89+(1-EXP(-LN(2)/25))/(LN(2)/25)*Calculateur!FM90*Calculateur!FO90*VLOOKUP('Données projet'!$B$16,Paramètres!$A$1:$I$89,3,0)*0.475*44/12</f>
        <v>0</v>
      </c>
      <c r="FS90" s="23">
        <f>EXP(-LN(2)/2)*FS89+(1-EXP(-LN(2)/2))/(LN(2)/2)*FM90*FP90*VLOOKUP('Données projet'!$B$16,Paramètres!$A$1:$I$89,3,0)*0.475*44/12</f>
        <v>0</v>
      </c>
      <c r="FT90" s="24">
        <f t="shared" si="78"/>
        <v>0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65.556508269317959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6.6</v>
      </c>
      <c r="FZ90" s="13">
        <f>IF('Données projet'!$A$244&gt;35,FZ89+FY90-GH89,IF(A90&lt;'Données projet'!$A$244,$FW$205^A90,IF(A90='Données projet'!$A$244,'Données projet'!$B$244,FZ89+FY90-GH89)))</f>
        <v>338.20000000000005</v>
      </c>
      <c r="GA90" s="18">
        <f>FZ90*VLOOKUP('Données projet'!$B$17,Paramètres!$A$1:$I$89,3,0)*VLOOKUP('Données projet'!$B$17,Paramètres!$A$1:$I$89,5,0)</f>
        <v>327.10704000000004</v>
      </c>
      <c r="GB90" s="14">
        <f t="shared" si="103"/>
        <v>76.830215733860598</v>
      </c>
      <c r="GC90" s="22">
        <f t="shared" si="79"/>
        <v>703.52405373647389</v>
      </c>
      <c r="GD90" s="62">
        <f t="shared" si="80"/>
        <v>980.56458405730632</v>
      </c>
      <c r="GE90" s="62">
        <f ca="1">AVERAGE(OFFSET($GD$3,0,0,'Données projet'!$E$17+1,1))-AVERAGE(OFFSET($H$3,0,0,'Données projet'!$E$17+1,1))</f>
        <v>578.44111602076555</v>
      </c>
      <c r="GF90" s="62">
        <f t="shared" si="104"/>
        <v>368.08542661432784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>
        <f>EXP(-LN(2)/35)*GL89+(1-EXP(-LN(2)/35))/(LN(2)/35)*GH90*GI90*VLOOKUP('Données projet'!$B$17,Paramètres!$A$1:$I$89,3,0)*0.475*44/12</f>
        <v>0</v>
      </c>
      <c r="GM90" s="23">
        <f>EXP(-LN(2)/25)*GM89+(1-EXP(-LN(2)/25))/(LN(2)/25)*Calculateur!GH90*Calculateur!GJ90*VLOOKUP('Données projet'!$B$17,Paramètres!$A$1:$I$89,3,0)*0.475*44/12</f>
        <v>0</v>
      </c>
      <c r="GN90" s="23">
        <f>EXP(-LN(2)/2)*GN89+(1-EXP(-LN(2)/2))/(LN(2)/2)*GH90*GK90*VLOOKUP('Données projet'!$B$17,Paramètres!$A$1:$I$89,3,0)*0.475*44/12</f>
        <v>0</v>
      </c>
      <c r="GO90" s="23">
        <f t="shared" si="81"/>
        <v>0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65.556508269317959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4.0735000000000001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14.936166666666667</v>
      </c>
      <c r="H91" s="70">
        <f t="shared" si="56"/>
        <v>196.922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65.633592916686027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6.6</v>
      </c>
      <c r="N91" s="14">
        <f>IF('Données projet'!$A$36&gt;35,N90+M91-V90,IF(A91&lt;'Données projet'!$A$36,$K$205^A91,IF(A91='Données projet'!$A$36,'Données projet'!$B$36,N90+M91-V90)))</f>
        <v>344.80000000000007</v>
      </c>
      <c r="O91" s="14">
        <f>N91*VLOOKUP('Données projet'!$B$9,Paramètres!$A$1:$I$89,3,0)*VLOOKUP('Données projet'!$B$9,Paramètres!$A$1:$I$89,5,0)</f>
        <v>311.97504000000009</v>
      </c>
      <c r="P91" s="14">
        <f t="shared" si="87"/>
        <v>73.681144552074599</v>
      </c>
      <c r="Q91" s="22">
        <f t="shared" si="54"/>
        <v>671.68452142819672</v>
      </c>
      <c r="R91" s="62">
        <f t="shared" si="55"/>
        <v>949.00769545604544</v>
      </c>
      <c r="S91" s="62">
        <f ca="1">AVERAGE(OFFSET($R$3,0,0,'Données projet'!$E$9+1,1))-AVERAGE(OFFSET($H$3,0,0,'Données projet'!$E$9+1,1))</f>
        <v>546.11281471711925</v>
      </c>
      <c r="T91" s="62">
        <f t="shared" si="88"/>
        <v>348.18069831447099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65.633592916686027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8.9</v>
      </c>
      <c r="AI91" s="14">
        <f>IF('Données projet'!$A$62&gt;35,AI90+AH91-AQ90,IF(A91&lt;'Données projet'!$A$62,$AF$205^A91,IF(A91='Données projet'!$A$62,'Données projet'!$B$62,AI90+AH91-AQ90)))</f>
        <v>431.69999999999993</v>
      </c>
      <c r="AJ91" s="14">
        <f>AI91*VLOOKUP('Données projet'!$B$10,Paramètres!$A$1:$I$89,3,0)*VLOOKUP('Données projet'!$B$10,Paramètres!$A$1:$I$89,5,0)</f>
        <v>370.39859999999999</v>
      </c>
      <c r="AK91" s="14">
        <f t="shared" si="89"/>
        <v>85.748847292465143</v>
      </c>
      <c r="AL91" s="22">
        <f t="shared" si="58"/>
        <v>794.45680403437666</v>
      </c>
      <c r="AM91" s="62">
        <f t="shared" si="59"/>
        <v>1071.7799780622254</v>
      </c>
      <c r="AN91" s="62">
        <f ca="1">AVERAGE(OFFSET($AM$3,0,0,'Données projet'!$E$10+1,1))-AVERAGE(OFFSET($H$3,0,0,'Données projet'!$E$10+1,1))</f>
        <v>693.87994318348024</v>
      </c>
      <c r="AO91" s="62">
        <f t="shared" si="90"/>
        <v>327.71043739333641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65.633592916686027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6.6</v>
      </c>
      <c r="BD91" s="13">
        <f>IF('Données projet'!$A$88&gt;35,BD90+BC91-BL90,IF(A91&lt;'Données projet'!$A$88,$BA$205^A91,IF(A91='Données projet'!$A$88,'Données projet'!$B$88,BD90+BC91-BL90)))</f>
        <v>344.80000000000007</v>
      </c>
      <c r="BE91" s="14">
        <f>BD91*VLOOKUP('Données projet'!$B$11,Paramètres!$A$1:$I$89,3,0)*VLOOKUP('Données projet'!$B$11,Paramètres!$A$1:$I$89,5,0)</f>
        <v>290.45952000000005</v>
      </c>
      <c r="BF91" s="14">
        <f t="shared" si="91"/>
        <v>69.172666052266209</v>
      </c>
      <c r="BG91" s="22">
        <f t="shared" si="61"/>
        <v>626.35939070769712</v>
      </c>
      <c r="BH91" s="62">
        <f t="shared" si="62"/>
        <v>903.68256473554584</v>
      </c>
      <c r="BI91" s="62">
        <f ca="1">AVERAGE(OFFSET($BH$3,0,0,'Données projet'!$E$11+1,1))-AVERAGE(OFFSET($H$3,0,0,'Données projet'!$E$11+1,1))</f>
        <v>513.7388209355762</v>
      </c>
      <c r="BJ91" s="62">
        <f t="shared" si="92"/>
        <v>328.24603121433927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65.633592916686027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4.5474735088646412E-13</v>
      </c>
      <c r="BZ91" s="14">
        <f>BY91*VLOOKUP('Données projet'!$B$12,Paramètres!$A$1:$I$89,3,0)*VLOOKUP('Données projet'!$B$12,Paramètres!$A$1:$I$89,5,0)</f>
        <v>3.6179699236527089E-13</v>
      </c>
      <c r="CA91" s="14">
        <f t="shared" si="93"/>
        <v>4.6796319415916035E-12</v>
      </c>
      <c r="CB91" s="22">
        <f t="shared" si="64"/>
        <v>8.7804887266415556E-12</v>
      </c>
      <c r="CC91" s="62">
        <f t="shared" si="65"/>
        <v>277.32317402785753</v>
      </c>
      <c r="CD91" s="62">
        <f ca="1">AVERAGE(OFFSET($CC$3,0,0,'Données projet'!$E$12+1,1))-AVERAGE(OFFSET($H$3,0,0,'Données projet'!$E$12+1,1))</f>
        <v>447.25854887589878</v>
      </c>
      <c r="CE91" s="62">
        <f t="shared" si="94"/>
        <v>480.13390593590157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65.633592916686027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1.1368683772161603E-13</v>
      </c>
      <c r="CU91" s="18">
        <f>CT91*VLOOKUP('Données projet'!$B$13,Paramètres!$A$1:$I$89,3,0)*VLOOKUP('Données projet'!$B$13,Paramètres!$A$1:$I$89,5,0)</f>
        <v>8.8675733422860506E-14</v>
      </c>
      <c r="CV91" s="14">
        <f t="shared" si="95"/>
        <v>1.3509285393066301E-12</v>
      </c>
      <c r="CW91" s="22">
        <f t="shared" si="67"/>
        <v>2.5073107750038623E-12</v>
      </c>
      <c r="CX91" s="62">
        <f t="shared" si="68"/>
        <v>277.32317402785128</v>
      </c>
      <c r="CY91" s="62">
        <f ca="1">AVERAGE(OFFSET($CX$3,0,0,'Données projet'!$E$13+1,1))-AVERAGE(OFFSET($H$3,0,0,'Données projet'!$E$13+1,1))</f>
        <v>308.52515801950324</v>
      </c>
      <c r="CZ91" s="62">
        <f t="shared" si="96"/>
        <v>299.05420638408953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65.633592916686027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4.5474735088646412E-13</v>
      </c>
      <c r="DP91" s="18">
        <f>DO91*VLOOKUP('Données projet'!$B$14,Paramètres!$A$1:$I$89,3,0)*VLOOKUP('Données projet'!$B$14,Paramètres!$A$1:$I$89,5,0)</f>
        <v>3.3342075766995548E-13</v>
      </c>
      <c r="DQ91" s="14">
        <f t="shared" si="97"/>
        <v>4.3537988100583648E-12</v>
      </c>
      <c r="DR91" s="22">
        <f t="shared" si="70"/>
        <v>8.1635740804601579E-12</v>
      </c>
      <c r="DS91" s="62">
        <f t="shared" si="71"/>
        <v>277.32317402785696</v>
      </c>
      <c r="DT91" s="62">
        <f ca="1">AVERAGE(OFFSET($DS$3,0,0,'Données projet'!$E$14+1,1))-AVERAGE(OFFSET($H$3,0,0,'Données projet'!$E$14+1,1))</f>
        <v>416.72317068678774</v>
      </c>
      <c r="DU91" s="62">
        <f t="shared" si="98"/>
        <v>447.32457429495537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65.633592916686027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4.1025641025640995</v>
      </c>
      <c r="EJ91" s="13">
        <f>IF('Données projet'!$A$192&gt;35,EJ90+EI91-ER90,IF(A91&lt;'Données projet'!$A$192,$EG$205^A91,IF(A91='Données projet'!$A$192,'Données projet'!$B$192,EJ90+EI91-ER90)))</f>
        <v>269.35897435897442</v>
      </c>
      <c r="EK91" s="18">
        <f>EJ91*VLOOKUP('Données projet'!$B$15,Paramètres!$A$1:$I$89,3,0)*VLOOKUP('Données projet'!$B$15,Paramètres!$A$1:$I$89,5,0)</f>
        <v>256.32200000000006</v>
      </c>
      <c r="EL91" s="14">
        <f t="shared" si="99"/>
        <v>61.937728091093639</v>
      </c>
      <c r="EM91" s="22">
        <f t="shared" si="73"/>
        <v>554.3023597586548</v>
      </c>
      <c r="EN91" s="62">
        <f t="shared" si="74"/>
        <v>831.62553378650364</v>
      </c>
      <c r="EO91" s="62">
        <f ca="1">AVERAGE(OFFSET($EN$3,0,0,'Données projet'!$E$15+1,1))-AVERAGE(OFFSET($H$3,0,0,'Données projet'!$E$15+1,1))</f>
        <v>454.78867027701426</v>
      </c>
      <c r="EP91" s="62">
        <f t="shared" si="100"/>
        <v>366.45346303927056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0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65.633592916686027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4.3589743589743648</v>
      </c>
      <c r="FE91" s="13">
        <f>IF('Données projet'!$A$218&gt;35,FE90+FD91-FM90,IF(A91&lt;'Données projet'!$A$218,$FB$205^A91,IF(A91='Données projet'!$A$218,'Données projet'!$B$218,FE90+FD91-FM90)))</f>
        <v>333.58974358974365</v>
      </c>
      <c r="FF91" s="18">
        <f>FE91*VLOOKUP('Données projet'!$B$16,Paramètres!$A$1:$I$89,3,0)*VLOOKUP('Données projet'!$B$16,Paramètres!$A$1:$I$89,5,0)</f>
        <v>223.77200000000005</v>
      </c>
      <c r="FG91" s="14">
        <f t="shared" si="101"/>
        <v>54.933898381063038</v>
      </c>
      <c r="FH91" s="22">
        <f t="shared" si="76"/>
        <v>485.4127730136849</v>
      </c>
      <c r="FI91" s="62">
        <f t="shared" si="77"/>
        <v>762.73594704153368</v>
      </c>
      <c r="FJ91" s="62">
        <f ca="1">AVERAGE(OFFSET($FI$3,0,0,'Données projet'!$E$16+1,1))-AVERAGE(OFFSET($H$3,0,0,'Données projet'!$E$16+1,1))</f>
        <v>390.05579539539576</v>
      </c>
      <c r="FK91" s="62">
        <f t="shared" si="102"/>
        <v>323.72278615226139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projet'!$B$16,Paramètres!$A$1:$I$89,3,0)*0.475*44/12</f>
        <v>0</v>
      </c>
      <c r="FR91" s="23">
        <f>EXP(-LN(2)/25)*FR90+(1-EXP(-LN(2)/25))/(LN(2)/25)*Calculateur!FM91*Calculateur!FO91*VLOOKUP('Données projet'!$B$16,Paramètres!$A$1:$I$89,3,0)*0.475*44/12</f>
        <v>0</v>
      </c>
      <c r="FS91" s="23">
        <f>EXP(-LN(2)/2)*FS90+(1-EXP(-LN(2)/2))/(LN(2)/2)*FM91*FP91*VLOOKUP('Données projet'!$B$16,Paramètres!$A$1:$I$89,3,0)*0.475*44/12</f>
        <v>0</v>
      </c>
      <c r="FT91" s="24">
        <f t="shared" si="78"/>
        <v>0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65.633592916686027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6.6</v>
      </c>
      <c r="FZ91" s="13">
        <f>IF('Données projet'!$A$244&gt;35,FZ90+FY91-GH90,IF(A91&lt;'Données projet'!$A$244,$FW$205^A91,IF(A91='Données projet'!$A$244,'Données projet'!$B$244,FZ90+FY91-GH90)))</f>
        <v>344.80000000000007</v>
      </c>
      <c r="GA91" s="18">
        <f>FZ91*VLOOKUP('Données projet'!$B$17,Paramètres!$A$1:$I$89,3,0)*VLOOKUP('Données projet'!$B$17,Paramètres!$A$1:$I$89,5,0)</f>
        <v>333.49056000000007</v>
      </c>
      <c r="GB91" s="14">
        <f t="shared" si="103"/>
        <v>78.153545555265694</v>
      </c>
      <c r="GC91" s="22">
        <f t="shared" si="79"/>
        <v>716.94681717542119</v>
      </c>
      <c r="GD91" s="62">
        <f t="shared" si="80"/>
        <v>994.26999120326991</v>
      </c>
      <c r="GE91" s="62">
        <f ca="1">AVERAGE(OFFSET($GD$3,0,0,'Données projet'!$E$17+1,1))-AVERAGE(OFFSET($H$3,0,0,'Données projet'!$E$17+1,1))</f>
        <v>578.44111602076555</v>
      </c>
      <c r="GF91" s="62">
        <f t="shared" si="104"/>
        <v>368.08542661432784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>
        <f>EXP(-LN(2)/35)*GL90+(1-EXP(-LN(2)/35))/(LN(2)/35)*GH91*GI91*VLOOKUP('Données projet'!$B$17,Paramètres!$A$1:$I$89,3,0)*0.475*44/12</f>
        <v>0</v>
      </c>
      <c r="GM91" s="23">
        <f>EXP(-LN(2)/25)*GM90+(1-EXP(-LN(2)/25))/(LN(2)/25)*Calculateur!GH91*Calculateur!GJ91*VLOOKUP('Données projet'!$B$17,Paramètres!$A$1:$I$89,3,0)*0.475*44/12</f>
        <v>0</v>
      </c>
      <c r="GN91" s="23">
        <f>EXP(-LN(2)/2)*GN90+(1-EXP(-LN(2)/2))/(LN(2)/2)*GH91*GK91*VLOOKUP('Données projet'!$B$17,Paramètres!$A$1:$I$89,3,0)*0.475*44/12</f>
        <v>0</v>
      </c>
      <c r="GO91" s="23">
        <f t="shared" si="81"/>
        <v>0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65.633592916686027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4.0735000000000001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14.936166666666667</v>
      </c>
      <c r="H92" s="70">
        <f t="shared" si="56"/>
        <v>196.922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65.709340317757707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6.6</v>
      </c>
      <c r="N92" s="14">
        <f>IF('Données projet'!$A$36&gt;35,N91+M92-V91,IF(A92&lt;'Données projet'!$A$36,$K$205^A92,IF(A92='Données projet'!$A$36,'Données projet'!$B$36,N91+M92-V91)))</f>
        <v>351.40000000000009</v>
      </c>
      <c r="O92" s="14">
        <f>N92*VLOOKUP('Données projet'!$B$9,Paramètres!$A$1:$I$89,3,0)*VLOOKUP('Données projet'!$B$9,Paramètres!$A$1:$I$89,5,0)</f>
        <v>317.94672000000008</v>
      </c>
      <c r="P92" s="14">
        <f t="shared" si="87"/>
        <v>74.925968901822259</v>
      </c>
      <c r="Q92" s="22">
        <f t="shared" si="54"/>
        <v>684.25326650400723</v>
      </c>
      <c r="R92" s="62">
        <f t="shared" si="55"/>
        <v>961.85418100245215</v>
      </c>
      <c r="S92" s="62">
        <f ca="1">AVERAGE(OFFSET($R$3,0,0,'Données projet'!$E$9+1,1))-AVERAGE(OFFSET($H$3,0,0,'Données projet'!$E$9+1,1))</f>
        <v>546.11281471711925</v>
      </c>
      <c r="T92" s="62">
        <f t="shared" si="88"/>
        <v>348.18069831447099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65.709340317757707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8.9</v>
      </c>
      <c r="AI92" s="14">
        <f>IF('Données projet'!$A$62&gt;35,AI91+AH92-AQ91,IF(A92&lt;'Données projet'!$A$62,$AF$205^A92,IF(A92='Données projet'!$A$62,'Données projet'!$B$62,AI91+AH92-AQ91)))</f>
        <v>440.59999999999991</v>
      </c>
      <c r="AJ92" s="14">
        <f>AI92*VLOOKUP('Données projet'!$B$10,Paramètres!$A$1:$I$89,3,0)*VLOOKUP('Données projet'!$B$10,Paramètres!$A$1:$I$89,5,0)</f>
        <v>378.03479999999996</v>
      </c>
      <c r="AK92" s="14">
        <f t="shared" si="89"/>
        <v>87.30902658484024</v>
      </c>
      <c r="AL92" s="22">
        <f t="shared" si="58"/>
        <v>810.47383130192986</v>
      </c>
      <c r="AM92" s="62">
        <f t="shared" si="59"/>
        <v>1088.0747458003748</v>
      </c>
      <c r="AN92" s="62">
        <f ca="1">AVERAGE(OFFSET($AM$3,0,0,'Données projet'!$E$10+1,1))-AVERAGE(OFFSET($H$3,0,0,'Données projet'!$E$10+1,1))</f>
        <v>693.87994318348024</v>
      </c>
      <c r="AO92" s="62">
        <f t="shared" si="90"/>
        <v>327.71043739333641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65.709340317757707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6.6</v>
      </c>
      <c r="BD92" s="13">
        <f>IF('Données projet'!$A$88&gt;35,BD91+BC92-BL91,IF(A92&lt;'Données projet'!$A$88,$BA$205^A92,IF(A92='Données projet'!$A$88,'Données projet'!$B$88,BD91+BC92-BL91)))</f>
        <v>351.40000000000009</v>
      </c>
      <c r="BE92" s="14">
        <f>BD92*VLOOKUP('Données projet'!$B$11,Paramètres!$A$1:$I$89,3,0)*VLOOKUP('Données projet'!$B$11,Paramètres!$A$1:$I$89,5,0)</f>
        <v>296.01936000000012</v>
      </c>
      <c r="BF92" s="14">
        <f t="shared" si="91"/>
        <v>70.341320795108402</v>
      </c>
      <c r="BG92" s="22">
        <f t="shared" si="61"/>
        <v>638.07818571814732</v>
      </c>
      <c r="BH92" s="62">
        <f t="shared" si="62"/>
        <v>915.67910021659225</v>
      </c>
      <c r="BI92" s="62">
        <f ca="1">AVERAGE(OFFSET($BH$3,0,0,'Données projet'!$E$11+1,1))-AVERAGE(OFFSET($H$3,0,0,'Données projet'!$E$11+1,1))</f>
        <v>513.7388209355762</v>
      </c>
      <c r="BJ92" s="62">
        <f t="shared" si="92"/>
        <v>328.24603121433927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65.709340317757707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4.5474735088646412E-13</v>
      </c>
      <c r="BZ92" s="14">
        <f>BY92*VLOOKUP('Données projet'!$B$12,Paramètres!$A$1:$I$89,3,0)*VLOOKUP('Données projet'!$B$12,Paramètres!$A$1:$I$89,5,0)</f>
        <v>3.6179699236527089E-13</v>
      </c>
      <c r="CA92" s="14">
        <f t="shared" si="93"/>
        <v>4.6796319415916035E-12</v>
      </c>
      <c r="CB92" s="22">
        <f t="shared" si="64"/>
        <v>8.7804887266415556E-12</v>
      </c>
      <c r="CC92" s="62">
        <f t="shared" si="65"/>
        <v>277.60091449845368</v>
      </c>
      <c r="CD92" s="62">
        <f ca="1">AVERAGE(OFFSET($CC$3,0,0,'Données projet'!$E$12+1,1))-AVERAGE(OFFSET($H$3,0,0,'Données projet'!$E$12+1,1))</f>
        <v>447.25854887589878</v>
      </c>
      <c r="CE92" s="62">
        <f t="shared" si="94"/>
        <v>480.13390593590157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65.709340317757707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1.1368683772161603E-13</v>
      </c>
      <c r="CU92" s="18">
        <f>CT92*VLOOKUP('Données projet'!$B$13,Paramètres!$A$1:$I$89,3,0)*VLOOKUP('Données projet'!$B$13,Paramètres!$A$1:$I$89,5,0)</f>
        <v>8.8675733422860506E-14</v>
      </c>
      <c r="CV92" s="14">
        <f t="shared" si="95"/>
        <v>1.3509285393066301E-12</v>
      </c>
      <c r="CW92" s="22">
        <f t="shared" si="67"/>
        <v>2.5073107750038623E-12</v>
      </c>
      <c r="CX92" s="62">
        <f t="shared" si="68"/>
        <v>277.60091449844742</v>
      </c>
      <c r="CY92" s="62">
        <f ca="1">AVERAGE(OFFSET($CX$3,0,0,'Données projet'!$E$13+1,1))-AVERAGE(OFFSET($H$3,0,0,'Données projet'!$E$13+1,1))</f>
        <v>308.52515801950324</v>
      </c>
      <c r="CZ92" s="62">
        <f t="shared" si="96"/>
        <v>299.05420638408953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65.709340317757707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4.5474735088646412E-13</v>
      </c>
      <c r="DP92" s="18">
        <f>DO92*VLOOKUP('Données projet'!$B$14,Paramètres!$A$1:$I$89,3,0)*VLOOKUP('Données projet'!$B$14,Paramètres!$A$1:$I$89,5,0)</f>
        <v>3.3342075766995548E-13</v>
      </c>
      <c r="DQ92" s="14">
        <f t="shared" si="97"/>
        <v>4.3537988100583648E-12</v>
      </c>
      <c r="DR92" s="22">
        <f t="shared" si="70"/>
        <v>8.1635740804601579E-12</v>
      </c>
      <c r="DS92" s="62">
        <f t="shared" si="71"/>
        <v>277.60091449845311</v>
      </c>
      <c r="DT92" s="62">
        <f ca="1">AVERAGE(OFFSET($DS$3,0,0,'Données projet'!$E$14+1,1))-AVERAGE(OFFSET($H$3,0,0,'Données projet'!$E$14+1,1))</f>
        <v>416.72317068678774</v>
      </c>
      <c r="DU92" s="62">
        <f t="shared" si="98"/>
        <v>447.32457429495537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65.709340317757707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4.1025641025640995</v>
      </c>
      <c r="EJ92" s="13">
        <f>IF('Données projet'!$A$192&gt;35,EJ91+EI92-ER91,IF(A92&lt;'Données projet'!$A$192,$EG$205^A92,IF(A92='Données projet'!$A$192,'Données projet'!$B$192,EJ91+EI92-ER91)))</f>
        <v>273.46153846153851</v>
      </c>
      <c r="EK92" s="18">
        <f>EJ92*VLOOKUP('Données projet'!$B$15,Paramètres!$A$1:$I$89,3,0)*VLOOKUP('Données projet'!$B$15,Paramètres!$A$1:$I$89,5,0)</f>
        <v>260.22600000000006</v>
      </c>
      <c r="EL92" s="14">
        <f t="shared" si="99"/>
        <v>62.770549586994875</v>
      </c>
      <c r="EM92" s="22">
        <f t="shared" si="73"/>
        <v>562.5523238640161</v>
      </c>
      <c r="EN92" s="62">
        <f t="shared" si="74"/>
        <v>840.15323836246102</v>
      </c>
      <c r="EO92" s="62">
        <f ca="1">AVERAGE(OFFSET($EN$3,0,0,'Données projet'!$E$15+1,1))-AVERAGE(OFFSET($H$3,0,0,'Données projet'!$E$15+1,1))</f>
        <v>454.78867027701426</v>
      </c>
      <c r="EP92" s="62">
        <f t="shared" si="100"/>
        <v>366.45346303927056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0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65.709340317757707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4.3589743589743648</v>
      </c>
      <c r="FE92" s="13">
        <f>IF('Données projet'!$A$218&gt;35,FE91+FD92-FM91,IF(A92&lt;'Données projet'!$A$218,$FB$205^A92,IF(A92='Données projet'!$A$218,'Données projet'!$B$218,FE91+FD92-FM91)))</f>
        <v>337.94871794871801</v>
      </c>
      <c r="FF92" s="18">
        <f>FE92*VLOOKUP('Données projet'!$B$16,Paramètres!$A$1:$I$89,3,0)*VLOOKUP('Données projet'!$B$16,Paramètres!$A$1:$I$89,5,0)</f>
        <v>226.69600000000005</v>
      </c>
      <c r="FG92" s="14">
        <f t="shared" si="101"/>
        <v>55.567678986325824</v>
      </c>
      <c r="FH92" s="22">
        <f t="shared" si="76"/>
        <v>491.60924090118425</v>
      </c>
      <c r="FI92" s="62">
        <f t="shared" si="77"/>
        <v>769.21015539962923</v>
      </c>
      <c r="FJ92" s="62">
        <f ca="1">AVERAGE(OFFSET($FI$3,0,0,'Données projet'!$E$16+1,1))-AVERAGE(OFFSET($H$3,0,0,'Données projet'!$E$16+1,1))</f>
        <v>390.05579539539576</v>
      </c>
      <c r="FK92" s="62">
        <f t="shared" si="102"/>
        <v>323.72278615226139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projet'!$B$16,Paramètres!$A$1:$I$89,3,0)*0.475*44/12</f>
        <v>0</v>
      </c>
      <c r="FR92" s="23">
        <f>EXP(-LN(2)/25)*FR91+(1-EXP(-LN(2)/25))/(LN(2)/25)*Calculateur!FM92*Calculateur!FO92*VLOOKUP('Données projet'!$B$16,Paramètres!$A$1:$I$89,3,0)*0.475*44/12</f>
        <v>0</v>
      </c>
      <c r="FS92" s="23">
        <f>EXP(-LN(2)/2)*FS91+(1-EXP(-LN(2)/2))/(LN(2)/2)*FM92*FP92*VLOOKUP('Données projet'!$B$16,Paramètres!$A$1:$I$89,3,0)*0.475*44/12</f>
        <v>0</v>
      </c>
      <c r="FT92" s="24">
        <f t="shared" si="78"/>
        <v>0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65.709340317757707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6.6</v>
      </c>
      <c r="FZ92" s="13">
        <f>IF('Données projet'!$A$244&gt;35,FZ91+FY92-GH91,IF(A92&lt;'Données projet'!$A$244,$FW$205^A92,IF(A92='Données projet'!$A$244,'Données projet'!$B$244,FZ91+FY92-GH91)))</f>
        <v>351.40000000000009</v>
      </c>
      <c r="GA92" s="18">
        <f>FZ92*VLOOKUP('Données projet'!$B$17,Paramètres!$A$1:$I$89,3,0)*VLOOKUP('Données projet'!$B$17,Paramètres!$A$1:$I$89,5,0)</f>
        <v>339.87408000000011</v>
      </c>
      <c r="GB92" s="14">
        <f t="shared" si="103"/>
        <v>79.473929991714755</v>
      </c>
      <c r="GC92" s="22">
        <f t="shared" si="79"/>
        <v>730.36445073557013</v>
      </c>
      <c r="GD92" s="62">
        <f t="shared" si="80"/>
        <v>1007.9653652340151</v>
      </c>
      <c r="GE92" s="62">
        <f ca="1">AVERAGE(OFFSET($GD$3,0,0,'Données projet'!$E$17+1,1))-AVERAGE(OFFSET($H$3,0,0,'Données projet'!$E$17+1,1))</f>
        <v>578.44111602076555</v>
      </c>
      <c r="GF92" s="62">
        <f t="shared" si="104"/>
        <v>368.08542661432784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>
        <f>EXP(-LN(2)/35)*GL91+(1-EXP(-LN(2)/35))/(LN(2)/35)*GH92*GI92*VLOOKUP('Données projet'!$B$17,Paramètres!$A$1:$I$89,3,0)*0.475*44/12</f>
        <v>0</v>
      </c>
      <c r="GM92" s="23">
        <f>EXP(-LN(2)/25)*GM91+(1-EXP(-LN(2)/25))/(LN(2)/25)*Calculateur!GH92*Calculateur!GJ92*VLOOKUP('Données projet'!$B$17,Paramètres!$A$1:$I$89,3,0)*0.475*44/12</f>
        <v>0</v>
      </c>
      <c r="GN92" s="23">
        <f>EXP(-LN(2)/2)*GN91+(1-EXP(-LN(2)/2))/(LN(2)/2)*GH92*GK92*VLOOKUP('Données projet'!$B$17,Paramètres!$A$1:$I$89,3,0)*0.475*44/12</f>
        <v>0</v>
      </c>
      <c r="GO92" s="23">
        <f t="shared" si="81"/>
        <v>0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65.709340317757707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4.0735000000000001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14.936166666666667</v>
      </c>
      <c r="H93" s="70">
        <f t="shared" si="56"/>
        <v>196.922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65.783773670766621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358</v>
      </c>
      <c r="L93" s="13">
        <f>VLOOKUP(A93,'Données projet'!$A$35:$I$55,9,0)</f>
        <v>6.6</v>
      </c>
      <c r="M93" s="13">
        <f t="array" ref="M93">INDEX(L:L,MIN(IF(ISNUMBER(L93:L289),ROW(L93:L289),"")))</f>
        <v>6.6</v>
      </c>
      <c r="N93" s="14">
        <f>IF('Données projet'!$A$36&gt;35,N92+M93-V92,IF(A93&lt;'Données projet'!$A$36,$K$205^A93,IF(A93='Données projet'!$A$36,'Données projet'!$B$36,N92+M93-V92)))</f>
        <v>358.00000000000011</v>
      </c>
      <c r="O93" s="14">
        <f>N93*VLOOKUP('Données projet'!$B$9,Paramètres!$A$1:$I$89,3,0)*VLOOKUP('Données projet'!$B$9,Paramètres!$A$1:$I$89,5,0)</f>
        <v>323.91840000000008</v>
      </c>
      <c r="P93" s="14">
        <f t="shared" si="87"/>
        <v>76.168074587293091</v>
      </c>
      <c r="Q93" s="22">
        <f t="shared" si="54"/>
        <v>696.81727657286899</v>
      </c>
      <c r="R93" s="62">
        <f t="shared" si="55"/>
        <v>974.69111336567994</v>
      </c>
      <c r="S93" s="62">
        <f ca="1">AVERAGE(OFFSET($R$3,0,0,'Données projet'!$E$9+1,1))-AVERAGE(OFFSET($H$3,0,0,'Données projet'!$E$9+1,1))</f>
        <v>546.11281471711925</v>
      </c>
      <c r="T93" s="62">
        <f t="shared" si="88"/>
        <v>348.18069831447099</v>
      </c>
      <c r="U93" s="16">
        <f>IF(ISNA(VLOOKUP(A93,'Données projet'!$A$35:$I$55,3,0)),0,VLOOKUP(A93,'Données projet'!$A$35:$I$55,3,0))</f>
        <v>8</v>
      </c>
      <c r="V93" s="16">
        <f>IF(ISNA(VLOOKUP(A93,'Données projet'!$A$35:$I$55,4,0)),0,VLOOKUP(A93,'Données projet'!$A$35:$I$55,4,0))</f>
        <v>56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65.783773670766621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8.9</v>
      </c>
      <c r="AI93" s="14">
        <f>IF('Données projet'!$A$62&gt;35,AI92+AH93-AQ92,IF(A93&lt;'Données projet'!$A$62,$AF$205^A93,IF(A93='Données projet'!$A$62,'Données projet'!$B$62,AI92+AH93-AQ92)))</f>
        <v>449.49999999999989</v>
      </c>
      <c r="AJ93" s="14">
        <f>AI93*VLOOKUP('Données projet'!$B$10,Paramètres!$A$1:$I$89,3,0)*VLOOKUP('Données projet'!$B$10,Paramètres!$A$1:$I$89,5,0)</f>
        <v>385.67099999999994</v>
      </c>
      <c r="AK93" s="14">
        <f t="shared" si="89"/>
        <v>88.865541554144215</v>
      </c>
      <c r="AL93" s="22">
        <f t="shared" si="58"/>
        <v>826.48447654013432</v>
      </c>
      <c r="AM93" s="62">
        <f t="shared" si="59"/>
        <v>1104.3583133329453</v>
      </c>
      <c r="AN93" s="62">
        <f ca="1">AVERAGE(OFFSET($AM$3,0,0,'Données projet'!$E$10+1,1))-AVERAGE(OFFSET($H$3,0,0,'Données projet'!$E$10+1,1))</f>
        <v>693.87994318348024</v>
      </c>
      <c r="AO93" s="62">
        <f t="shared" si="90"/>
        <v>327.71043739333641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65.783773670766621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358</v>
      </c>
      <c r="BB93" s="13">
        <f>VLOOKUP(A93,'Données projet'!$A$87:$I$107,9,0)</f>
        <v>6.6</v>
      </c>
      <c r="BC93" s="13">
        <f t="array" ref="BC93">INDEX(BB:BB,MIN(IF(ISNUMBER(BB93:BB289),ROW(BB93:BB289),"")))</f>
        <v>6.6</v>
      </c>
      <c r="BD93" s="13">
        <f>IF('Données projet'!$A$88&gt;35,BD92+BC93-BL92,IF(A93&lt;'Données projet'!$A$88,$BA$205^A93,IF(A93='Données projet'!$A$88,'Données projet'!$B$88,BD92+BC93-BL92)))</f>
        <v>358.00000000000011</v>
      </c>
      <c r="BE93" s="14">
        <f>BD93*VLOOKUP('Données projet'!$B$11,Paramètres!$A$1:$I$89,3,0)*VLOOKUP('Données projet'!$B$11,Paramètres!$A$1:$I$89,5,0)</f>
        <v>301.57920000000013</v>
      </c>
      <c r="BF93" s="14">
        <f t="shared" si="91"/>
        <v>71.507423226130925</v>
      </c>
      <c r="BG93" s="22">
        <f t="shared" si="61"/>
        <v>649.79253545217819</v>
      </c>
      <c r="BH93" s="62">
        <f t="shared" si="62"/>
        <v>927.66637224498913</v>
      </c>
      <c r="BI93" s="62">
        <f ca="1">AVERAGE(OFFSET($BH$3,0,0,'Données projet'!$E$11+1,1))-AVERAGE(OFFSET($H$3,0,0,'Données projet'!$E$11+1,1))</f>
        <v>513.7388209355762</v>
      </c>
      <c r="BJ93" s="62">
        <f t="shared" si="92"/>
        <v>328.24603121433927</v>
      </c>
      <c r="BK93" s="16">
        <f>IF(ISNA(VLOOKUP(A93,'Données projet'!$A$87:$I$107,3,0)),0,VLOOKUP(A93,'Données projet'!$A$87:$I$107,3,0))</f>
        <v>8</v>
      </c>
      <c r="BL93" s="16">
        <f>IF(ISNA(VLOOKUP(A93,'Données projet'!$A$87:$I$107,4,0)),0,VLOOKUP(A93,'Données projet'!$A$87:$I$107,4,0))</f>
        <v>56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65.783773670766621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4.5474735088646412E-13</v>
      </c>
      <c r="BZ93" s="14">
        <f>BY93*VLOOKUP('Données projet'!$B$12,Paramètres!$A$1:$I$89,3,0)*VLOOKUP('Données projet'!$B$12,Paramètres!$A$1:$I$89,5,0)</f>
        <v>3.6179699236527089E-13</v>
      </c>
      <c r="CA93" s="14">
        <f t="shared" si="93"/>
        <v>4.6796319415916035E-12</v>
      </c>
      <c r="CB93" s="22">
        <f t="shared" si="64"/>
        <v>8.7804887266415556E-12</v>
      </c>
      <c r="CC93" s="62">
        <f t="shared" si="65"/>
        <v>277.8738367928197</v>
      </c>
      <c r="CD93" s="62">
        <f ca="1">AVERAGE(OFFSET($CC$3,0,0,'Données projet'!$E$12+1,1))-AVERAGE(OFFSET($H$3,0,0,'Données projet'!$E$12+1,1))</f>
        <v>447.25854887589878</v>
      </c>
      <c r="CE93" s="62">
        <f t="shared" si="94"/>
        <v>480.13390593590157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65.783773670766621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1.1368683772161603E-13</v>
      </c>
      <c r="CU93" s="18">
        <f>CT93*VLOOKUP('Données projet'!$B$13,Paramètres!$A$1:$I$89,3,0)*VLOOKUP('Données projet'!$B$13,Paramètres!$A$1:$I$89,5,0)</f>
        <v>8.8675733422860506E-14</v>
      </c>
      <c r="CV93" s="14">
        <f t="shared" si="95"/>
        <v>1.3509285393066301E-12</v>
      </c>
      <c r="CW93" s="22">
        <f t="shared" si="67"/>
        <v>2.5073107750038623E-12</v>
      </c>
      <c r="CX93" s="62">
        <f t="shared" si="68"/>
        <v>277.87383679281345</v>
      </c>
      <c r="CY93" s="62">
        <f ca="1">AVERAGE(OFFSET($CX$3,0,0,'Données projet'!$E$13+1,1))-AVERAGE(OFFSET($H$3,0,0,'Données projet'!$E$13+1,1))</f>
        <v>308.52515801950324</v>
      </c>
      <c r="CZ93" s="62">
        <f t="shared" si="96"/>
        <v>299.05420638408953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65.783773670766621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4.5474735088646412E-13</v>
      </c>
      <c r="DP93" s="18">
        <f>DO93*VLOOKUP('Données projet'!$B$14,Paramètres!$A$1:$I$89,3,0)*VLOOKUP('Données projet'!$B$14,Paramètres!$A$1:$I$89,5,0)</f>
        <v>3.3342075766995548E-13</v>
      </c>
      <c r="DQ93" s="14">
        <f t="shared" si="97"/>
        <v>4.3537988100583648E-12</v>
      </c>
      <c r="DR93" s="22">
        <f t="shared" si="70"/>
        <v>8.1635740804601579E-12</v>
      </c>
      <c r="DS93" s="62">
        <f t="shared" si="71"/>
        <v>277.87383679281913</v>
      </c>
      <c r="DT93" s="62">
        <f ca="1">AVERAGE(OFFSET($DS$3,0,0,'Données projet'!$E$14+1,1))-AVERAGE(OFFSET($H$3,0,0,'Données projet'!$E$14+1,1))</f>
        <v>416.72317068678774</v>
      </c>
      <c r="DU93" s="62">
        <f t="shared" si="98"/>
        <v>447.32457429495537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65.783773670766621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>
        <f>VLOOKUP(A93,'Données projet'!$A$191:$I$211,2,0)</f>
        <v>277.56410256410254</v>
      </c>
      <c r="EH93" s="13">
        <f>VLOOKUP(A93,'Données projet'!$A$191:$I$211,9,0)</f>
        <v>4.1025641025640995</v>
      </c>
      <c r="EI93" s="13">
        <f t="array" ref="EI93">INDEX(EH:EH,MIN(IF(ISNUMBER(EH93:EH289),ROW(EH93:EH289),"")))</f>
        <v>4.1025641025640995</v>
      </c>
      <c r="EJ93" s="13">
        <f>IF('Données projet'!$A$192&gt;35,EJ92+EI93-ER92,IF(A93&lt;'Données projet'!$A$192,$EG$205^A93,IF(A93='Données projet'!$A$192,'Données projet'!$B$192,EJ92+EI93-ER92)))</f>
        <v>277.5641025641026</v>
      </c>
      <c r="EK93" s="18">
        <f>EJ93*VLOOKUP('Données projet'!$B$15,Paramètres!$A$1:$I$89,3,0)*VLOOKUP('Données projet'!$B$15,Paramètres!$A$1:$I$89,5,0)</f>
        <v>264.13</v>
      </c>
      <c r="EL93" s="14">
        <f t="shared" si="99"/>
        <v>63.601917960783041</v>
      </c>
      <c r="EM93" s="22">
        <f t="shared" si="73"/>
        <v>570.7997571150305</v>
      </c>
      <c r="EN93" s="62">
        <f t="shared" si="74"/>
        <v>848.67359390784145</v>
      </c>
      <c r="EO93" s="62">
        <f ca="1">AVERAGE(OFFSET($EN$3,0,0,'Données projet'!$E$15+1,1))-AVERAGE(OFFSET($H$3,0,0,'Données projet'!$E$15+1,1))</f>
        <v>454.78867027701426</v>
      </c>
      <c r="EP93" s="62">
        <f t="shared" si="100"/>
        <v>366.45346303927056</v>
      </c>
      <c r="EQ93" s="16">
        <f>IF(ISNA(VLOOKUP(A93,'Données projet'!$A$191:$I$211,3,0)),0,VLOOKUP(A93,'Données projet'!$A$191:$I$211,3,0))</f>
        <v>8</v>
      </c>
      <c r="ER93" s="16">
        <f>IF(ISNA(VLOOKUP(A93,'Données projet'!$A$191:$I$211,4,0)),0,VLOOKUP(A93,'Données projet'!$A$191:$I$211,4,0))</f>
        <v>30.128205128205128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0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65.783773670766621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>
        <f>VLOOKUP(A93,'Données projet'!$A$217:$I$237,2,0)</f>
        <v>342.30769230769232</v>
      </c>
      <c r="FC93" s="13">
        <f>VLOOKUP(A93,'Données projet'!$A$217:$I$237,9,0)</f>
        <v>4.3589743589743648</v>
      </c>
      <c r="FD93" s="13">
        <f t="array" ref="FD93">INDEX(FC:FC,MIN(IF(ISNUMBER(FC93:FC289),ROW(FC93:FC289),"")))</f>
        <v>4.3589743589743648</v>
      </c>
      <c r="FE93" s="13">
        <f>IF('Données projet'!$A$218&gt;35,FE92+FD93-FM92,IF(A93&lt;'Données projet'!$A$218,$FB$205^A93,IF(A93='Données projet'!$A$218,'Données projet'!$B$218,FE92+FD93-FM92)))</f>
        <v>342.30769230769238</v>
      </c>
      <c r="FF93" s="18">
        <f>FE93*VLOOKUP('Données projet'!$B$16,Paramètres!$A$1:$I$89,3,0)*VLOOKUP('Données projet'!$B$16,Paramètres!$A$1:$I$89,5,0)</f>
        <v>229.62000000000003</v>
      </c>
      <c r="FG93" s="14">
        <f t="shared" si="101"/>
        <v>56.200508741188202</v>
      </c>
      <c r="FH93" s="22">
        <f t="shared" si="76"/>
        <v>497.8040527242361</v>
      </c>
      <c r="FI93" s="62">
        <f t="shared" si="77"/>
        <v>775.67788951704711</v>
      </c>
      <c r="FJ93" s="62">
        <f ca="1">AVERAGE(OFFSET($FI$3,0,0,'Données projet'!$E$16+1,1))-AVERAGE(OFFSET($H$3,0,0,'Données projet'!$E$16+1,1))</f>
        <v>390.05579539539576</v>
      </c>
      <c r="FK93" s="62">
        <f t="shared" si="102"/>
        <v>323.72278615226139</v>
      </c>
      <c r="FL93" s="16">
        <f>IF(ISNA(VLOOKUP(A93,'Données projet'!$A$217:$I$237,3,0)),0,VLOOKUP(A93,'Données projet'!$A$217:$I$237,3,0))</f>
        <v>8</v>
      </c>
      <c r="FM93" s="16">
        <f>IF(ISNA(VLOOKUP(A93,'Données projet'!$A$217:$I$237,4,0)),0,VLOOKUP(A93,'Données projet'!$A$217:$I$237,4,0))</f>
        <v>27.564102564102562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projet'!$B$16,Paramètres!$A$1:$I$89,3,0)*0.475*44/12</f>
        <v>0</v>
      </c>
      <c r="FR93" s="23">
        <f>EXP(-LN(2)/25)*FR92+(1-EXP(-LN(2)/25))/(LN(2)/25)*Calculateur!FM93*Calculateur!FO93*VLOOKUP('Données projet'!$B$16,Paramètres!$A$1:$I$89,3,0)*0.475*44/12</f>
        <v>0</v>
      </c>
      <c r="FS93" s="23">
        <f>EXP(-LN(2)/2)*FS92+(1-EXP(-LN(2)/2))/(LN(2)/2)*FM93*FP93*VLOOKUP('Données projet'!$B$16,Paramètres!$A$1:$I$89,3,0)*0.475*44/12</f>
        <v>0</v>
      </c>
      <c r="FT93" s="24">
        <f t="shared" si="78"/>
        <v>0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65.783773670766621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>
        <f>VLOOKUP(A93,'Données projet'!$A$243:$I$263,2,0)</f>
        <v>358</v>
      </c>
      <c r="FX93" s="13">
        <f>VLOOKUP(A93,'Données projet'!$A$243:$I$263,9,0)</f>
        <v>6.6</v>
      </c>
      <c r="FY93" s="13">
        <f t="array" ref="FY93">INDEX(FX:FX,MIN(IF(ISNUMBER(FX93:FX289),ROW(FX93:FX289),"")))</f>
        <v>6.6</v>
      </c>
      <c r="FZ93" s="13">
        <f>IF('Données projet'!$A$244&gt;35,FZ92+FY93-GH92,IF(A93&lt;'Données projet'!$A$244,$FW$205^A93,IF(A93='Données projet'!$A$244,'Données projet'!$B$244,FZ92+FY93-GH92)))</f>
        <v>358.00000000000011</v>
      </c>
      <c r="GA93" s="18">
        <f>FZ93*VLOOKUP('Données projet'!$B$17,Paramètres!$A$1:$I$89,3,0)*VLOOKUP('Données projet'!$B$17,Paramètres!$A$1:$I$89,5,0)</f>
        <v>346.25760000000014</v>
      </c>
      <c r="GB93" s="14">
        <f t="shared" si="103"/>
        <v>80.791430742606195</v>
      </c>
      <c r="GC93" s="22">
        <f t="shared" si="79"/>
        <v>743.77706187670594</v>
      </c>
      <c r="GD93" s="62">
        <f t="shared" si="80"/>
        <v>1021.6508986695169</v>
      </c>
      <c r="GE93" s="62">
        <f ca="1">AVERAGE(OFFSET($GD$3,0,0,'Données projet'!$E$17+1,1))-AVERAGE(OFFSET($H$3,0,0,'Données projet'!$E$17+1,1))</f>
        <v>578.44111602076555</v>
      </c>
      <c r="GF93" s="62">
        <f t="shared" si="104"/>
        <v>368.08542661432784</v>
      </c>
      <c r="GG93" s="16">
        <f>IF(ISNA(VLOOKUP(A93,'Données projet'!$A$243:$I$263,3,0)),0,VLOOKUP(A93,'Données projet'!$A$243:$I$263,3,0))</f>
        <v>8</v>
      </c>
      <c r="GH93" s="16">
        <f>IF(ISNA(VLOOKUP(A93,'Données projet'!$A$243:$I$263,4,0)),0,VLOOKUP(A93,'Données projet'!$A$243:$I$263,4,0))</f>
        <v>56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>
        <f>EXP(-LN(2)/35)*GL92+(1-EXP(-LN(2)/35))/(LN(2)/35)*GH93*GI93*VLOOKUP('Données projet'!$B$17,Paramètres!$A$1:$I$89,3,0)*0.475*44/12</f>
        <v>0</v>
      </c>
      <c r="GM93" s="23">
        <f>EXP(-LN(2)/25)*GM92+(1-EXP(-LN(2)/25))/(LN(2)/25)*Calculateur!GH93*Calculateur!GJ93*VLOOKUP('Données projet'!$B$17,Paramètres!$A$1:$I$89,3,0)*0.475*44/12</f>
        <v>0</v>
      </c>
      <c r="GN93" s="23">
        <f>EXP(-LN(2)/2)*GN92+(1-EXP(-LN(2)/2))/(LN(2)/2)*GH93*GK93*VLOOKUP('Données projet'!$B$17,Paramètres!$A$1:$I$89,3,0)*0.475*44/12</f>
        <v>0</v>
      </c>
      <c r="GO93" s="23">
        <f t="shared" si="81"/>
        <v>0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65.783773670766621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4.0735000000000001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14.936166666666667</v>
      </c>
      <c r="H94" s="70">
        <f t="shared" si="56"/>
        <v>196.922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65.856915771508881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5.9</v>
      </c>
      <c r="N94" s="14">
        <f>IF('Données projet'!$A$36&gt;35,N93+M94-V93,IF(A94&lt;'Données projet'!$A$36,$K$205^A94,IF(A94='Données projet'!$A$36,'Données projet'!$B$36,N93+M94-V93)))</f>
        <v>307.90000000000009</v>
      </c>
      <c r="O94" s="14">
        <f>N94*VLOOKUP('Données projet'!$B$9,Paramètres!$A$1:$I$89,3,0)*VLOOKUP('Données projet'!$B$9,Paramètres!$A$1:$I$89,5,0)</f>
        <v>278.58792000000011</v>
      </c>
      <c r="P94" s="14">
        <f t="shared" si="87"/>
        <v>66.668508032294213</v>
      </c>
      <c r="Q94" s="22">
        <f t="shared" si="54"/>
        <v>601.32161215624581</v>
      </c>
      <c r="R94" s="62">
        <f t="shared" si="55"/>
        <v>879.46363665177842</v>
      </c>
      <c r="S94" s="62">
        <f ca="1">AVERAGE(OFFSET($R$3,0,0,'Données projet'!$E$9+1,1))-AVERAGE(OFFSET($H$3,0,0,'Données projet'!$E$9+1,1))</f>
        <v>546.11281471711925</v>
      </c>
      <c r="T94" s="62">
        <f t="shared" si="88"/>
        <v>348.18069831447099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65.856915771508881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8.9</v>
      </c>
      <c r="AI94" s="14">
        <f>IF('Données projet'!$A$62&gt;35,AI93+AH94-AQ93,IF(A94&lt;'Données projet'!$A$62,$AF$205^A94,IF(A94='Données projet'!$A$62,'Données projet'!$B$62,AI93+AH94-AQ93)))</f>
        <v>458.39999999999986</v>
      </c>
      <c r="AJ94" s="14">
        <f>AI94*VLOOKUP('Données projet'!$B$10,Paramètres!$A$1:$I$89,3,0)*VLOOKUP('Données projet'!$B$10,Paramètres!$A$1:$I$89,5,0)</f>
        <v>393.30719999999991</v>
      </c>
      <c r="AK94" s="14">
        <f t="shared" si="89"/>
        <v>90.418473115705496</v>
      </c>
      <c r="AL94" s="22">
        <f t="shared" si="58"/>
        <v>842.48888067652013</v>
      </c>
      <c r="AM94" s="62">
        <f t="shared" si="59"/>
        <v>1120.6309051720527</v>
      </c>
      <c r="AN94" s="62">
        <f ca="1">AVERAGE(OFFSET($AM$3,0,0,'Données projet'!$E$10+1,1))-AVERAGE(OFFSET($H$3,0,0,'Données projet'!$E$10+1,1))</f>
        <v>693.87994318348024</v>
      </c>
      <c r="AO94" s="62">
        <f t="shared" si="90"/>
        <v>327.71043739333641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65.856915771508881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5.9</v>
      </c>
      <c r="BD94" s="13">
        <f>IF('Données projet'!$A$88&gt;35,BD93+BC94-BL93,IF(A94&lt;'Données projet'!$A$88,$BA$205^A94,IF(A94='Données projet'!$A$88,'Données projet'!$B$88,BD93+BC94-BL93)))</f>
        <v>307.90000000000009</v>
      </c>
      <c r="BE94" s="14">
        <f>BD94*VLOOKUP('Données projet'!$B$11,Paramètres!$A$1:$I$89,3,0)*VLOOKUP('Données projet'!$B$11,Paramètres!$A$1:$I$89,5,0)</f>
        <v>259.3749600000001</v>
      </c>
      <c r="BF94" s="14">
        <f t="shared" si="91"/>
        <v>62.589126028863618</v>
      </c>
      <c r="BG94" s="22">
        <f t="shared" si="61"/>
        <v>560.75411650027092</v>
      </c>
      <c r="BH94" s="62">
        <f t="shared" si="62"/>
        <v>838.89614099580353</v>
      </c>
      <c r="BI94" s="62">
        <f ca="1">AVERAGE(OFFSET($BH$3,0,0,'Données projet'!$E$11+1,1))-AVERAGE(OFFSET($H$3,0,0,'Données projet'!$E$11+1,1))</f>
        <v>513.7388209355762</v>
      </c>
      <c r="BJ94" s="62">
        <f t="shared" si="92"/>
        <v>328.24603121433927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65.856915771508881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4.5474735088646412E-13</v>
      </c>
      <c r="BZ94" s="14">
        <f>BY94*VLOOKUP('Données projet'!$B$12,Paramètres!$A$1:$I$89,3,0)*VLOOKUP('Données projet'!$B$12,Paramètres!$A$1:$I$89,5,0)</f>
        <v>3.6179699236527089E-13</v>
      </c>
      <c r="CA94" s="14">
        <f t="shared" si="93"/>
        <v>4.6796319415916035E-12</v>
      </c>
      <c r="CB94" s="22">
        <f t="shared" si="64"/>
        <v>8.7804887266415556E-12</v>
      </c>
      <c r="CC94" s="62">
        <f t="shared" si="65"/>
        <v>278.14202449554131</v>
      </c>
      <c r="CD94" s="62">
        <f ca="1">AVERAGE(OFFSET($CC$3,0,0,'Données projet'!$E$12+1,1))-AVERAGE(OFFSET($H$3,0,0,'Données projet'!$E$12+1,1))</f>
        <v>447.25854887589878</v>
      </c>
      <c r="CE94" s="62">
        <f t="shared" si="94"/>
        <v>480.13390593590157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65.856915771508881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1.1368683772161603E-13</v>
      </c>
      <c r="CU94" s="18">
        <f>CT94*VLOOKUP('Données projet'!$B$13,Paramètres!$A$1:$I$89,3,0)*VLOOKUP('Données projet'!$B$13,Paramètres!$A$1:$I$89,5,0)</f>
        <v>8.8675733422860506E-14</v>
      </c>
      <c r="CV94" s="14">
        <f t="shared" si="95"/>
        <v>1.3509285393066301E-12</v>
      </c>
      <c r="CW94" s="22">
        <f t="shared" si="67"/>
        <v>2.5073107750038623E-12</v>
      </c>
      <c r="CX94" s="62">
        <f t="shared" si="68"/>
        <v>278.14202449553505</v>
      </c>
      <c r="CY94" s="62">
        <f ca="1">AVERAGE(OFFSET($CX$3,0,0,'Données projet'!$E$13+1,1))-AVERAGE(OFFSET($H$3,0,0,'Données projet'!$E$13+1,1))</f>
        <v>308.52515801950324</v>
      </c>
      <c r="CZ94" s="62">
        <f t="shared" si="96"/>
        <v>299.05420638408953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65.856915771508881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4.5474735088646412E-13</v>
      </c>
      <c r="DP94" s="18">
        <f>DO94*VLOOKUP('Données projet'!$B$14,Paramètres!$A$1:$I$89,3,0)*VLOOKUP('Données projet'!$B$14,Paramètres!$A$1:$I$89,5,0)</f>
        <v>3.3342075766995548E-13</v>
      </c>
      <c r="DQ94" s="14">
        <f t="shared" si="97"/>
        <v>4.3537988100583648E-12</v>
      </c>
      <c r="DR94" s="22">
        <f t="shared" si="70"/>
        <v>8.1635740804601579E-12</v>
      </c>
      <c r="DS94" s="62">
        <f t="shared" si="71"/>
        <v>278.14202449554074</v>
      </c>
      <c r="DT94" s="62">
        <f ca="1">AVERAGE(OFFSET($DS$3,0,0,'Données projet'!$E$14+1,1))-AVERAGE(OFFSET($H$3,0,0,'Données projet'!$E$14+1,1))</f>
        <v>416.72317068678774</v>
      </c>
      <c r="DU94" s="62">
        <f t="shared" si="98"/>
        <v>447.32457429495537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65.856915771508881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3.9743589743589838</v>
      </c>
      <c r="EJ94" s="13">
        <f>IF('Données projet'!$A$192&gt;35,EJ93+EI94-ER93,IF(A94&lt;'Données projet'!$A$192,$EG$205^A94,IF(A94='Données projet'!$A$192,'Données projet'!$B$192,EJ93+EI94-ER93)))</f>
        <v>251.41025641025647</v>
      </c>
      <c r="EK94" s="18">
        <f>EJ94*VLOOKUP('Données projet'!$B$15,Paramètres!$A$1:$I$89,3,0)*VLOOKUP('Données projet'!$B$15,Paramètres!$A$1:$I$89,5,0)</f>
        <v>239.24200000000008</v>
      </c>
      <c r="EL94" s="14">
        <f t="shared" si="99"/>
        <v>58.276413076497654</v>
      </c>
      <c r="EM94" s="22">
        <f t="shared" si="73"/>
        <v>518.17790277490019</v>
      </c>
      <c r="EN94" s="62">
        <f t="shared" si="74"/>
        <v>796.3199272704328</v>
      </c>
      <c r="EO94" s="62">
        <f ca="1">AVERAGE(OFFSET($EN$3,0,0,'Données projet'!$E$15+1,1))-AVERAGE(OFFSET($H$3,0,0,'Données projet'!$E$15+1,1))</f>
        <v>454.78867027701426</v>
      </c>
      <c r="EP94" s="62">
        <f t="shared" si="100"/>
        <v>366.45346303927056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0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65.856915771508881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4.102564102564088</v>
      </c>
      <c r="FE94" s="13">
        <f>IF('Données projet'!$A$218&gt;35,FE93+FD94-FM93,IF(A94&lt;'Données projet'!$A$218,$FB$205^A94,IF(A94='Données projet'!$A$218,'Données projet'!$B$218,FE93+FD94-FM93)))</f>
        <v>318.84615384615392</v>
      </c>
      <c r="FF94" s="18">
        <f>FE94*VLOOKUP('Données projet'!$B$16,Paramètres!$A$1:$I$89,3,0)*VLOOKUP('Données projet'!$B$16,Paramètres!$A$1:$I$89,5,0)</f>
        <v>213.88200000000003</v>
      </c>
      <c r="FG94" s="14">
        <f t="shared" si="101"/>
        <v>52.782993910626054</v>
      </c>
      <c r="FH94" s="22">
        <f t="shared" si="76"/>
        <v>464.44153106100708</v>
      </c>
      <c r="FI94" s="62">
        <f t="shared" si="77"/>
        <v>742.58355555653964</v>
      </c>
      <c r="FJ94" s="62">
        <f ca="1">AVERAGE(OFFSET($FI$3,0,0,'Données projet'!$E$16+1,1))-AVERAGE(OFFSET($H$3,0,0,'Données projet'!$E$16+1,1))</f>
        <v>390.05579539539576</v>
      </c>
      <c r="FK94" s="62">
        <f t="shared" si="102"/>
        <v>323.72278615226139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projet'!$B$16,Paramètres!$A$1:$I$89,3,0)*0.475*44/12</f>
        <v>0</v>
      </c>
      <c r="FR94" s="23">
        <f>EXP(-LN(2)/25)*FR93+(1-EXP(-LN(2)/25))/(LN(2)/25)*Calculateur!FM94*Calculateur!FO94*VLOOKUP('Données projet'!$B$16,Paramètres!$A$1:$I$89,3,0)*0.475*44/12</f>
        <v>0</v>
      </c>
      <c r="FS94" s="23">
        <f>EXP(-LN(2)/2)*FS93+(1-EXP(-LN(2)/2))/(LN(2)/2)*FM94*FP94*VLOOKUP('Données projet'!$B$16,Paramètres!$A$1:$I$89,3,0)*0.475*44/12</f>
        <v>0</v>
      </c>
      <c r="FT94" s="24">
        <f t="shared" si="78"/>
        <v>0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65.856915771508881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5.9</v>
      </c>
      <c r="FZ94" s="13">
        <f>IF('Données projet'!$A$244&gt;35,FZ93+FY94-GH93,IF(A94&lt;'Données projet'!$A$244,$FW$205^A94,IF(A94='Données projet'!$A$244,'Données projet'!$B$244,FZ93+FY94-GH93)))</f>
        <v>307.90000000000009</v>
      </c>
      <c r="GA94" s="18">
        <f>FZ94*VLOOKUP('Données projet'!$B$17,Paramètres!$A$1:$I$89,3,0)*VLOOKUP('Données projet'!$B$17,Paramètres!$A$1:$I$89,5,0)</f>
        <v>297.80088000000012</v>
      </c>
      <c r="GB94" s="14">
        <f t="shared" si="103"/>
        <v>70.715246231293804</v>
      </c>
      <c r="GC94" s="22">
        <f t="shared" si="79"/>
        <v>641.83225318617019</v>
      </c>
      <c r="GD94" s="62">
        <f t="shared" si="80"/>
        <v>919.97427768170269</v>
      </c>
      <c r="GE94" s="62">
        <f ca="1">AVERAGE(OFFSET($GD$3,0,0,'Données projet'!$E$17+1,1))-AVERAGE(OFFSET($H$3,0,0,'Données projet'!$E$17+1,1))</f>
        <v>578.44111602076555</v>
      </c>
      <c r="GF94" s="62">
        <f t="shared" si="104"/>
        <v>368.08542661432784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>
        <f>EXP(-LN(2)/35)*GL93+(1-EXP(-LN(2)/35))/(LN(2)/35)*GH94*GI94*VLOOKUP('Données projet'!$B$17,Paramètres!$A$1:$I$89,3,0)*0.475*44/12</f>
        <v>0</v>
      </c>
      <c r="GM94" s="23">
        <f>EXP(-LN(2)/25)*GM93+(1-EXP(-LN(2)/25))/(LN(2)/25)*Calculateur!GH94*Calculateur!GJ94*VLOOKUP('Données projet'!$B$17,Paramètres!$A$1:$I$89,3,0)*0.475*44/12</f>
        <v>0</v>
      </c>
      <c r="GN94" s="23">
        <f>EXP(-LN(2)/2)*GN93+(1-EXP(-LN(2)/2))/(LN(2)/2)*GH94*GK94*VLOOKUP('Données projet'!$B$17,Paramètres!$A$1:$I$89,3,0)*0.475*44/12</f>
        <v>0</v>
      </c>
      <c r="GO94" s="23">
        <f t="shared" si="81"/>
        <v>0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65.856915771508881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4.0735000000000001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14.936166666666667</v>
      </c>
      <c r="H95" s="70">
        <f t="shared" si="56"/>
        <v>196.922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65.928789020324487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5.9</v>
      </c>
      <c r="N95" s="14">
        <f>IF('Données projet'!$A$36&gt;35,N94+M95-V94,IF(A95&lt;'Données projet'!$A$36,$K$205^A95,IF(A95='Données projet'!$A$36,'Données projet'!$B$36,N94+M95-V94)))</f>
        <v>313.80000000000007</v>
      </c>
      <c r="O95" s="14">
        <f>N95*VLOOKUP('Données projet'!$B$9,Paramètres!$A$1:$I$89,3,0)*VLOOKUP('Données projet'!$B$9,Paramètres!$A$1:$I$89,5,0)</f>
        <v>283.92624000000006</v>
      </c>
      <c r="P95" s="14">
        <f t="shared" si="87"/>
        <v>67.796062628528361</v>
      </c>
      <c r="Q95" s="22">
        <f t="shared" si="54"/>
        <v>612.58301041135371</v>
      </c>
      <c r="R95" s="62">
        <f t="shared" si="55"/>
        <v>890.9885701525435</v>
      </c>
      <c r="S95" s="62">
        <f ca="1">AVERAGE(OFFSET($R$3,0,0,'Données projet'!$E$9+1,1))-AVERAGE(OFFSET($H$3,0,0,'Données projet'!$E$9+1,1))</f>
        <v>546.11281471711925</v>
      </c>
      <c r="T95" s="62">
        <f t="shared" si="88"/>
        <v>348.18069831447099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65.928789020324487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8.9</v>
      </c>
      <c r="AI95" s="14">
        <f>IF('Données projet'!$A$62&gt;35,AI94+AH95-AQ94,IF(A95&lt;'Données projet'!$A$62,$AF$205^A95,IF(A95='Données projet'!$A$62,'Données projet'!$B$62,AI94+AH95-AQ94)))</f>
        <v>467.29999999999984</v>
      </c>
      <c r="AJ95" s="14">
        <f>AI95*VLOOKUP('Données projet'!$B$10,Paramètres!$A$1:$I$89,3,0)*VLOOKUP('Données projet'!$B$10,Paramètres!$A$1:$I$89,5,0)</f>
        <v>400.94339999999988</v>
      </c>
      <c r="AK95" s="14">
        <f t="shared" si="89"/>
        <v>91.967898863116829</v>
      </c>
      <c r="AL95" s="22">
        <f t="shared" si="58"/>
        <v>858.48717885326153</v>
      </c>
      <c r="AM95" s="62">
        <f t="shared" si="59"/>
        <v>1136.8927385944512</v>
      </c>
      <c r="AN95" s="62">
        <f ca="1">AVERAGE(OFFSET($AM$3,0,0,'Données projet'!$E$10+1,1))-AVERAGE(OFFSET($H$3,0,0,'Données projet'!$E$10+1,1))</f>
        <v>693.87994318348024</v>
      </c>
      <c r="AO95" s="62">
        <f t="shared" si="90"/>
        <v>327.71043739333641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65.928789020324487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5.9</v>
      </c>
      <c r="BD95" s="13">
        <f>IF('Données projet'!$A$88&gt;35,BD94+BC95-BL94,IF(A95&lt;'Données projet'!$A$88,$BA$205^A95,IF(A95='Données projet'!$A$88,'Données projet'!$B$88,BD94+BC95-BL94)))</f>
        <v>313.80000000000007</v>
      </c>
      <c r="BE95" s="14">
        <f>BD95*VLOOKUP('Données projet'!$B$11,Paramètres!$A$1:$I$89,3,0)*VLOOKUP('Données projet'!$B$11,Paramètres!$A$1:$I$89,5,0)</f>
        <v>264.34512000000012</v>
      </c>
      <c r="BF95" s="14">
        <f t="shared" si="91"/>
        <v>63.64768664182855</v>
      </c>
      <c r="BG95" s="22">
        <f t="shared" si="61"/>
        <v>571.25413823451822</v>
      </c>
      <c r="BH95" s="62">
        <f t="shared" si="62"/>
        <v>849.65969797570801</v>
      </c>
      <c r="BI95" s="62">
        <f ca="1">AVERAGE(OFFSET($BH$3,0,0,'Données projet'!$E$11+1,1))-AVERAGE(OFFSET($H$3,0,0,'Données projet'!$E$11+1,1))</f>
        <v>513.7388209355762</v>
      </c>
      <c r="BJ95" s="62">
        <f t="shared" si="92"/>
        <v>328.24603121433927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65.928789020324487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4.5474735088646412E-13</v>
      </c>
      <c r="BZ95" s="14">
        <f>BY95*VLOOKUP('Données projet'!$B$12,Paramètres!$A$1:$I$89,3,0)*VLOOKUP('Données projet'!$B$12,Paramètres!$A$1:$I$89,5,0)</f>
        <v>3.6179699236527089E-13</v>
      </c>
      <c r="CA95" s="14">
        <f t="shared" si="93"/>
        <v>4.6796319415916035E-12</v>
      </c>
      <c r="CB95" s="22">
        <f t="shared" si="64"/>
        <v>8.7804887266415556E-12</v>
      </c>
      <c r="CC95" s="62">
        <f t="shared" si="65"/>
        <v>278.40555974119854</v>
      </c>
      <c r="CD95" s="62">
        <f ca="1">AVERAGE(OFFSET($CC$3,0,0,'Données projet'!$E$12+1,1))-AVERAGE(OFFSET($H$3,0,0,'Données projet'!$E$12+1,1))</f>
        <v>447.25854887589878</v>
      </c>
      <c r="CE95" s="62">
        <f t="shared" si="94"/>
        <v>480.13390593590157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65.928789020324487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1.1368683772161603E-13</v>
      </c>
      <c r="CU95" s="18">
        <f>CT95*VLOOKUP('Données projet'!$B$13,Paramètres!$A$1:$I$89,3,0)*VLOOKUP('Données projet'!$B$13,Paramètres!$A$1:$I$89,5,0)</f>
        <v>8.8675733422860506E-14</v>
      </c>
      <c r="CV95" s="14">
        <f t="shared" si="95"/>
        <v>1.3509285393066301E-12</v>
      </c>
      <c r="CW95" s="22">
        <f t="shared" si="67"/>
        <v>2.5073107750038623E-12</v>
      </c>
      <c r="CX95" s="62">
        <f t="shared" si="68"/>
        <v>278.40555974119229</v>
      </c>
      <c r="CY95" s="62">
        <f ca="1">AVERAGE(OFFSET($CX$3,0,0,'Données projet'!$E$13+1,1))-AVERAGE(OFFSET($H$3,0,0,'Données projet'!$E$13+1,1))</f>
        <v>308.52515801950324</v>
      </c>
      <c r="CZ95" s="62">
        <f t="shared" si="96"/>
        <v>299.05420638408953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65.928789020324487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4.5474735088646412E-13</v>
      </c>
      <c r="DP95" s="18">
        <f>DO95*VLOOKUP('Données projet'!$B$14,Paramètres!$A$1:$I$89,3,0)*VLOOKUP('Données projet'!$B$14,Paramètres!$A$1:$I$89,5,0)</f>
        <v>3.3342075766995548E-13</v>
      </c>
      <c r="DQ95" s="14">
        <f t="shared" si="97"/>
        <v>4.3537988100583648E-12</v>
      </c>
      <c r="DR95" s="22">
        <f t="shared" si="70"/>
        <v>8.1635740804601579E-12</v>
      </c>
      <c r="DS95" s="62">
        <f t="shared" si="71"/>
        <v>278.40555974119798</v>
      </c>
      <c r="DT95" s="62">
        <f ca="1">AVERAGE(OFFSET($DS$3,0,0,'Données projet'!$E$14+1,1))-AVERAGE(OFFSET($H$3,0,0,'Données projet'!$E$14+1,1))</f>
        <v>416.72317068678774</v>
      </c>
      <c r="DU95" s="62">
        <f t="shared" si="98"/>
        <v>447.32457429495537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65.928789020324487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3.9743589743589838</v>
      </c>
      <c r="EJ95" s="13">
        <f>IF('Données projet'!$A$192&gt;35,EJ94+EI95-ER94,IF(A95&lt;'Données projet'!$A$192,$EG$205^A95,IF(A95='Données projet'!$A$192,'Données projet'!$B$192,EJ94+EI95-ER94)))</f>
        <v>255.38461538461544</v>
      </c>
      <c r="EK95" s="18">
        <f>EJ95*VLOOKUP('Données projet'!$B$15,Paramètres!$A$1:$I$89,3,0)*VLOOKUP('Données projet'!$B$15,Paramètres!$A$1:$I$89,5,0)</f>
        <v>243.02400000000006</v>
      </c>
      <c r="EL95" s="14">
        <f t="shared" si="99"/>
        <v>59.089683916890714</v>
      </c>
      <c r="EM95" s="22">
        <f t="shared" si="73"/>
        <v>526.18133282191809</v>
      </c>
      <c r="EN95" s="62">
        <f t="shared" si="74"/>
        <v>804.58689256310788</v>
      </c>
      <c r="EO95" s="62">
        <f ca="1">AVERAGE(OFFSET($EN$3,0,0,'Données projet'!$E$15+1,1))-AVERAGE(OFFSET($H$3,0,0,'Données projet'!$E$15+1,1))</f>
        <v>454.78867027701426</v>
      </c>
      <c r="EP95" s="62">
        <f t="shared" si="100"/>
        <v>366.45346303927056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0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65.928789020324487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4.102564102564088</v>
      </c>
      <c r="FE95" s="13">
        <f>IF('Données projet'!$A$218&gt;35,FE94+FD95-FM94,IF(A95&lt;'Données projet'!$A$218,$FB$205^A95,IF(A95='Données projet'!$A$218,'Données projet'!$B$218,FE94+FD95-FM94)))</f>
        <v>322.94871794871801</v>
      </c>
      <c r="FF95" s="18">
        <f>FE95*VLOOKUP('Données projet'!$B$16,Paramètres!$A$1:$I$89,3,0)*VLOOKUP('Données projet'!$B$16,Paramètres!$A$1:$I$89,5,0)</f>
        <v>216.63400000000004</v>
      </c>
      <c r="FG95" s="14">
        <f t="shared" si="101"/>
        <v>53.382647066119048</v>
      </c>
      <c r="FH95" s="22">
        <f t="shared" si="76"/>
        <v>470.27899364015747</v>
      </c>
      <c r="FI95" s="62">
        <f t="shared" si="77"/>
        <v>748.68455338134731</v>
      </c>
      <c r="FJ95" s="62">
        <f ca="1">AVERAGE(OFFSET($FI$3,0,0,'Données projet'!$E$16+1,1))-AVERAGE(OFFSET($H$3,0,0,'Données projet'!$E$16+1,1))</f>
        <v>390.05579539539576</v>
      </c>
      <c r="FK95" s="62">
        <f t="shared" si="102"/>
        <v>323.72278615226139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projet'!$B$16,Paramètres!$A$1:$I$89,3,0)*0.475*44/12</f>
        <v>0</v>
      </c>
      <c r="FR95" s="23">
        <f>EXP(-LN(2)/25)*FR94+(1-EXP(-LN(2)/25))/(LN(2)/25)*Calculateur!FM95*Calculateur!FO95*VLOOKUP('Données projet'!$B$16,Paramètres!$A$1:$I$89,3,0)*0.475*44/12</f>
        <v>0</v>
      </c>
      <c r="FS95" s="23">
        <f>EXP(-LN(2)/2)*FS94+(1-EXP(-LN(2)/2))/(LN(2)/2)*FM95*FP95*VLOOKUP('Données projet'!$B$16,Paramètres!$A$1:$I$89,3,0)*0.475*44/12</f>
        <v>0</v>
      </c>
      <c r="FT95" s="24">
        <f t="shared" si="78"/>
        <v>0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65.928789020324487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5.9</v>
      </c>
      <c r="FZ95" s="13">
        <f>IF('Données projet'!$A$244&gt;35,FZ94+FY95-GH94,IF(A95&lt;'Données projet'!$A$244,$FW$205^A95,IF(A95='Données projet'!$A$244,'Données projet'!$B$244,FZ94+FY95-GH94)))</f>
        <v>313.80000000000007</v>
      </c>
      <c r="GA95" s="18">
        <f>FZ95*VLOOKUP('Données projet'!$B$17,Paramètres!$A$1:$I$89,3,0)*VLOOKUP('Données projet'!$B$17,Paramètres!$A$1:$I$89,5,0)</f>
        <v>303.50736000000006</v>
      </c>
      <c r="GB95" s="14">
        <f t="shared" si="103"/>
        <v>71.911242710970484</v>
      </c>
      <c r="GC95" s="22">
        <f t="shared" si="79"/>
        <v>653.85406638827374</v>
      </c>
      <c r="GD95" s="62">
        <f t="shared" si="80"/>
        <v>932.25962612946353</v>
      </c>
      <c r="GE95" s="62">
        <f ca="1">AVERAGE(OFFSET($GD$3,0,0,'Données projet'!$E$17+1,1))-AVERAGE(OFFSET($H$3,0,0,'Données projet'!$E$17+1,1))</f>
        <v>578.44111602076555</v>
      </c>
      <c r="GF95" s="62">
        <f t="shared" si="104"/>
        <v>368.08542661432784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>
        <f>EXP(-LN(2)/35)*GL94+(1-EXP(-LN(2)/35))/(LN(2)/35)*GH95*GI95*VLOOKUP('Données projet'!$B$17,Paramètres!$A$1:$I$89,3,0)*0.475*44/12</f>
        <v>0</v>
      </c>
      <c r="GM95" s="23">
        <f>EXP(-LN(2)/25)*GM94+(1-EXP(-LN(2)/25))/(LN(2)/25)*Calculateur!GH95*Calculateur!GJ95*VLOOKUP('Données projet'!$B$17,Paramètres!$A$1:$I$89,3,0)*0.475*44/12</f>
        <v>0</v>
      </c>
      <c r="GN95" s="23">
        <f>EXP(-LN(2)/2)*GN94+(1-EXP(-LN(2)/2))/(LN(2)/2)*GH95*GK95*VLOOKUP('Données projet'!$B$17,Paramètres!$A$1:$I$89,3,0)*0.475*44/12</f>
        <v>0</v>
      </c>
      <c r="GO95" s="23">
        <f t="shared" si="81"/>
        <v>0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65.928789020324487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4.0735000000000001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14.936166666666667</v>
      </c>
      <c r="H96" s="70">
        <f t="shared" si="56"/>
        <v>196.922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65.999415428957661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5.9</v>
      </c>
      <c r="N96" s="14">
        <f>IF('Données projet'!$A$36&gt;35,N95+M96-V95,IF(A96&lt;'Données projet'!$A$36,$K$205^A96,IF(A96='Données projet'!$A$36,'Données projet'!$B$36,N95+M96-V95)))</f>
        <v>319.70000000000005</v>
      </c>
      <c r="O96" s="14">
        <f>N96*VLOOKUP('Données projet'!$B$9,Paramètres!$A$1:$I$89,3,0)*VLOOKUP('Données projet'!$B$9,Paramètres!$A$1:$I$89,5,0)</f>
        <v>289.26456000000002</v>
      </c>
      <c r="P96" s="14">
        <f t="shared" si="87"/>
        <v>68.921152085057912</v>
      </c>
      <c r="Q96" s="22">
        <f t="shared" si="54"/>
        <v>623.84011521480932</v>
      </c>
      <c r="R96" s="62">
        <f t="shared" si="55"/>
        <v>902.50463845432068</v>
      </c>
      <c r="S96" s="62">
        <f ca="1">AVERAGE(OFFSET($R$3,0,0,'Données projet'!$E$9+1,1))-AVERAGE(OFFSET($H$3,0,0,'Données projet'!$E$9+1,1))</f>
        <v>546.11281471711925</v>
      </c>
      <c r="T96" s="62">
        <f t="shared" si="88"/>
        <v>348.18069831447099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65.999415428957661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8.9</v>
      </c>
      <c r="AI96" s="14">
        <f>IF('Données projet'!$A$62&gt;35,AI95+AH96-AQ95,IF(A96&lt;'Données projet'!$A$62,$AF$205^A96,IF(A96='Données projet'!$A$62,'Données projet'!$B$62,AI95+AH96-AQ95)))</f>
        <v>476.19999999999982</v>
      </c>
      <c r="AJ96" s="14">
        <f>AI96*VLOOKUP('Données projet'!$B$10,Paramètres!$A$1:$I$89,3,0)*VLOOKUP('Données projet'!$B$10,Paramètres!$A$1:$I$89,5,0)</f>
        <v>408.57959999999986</v>
      </c>
      <c r="AK96" s="14">
        <f t="shared" si="89"/>
        <v>93.513893265221384</v>
      </c>
      <c r="AL96" s="22">
        <f t="shared" si="58"/>
        <v>874.47950077026019</v>
      </c>
      <c r="AM96" s="62">
        <f t="shared" si="59"/>
        <v>1153.1440240097716</v>
      </c>
      <c r="AN96" s="62">
        <f ca="1">AVERAGE(OFFSET($AM$3,0,0,'Données projet'!$E$10+1,1))-AVERAGE(OFFSET($H$3,0,0,'Données projet'!$E$10+1,1))</f>
        <v>693.87994318348024</v>
      </c>
      <c r="AO96" s="62">
        <f t="shared" si="90"/>
        <v>327.71043739333641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65.999415428957661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5.9</v>
      </c>
      <c r="BD96" s="13">
        <f>IF('Données projet'!$A$88&gt;35,BD95+BC96-BL95,IF(A96&lt;'Données projet'!$A$88,$BA$205^A96,IF(A96='Données projet'!$A$88,'Données projet'!$B$88,BD95+BC96-BL95)))</f>
        <v>319.70000000000005</v>
      </c>
      <c r="BE96" s="14">
        <f>BD96*VLOOKUP('Données projet'!$B$11,Paramètres!$A$1:$I$89,3,0)*VLOOKUP('Données projet'!$B$11,Paramètres!$A$1:$I$89,5,0)</f>
        <v>269.31528000000009</v>
      </c>
      <c r="BF96" s="14">
        <f t="shared" si="91"/>
        <v>64.703932954620839</v>
      </c>
      <c r="BG96" s="22">
        <f t="shared" si="61"/>
        <v>581.75012922929807</v>
      </c>
      <c r="BH96" s="62">
        <f t="shared" si="62"/>
        <v>860.41465246880944</v>
      </c>
      <c r="BI96" s="62">
        <f ca="1">AVERAGE(OFFSET($BH$3,0,0,'Données projet'!$E$11+1,1))-AVERAGE(OFFSET($H$3,0,0,'Données projet'!$E$11+1,1))</f>
        <v>513.7388209355762</v>
      </c>
      <c r="BJ96" s="62">
        <f t="shared" si="92"/>
        <v>328.24603121433927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65.999415428957661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4.5474735088646412E-13</v>
      </c>
      <c r="BZ96" s="14">
        <f>BY96*VLOOKUP('Données projet'!$B$12,Paramètres!$A$1:$I$89,3,0)*VLOOKUP('Données projet'!$B$12,Paramètres!$A$1:$I$89,5,0)</f>
        <v>3.6179699236527089E-13</v>
      </c>
      <c r="CA96" s="14">
        <f t="shared" si="93"/>
        <v>4.6796319415916035E-12</v>
      </c>
      <c r="CB96" s="22">
        <f t="shared" si="64"/>
        <v>8.7804887266415556E-12</v>
      </c>
      <c r="CC96" s="62">
        <f t="shared" si="65"/>
        <v>278.66452323952018</v>
      </c>
      <c r="CD96" s="62">
        <f ca="1">AVERAGE(OFFSET($CC$3,0,0,'Données projet'!$E$12+1,1))-AVERAGE(OFFSET($H$3,0,0,'Données projet'!$E$12+1,1))</f>
        <v>447.25854887589878</v>
      </c>
      <c r="CE96" s="62">
        <f t="shared" si="94"/>
        <v>480.13390593590157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65.999415428957661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1.1368683772161603E-13</v>
      </c>
      <c r="CU96" s="18">
        <f>CT96*VLOOKUP('Données projet'!$B$13,Paramètres!$A$1:$I$89,3,0)*VLOOKUP('Données projet'!$B$13,Paramètres!$A$1:$I$89,5,0)</f>
        <v>8.8675733422860506E-14</v>
      </c>
      <c r="CV96" s="14">
        <f t="shared" si="95"/>
        <v>1.3509285393066301E-12</v>
      </c>
      <c r="CW96" s="22">
        <f t="shared" si="67"/>
        <v>2.5073107750038623E-12</v>
      </c>
      <c r="CX96" s="62">
        <f t="shared" si="68"/>
        <v>278.66452323951393</v>
      </c>
      <c r="CY96" s="62">
        <f ca="1">AVERAGE(OFFSET($CX$3,0,0,'Données projet'!$E$13+1,1))-AVERAGE(OFFSET($H$3,0,0,'Données projet'!$E$13+1,1))</f>
        <v>308.52515801950324</v>
      </c>
      <c r="CZ96" s="62">
        <f t="shared" si="96"/>
        <v>299.05420638408953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65.999415428957661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4.5474735088646412E-13</v>
      </c>
      <c r="DP96" s="18">
        <f>DO96*VLOOKUP('Données projet'!$B$14,Paramètres!$A$1:$I$89,3,0)*VLOOKUP('Données projet'!$B$14,Paramètres!$A$1:$I$89,5,0)</f>
        <v>3.3342075766995548E-13</v>
      </c>
      <c r="DQ96" s="14">
        <f t="shared" si="97"/>
        <v>4.3537988100583648E-12</v>
      </c>
      <c r="DR96" s="22">
        <f t="shared" si="70"/>
        <v>8.1635740804601579E-12</v>
      </c>
      <c r="DS96" s="62">
        <f t="shared" si="71"/>
        <v>278.66452323951961</v>
      </c>
      <c r="DT96" s="62">
        <f ca="1">AVERAGE(OFFSET($DS$3,0,0,'Données projet'!$E$14+1,1))-AVERAGE(OFFSET($H$3,0,0,'Données projet'!$E$14+1,1))</f>
        <v>416.72317068678774</v>
      </c>
      <c r="DU96" s="62">
        <f t="shared" si="98"/>
        <v>447.32457429495537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65.999415428957661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3.9743589743589838</v>
      </c>
      <c r="EJ96" s="13">
        <f>IF('Données projet'!$A$192&gt;35,EJ95+EI96-ER95,IF(A96&lt;'Données projet'!$A$192,$EG$205^A96,IF(A96='Données projet'!$A$192,'Données projet'!$B$192,EJ95+EI96-ER95)))</f>
        <v>259.35897435897442</v>
      </c>
      <c r="EK96" s="18">
        <f>EJ96*VLOOKUP('Données projet'!$B$15,Paramètres!$A$1:$I$89,3,0)*VLOOKUP('Données projet'!$B$15,Paramètres!$A$1:$I$89,5,0)</f>
        <v>246.80600000000004</v>
      </c>
      <c r="EL96" s="14">
        <f t="shared" si="99"/>
        <v>59.901482831934111</v>
      </c>
      <c r="EM96" s="22">
        <f t="shared" si="73"/>
        <v>534.18219926561858</v>
      </c>
      <c r="EN96" s="62">
        <f t="shared" si="74"/>
        <v>812.84672250512995</v>
      </c>
      <c r="EO96" s="62">
        <f ca="1">AVERAGE(OFFSET($EN$3,0,0,'Données projet'!$E$15+1,1))-AVERAGE(OFFSET($H$3,0,0,'Données projet'!$E$15+1,1))</f>
        <v>454.78867027701426</v>
      </c>
      <c r="EP96" s="62">
        <f t="shared" si="100"/>
        <v>366.45346303927056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0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65.999415428957661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4.102564102564088</v>
      </c>
      <c r="FE96" s="13">
        <f>IF('Données projet'!$A$218&gt;35,FE95+FD96-FM95,IF(A96&lt;'Données projet'!$A$218,$FB$205^A96,IF(A96='Données projet'!$A$218,'Données projet'!$B$218,FE95+FD96-FM95)))</f>
        <v>327.0512820512821</v>
      </c>
      <c r="FF96" s="18">
        <f>FE96*VLOOKUP('Données projet'!$B$16,Paramètres!$A$1:$I$89,3,0)*VLOOKUP('Données projet'!$B$16,Paramètres!$A$1:$I$89,5,0)</f>
        <v>219.38600000000002</v>
      </c>
      <c r="FG96" s="14">
        <f t="shared" si="101"/>
        <v>53.981414155321495</v>
      </c>
      <c r="FH96" s="22">
        <f t="shared" si="76"/>
        <v>476.11491298718494</v>
      </c>
      <c r="FI96" s="62">
        <f t="shared" si="77"/>
        <v>754.77943622669636</v>
      </c>
      <c r="FJ96" s="62">
        <f ca="1">AVERAGE(OFFSET($FI$3,0,0,'Données projet'!$E$16+1,1))-AVERAGE(OFFSET($H$3,0,0,'Données projet'!$E$16+1,1))</f>
        <v>390.05579539539576</v>
      </c>
      <c r="FK96" s="62">
        <f t="shared" si="102"/>
        <v>323.72278615226139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projet'!$B$16,Paramètres!$A$1:$I$89,3,0)*0.475*44/12</f>
        <v>0</v>
      </c>
      <c r="FR96" s="23">
        <f>EXP(-LN(2)/25)*FR95+(1-EXP(-LN(2)/25))/(LN(2)/25)*Calculateur!FM96*Calculateur!FO96*VLOOKUP('Données projet'!$B$16,Paramètres!$A$1:$I$89,3,0)*0.475*44/12</f>
        <v>0</v>
      </c>
      <c r="FS96" s="23">
        <f>EXP(-LN(2)/2)*FS95+(1-EXP(-LN(2)/2))/(LN(2)/2)*FM96*FP96*VLOOKUP('Données projet'!$B$16,Paramètres!$A$1:$I$89,3,0)*0.475*44/12</f>
        <v>0</v>
      </c>
      <c r="FT96" s="24">
        <f t="shared" si="78"/>
        <v>0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65.999415428957661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5.9</v>
      </c>
      <c r="FZ96" s="13">
        <f>IF('Données projet'!$A$244&gt;35,FZ95+FY96-GH95,IF(A96&lt;'Données projet'!$A$244,$FW$205^A96,IF(A96='Données projet'!$A$244,'Données projet'!$B$244,FZ95+FY96-GH95)))</f>
        <v>319.70000000000005</v>
      </c>
      <c r="GA96" s="18">
        <f>FZ96*VLOOKUP('Données projet'!$B$17,Paramètres!$A$1:$I$89,3,0)*VLOOKUP('Données projet'!$B$17,Paramètres!$A$1:$I$89,5,0)</f>
        <v>309.21384000000006</v>
      </c>
      <c r="GB96" s="14">
        <f t="shared" si="103"/>
        <v>73.104624418450499</v>
      </c>
      <c r="GC96" s="22">
        <f t="shared" si="79"/>
        <v>665.87132552880132</v>
      </c>
      <c r="GD96" s="62">
        <f t="shared" si="80"/>
        <v>944.53584876831269</v>
      </c>
      <c r="GE96" s="62">
        <f ca="1">AVERAGE(OFFSET($GD$3,0,0,'Données projet'!$E$17+1,1))-AVERAGE(OFFSET($H$3,0,0,'Données projet'!$E$17+1,1))</f>
        <v>578.44111602076555</v>
      </c>
      <c r="GF96" s="62">
        <f t="shared" si="104"/>
        <v>368.08542661432784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>
        <f>EXP(-LN(2)/35)*GL95+(1-EXP(-LN(2)/35))/(LN(2)/35)*GH96*GI96*VLOOKUP('Données projet'!$B$17,Paramètres!$A$1:$I$89,3,0)*0.475*44/12</f>
        <v>0</v>
      </c>
      <c r="GM96" s="23">
        <f>EXP(-LN(2)/25)*GM95+(1-EXP(-LN(2)/25))/(LN(2)/25)*Calculateur!GH96*Calculateur!GJ96*VLOOKUP('Données projet'!$B$17,Paramètres!$A$1:$I$89,3,0)*0.475*44/12</f>
        <v>0</v>
      </c>
      <c r="GN96" s="23">
        <f>EXP(-LN(2)/2)*GN95+(1-EXP(-LN(2)/2))/(LN(2)/2)*GH96*GK96*VLOOKUP('Données projet'!$B$17,Paramètres!$A$1:$I$89,3,0)*0.475*44/12</f>
        <v>0</v>
      </c>
      <c r="GO96" s="23">
        <f t="shared" si="81"/>
        <v>0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65.999415428957661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4.0735000000000001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14.936166666666667</v>
      </c>
      <c r="H97" s="70">
        <f t="shared" si="56"/>
        <v>196.922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66.068816627298062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5.9</v>
      </c>
      <c r="N97" s="14">
        <f>IF('Données projet'!$A$36&gt;35,N96+M97-V96,IF(A97&lt;'Données projet'!$A$36,$K$205^A97,IF(A97='Données projet'!$A$36,'Données projet'!$B$36,N96+M97-V96)))</f>
        <v>325.60000000000002</v>
      </c>
      <c r="O97" s="14">
        <f>N97*VLOOKUP('Données projet'!$B$9,Paramètres!$A$1:$I$89,3,0)*VLOOKUP('Données projet'!$B$9,Paramètres!$A$1:$I$89,5,0)</f>
        <v>294.60288000000003</v>
      </c>
      <c r="P97" s="14">
        <f t="shared" si="87"/>
        <v>70.043827142305744</v>
      </c>
      <c r="Q97" s="22">
        <f t="shared" si="54"/>
        <v>635.09301493951591</v>
      </c>
      <c r="R97" s="62">
        <f t="shared" si="55"/>
        <v>914.0120092396088</v>
      </c>
      <c r="S97" s="62">
        <f ca="1">AVERAGE(OFFSET($R$3,0,0,'Données projet'!$E$9+1,1))-AVERAGE(OFFSET($H$3,0,0,'Données projet'!$E$9+1,1))</f>
        <v>546.11281471711925</v>
      </c>
      <c r="T97" s="62">
        <f t="shared" si="88"/>
        <v>348.18069831447099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66.068816627298062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8.9</v>
      </c>
      <c r="AI97" s="14">
        <f>IF('Données projet'!$A$62&gt;35,AI96+AH97-AQ96,IF(A97&lt;'Données projet'!$A$62,$AF$205^A97,IF(A97='Données projet'!$A$62,'Données projet'!$B$62,AI96+AH97-AQ96)))</f>
        <v>485.0999999999998</v>
      </c>
      <c r="AJ97" s="14">
        <f>AI97*VLOOKUP('Données projet'!$B$10,Paramètres!$A$1:$I$89,3,0)*VLOOKUP('Données projet'!$B$10,Paramètres!$A$1:$I$89,5,0)</f>
        <v>416.21579999999983</v>
      </c>
      <c r="AK97" s="14">
        <f t="shared" si="89"/>
        <v>95.056527847955991</v>
      </c>
      <c r="AL97" s="22">
        <f t="shared" si="58"/>
        <v>890.46597100185636</v>
      </c>
      <c r="AM97" s="62">
        <f t="shared" si="59"/>
        <v>1169.3849653019493</v>
      </c>
      <c r="AN97" s="62">
        <f ca="1">AVERAGE(OFFSET($AM$3,0,0,'Données projet'!$E$10+1,1))-AVERAGE(OFFSET($H$3,0,0,'Données projet'!$E$10+1,1))</f>
        <v>693.87994318348024</v>
      </c>
      <c r="AO97" s="62">
        <f t="shared" si="90"/>
        <v>327.71043739333641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66.068816627298062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5.9</v>
      </c>
      <c r="BD97" s="13">
        <f>IF('Données projet'!$A$88&gt;35,BD96+BC97-BL96,IF(A97&lt;'Données projet'!$A$88,$BA$205^A97,IF(A97='Données projet'!$A$88,'Données projet'!$B$88,BD96+BC97-BL96)))</f>
        <v>325.60000000000002</v>
      </c>
      <c r="BE97" s="14">
        <f>BD97*VLOOKUP('Données projet'!$B$11,Paramètres!$A$1:$I$89,3,0)*VLOOKUP('Données projet'!$B$11,Paramètres!$A$1:$I$89,5,0)</f>
        <v>274.28544000000005</v>
      </c>
      <c r="BF97" s="14">
        <f t="shared" si="91"/>
        <v>65.75791260290552</v>
      </c>
      <c r="BG97" s="22">
        <f t="shared" si="61"/>
        <v>592.24217245006048</v>
      </c>
      <c r="BH97" s="62">
        <f t="shared" si="62"/>
        <v>871.16116675015337</v>
      </c>
      <c r="BI97" s="62">
        <f ca="1">AVERAGE(OFFSET($BH$3,0,0,'Données projet'!$E$11+1,1))-AVERAGE(OFFSET($H$3,0,0,'Données projet'!$E$11+1,1))</f>
        <v>513.7388209355762</v>
      </c>
      <c r="BJ97" s="62">
        <f t="shared" si="92"/>
        <v>328.24603121433927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66.068816627298062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4.5474735088646412E-13</v>
      </c>
      <c r="BZ97" s="14">
        <f>BY97*VLOOKUP('Données projet'!$B$12,Paramètres!$A$1:$I$89,3,0)*VLOOKUP('Données projet'!$B$12,Paramètres!$A$1:$I$89,5,0)</f>
        <v>3.6179699236527089E-13</v>
      </c>
      <c r="CA97" s="14">
        <f t="shared" si="93"/>
        <v>4.6796319415916035E-12</v>
      </c>
      <c r="CB97" s="22">
        <f t="shared" si="64"/>
        <v>8.7804887266415556E-12</v>
      </c>
      <c r="CC97" s="62">
        <f t="shared" si="65"/>
        <v>278.91899430010164</v>
      </c>
      <c r="CD97" s="62">
        <f ca="1">AVERAGE(OFFSET($CC$3,0,0,'Données projet'!$E$12+1,1))-AVERAGE(OFFSET($H$3,0,0,'Données projet'!$E$12+1,1))</f>
        <v>447.25854887589878</v>
      </c>
      <c r="CE97" s="62">
        <f t="shared" si="94"/>
        <v>480.13390593590157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66.068816627298062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1.1368683772161603E-13</v>
      </c>
      <c r="CU97" s="18">
        <f>CT97*VLOOKUP('Données projet'!$B$13,Paramètres!$A$1:$I$89,3,0)*VLOOKUP('Données projet'!$B$13,Paramètres!$A$1:$I$89,5,0)</f>
        <v>8.8675733422860506E-14</v>
      </c>
      <c r="CV97" s="14">
        <f t="shared" si="95"/>
        <v>1.3509285393066301E-12</v>
      </c>
      <c r="CW97" s="22">
        <f t="shared" si="67"/>
        <v>2.5073107750038623E-12</v>
      </c>
      <c r="CX97" s="62">
        <f t="shared" si="68"/>
        <v>278.91899430009539</v>
      </c>
      <c r="CY97" s="62">
        <f ca="1">AVERAGE(OFFSET($CX$3,0,0,'Données projet'!$E$13+1,1))-AVERAGE(OFFSET($H$3,0,0,'Données projet'!$E$13+1,1))</f>
        <v>308.52515801950324</v>
      </c>
      <c r="CZ97" s="62">
        <f t="shared" si="96"/>
        <v>299.05420638408953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66.068816627298062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4.5474735088646412E-13</v>
      </c>
      <c r="DP97" s="18">
        <f>DO97*VLOOKUP('Données projet'!$B$14,Paramètres!$A$1:$I$89,3,0)*VLOOKUP('Données projet'!$B$14,Paramètres!$A$1:$I$89,5,0)</f>
        <v>3.3342075766995548E-13</v>
      </c>
      <c r="DQ97" s="14">
        <f t="shared" si="97"/>
        <v>4.3537988100583648E-12</v>
      </c>
      <c r="DR97" s="22">
        <f t="shared" si="70"/>
        <v>8.1635740804601579E-12</v>
      </c>
      <c r="DS97" s="62">
        <f t="shared" si="71"/>
        <v>278.91899430010108</v>
      </c>
      <c r="DT97" s="62">
        <f ca="1">AVERAGE(OFFSET($DS$3,0,0,'Données projet'!$E$14+1,1))-AVERAGE(OFFSET($H$3,0,0,'Données projet'!$E$14+1,1))</f>
        <v>416.72317068678774</v>
      </c>
      <c r="DU97" s="62">
        <f t="shared" si="98"/>
        <v>447.32457429495537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66.068816627298062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3.9743589743589838</v>
      </c>
      <c r="EJ97" s="13">
        <f>IF('Données projet'!$A$192&gt;35,EJ96+EI97-ER96,IF(A97&lt;'Données projet'!$A$192,$EG$205^A97,IF(A97='Données projet'!$A$192,'Données projet'!$B$192,EJ96+EI97-ER96)))</f>
        <v>263.33333333333343</v>
      </c>
      <c r="EK97" s="18">
        <f>EJ97*VLOOKUP('Données projet'!$B$15,Paramètres!$A$1:$I$89,3,0)*VLOOKUP('Données projet'!$B$15,Paramètres!$A$1:$I$89,5,0)</f>
        <v>250.58800000000008</v>
      </c>
      <c r="EL97" s="14">
        <f t="shared" si="99"/>
        <v>60.71183498207705</v>
      </c>
      <c r="EM97" s="22">
        <f t="shared" si="73"/>
        <v>542.18054592711769</v>
      </c>
      <c r="EN97" s="62">
        <f t="shared" si="74"/>
        <v>821.09954022721058</v>
      </c>
      <c r="EO97" s="62">
        <f ca="1">AVERAGE(OFFSET($EN$3,0,0,'Données projet'!$E$15+1,1))-AVERAGE(OFFSET($H$3,0,0,'Données projet'!$E$15+1,1))</f>
        <v>454.78867027701426</v>
      </c>
      <c r="EP97" s="62">
        <f t="shared" si="100"/>
        <v>366.45346303927056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0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66.068816627298062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4.102564102564088</v>
      </c>
      <c r="FE97" s="13">
        <f>IF('Données projet'!$A$218&gt;35,FE96+FD97-FM96,IF(A97&lt;'Données projet'!$A$218,$FB$205^A97,IF(A97='Données projet'!$A$218,'Données projet'!$B$218,FE96+FD97-FM96)))</f>
        <v>331.15384615384619</v>
      </c>
      <c r="FF97" s="18">
        <f>FE97*VLOOKUP('Données projet'!$B$16,Paramètres!$A$1:$I$89,3,0)*VLOOKUP('Données projet'!$B$16,Paramètres!$A$1:$I$89,5,0)</f>
        <v>222.13800000000001</v>
      </c>
      <c r="FG97" s="14">
        <f t="shared" si="101"/>
        <v>54.579307578512022</v>
      </c>
      <c r="FH97" s="22">
        <f t="shared" si="76"/>
        <v>481.94931069924172</v>
      </c>
      <c r="FI97" s="62">
        <f t="shared" si="77"/>
        <v>760.86830499933467</v>
      </c>
      <c r="FJ97" s="62">
        <f ca="1">AVERAGE(OFFSET($FI$3,0,0,'Données projet'!$E$16+1,1))-AVERAGE(OFFSET($H$3,0,0,'Données projet'!$E$16+1,1))</f>
        <v>390.05579539539576</v>
      </c>
      <c r="FK97" s="62">
        <f t="shared" si="102"/>
        <v>323.72278615226139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projet'!$B$16,Paramètres!$A$1:$I$89,3,0)*0.475*44/12</f>
        <v>0</v>
      </c>
      <c r="FR97" s="23">
        <f>EXP(-LN(2)/25)*FR96+(1-EXP(-LN(2)/25))/(LN(2)/25)*Calculateur!FM97*Calculateur!FO97*VLOOKUP('Données projet'!$B$16,Paramètres!$A$1:$I$89,3,0)*0.475*44/12</f>
        <v>0</v>
      </c>
      <c r="FS97" s="23">
        <f>EXP(-LN(2)/2)*FS96+(1-EXP(-LN(2)/2))/(LN(2)/2)*FM97*FP97*VLOOKUP('Données projet'!$B$16,Paramètres!$A$1:$I$89,3,0)*0.475*44/12</f>
        <v>0</v>
      </c>
      <c r="FT97" s="24">
        <f t="shared" si="78"/>
        <v>0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66.068816627298062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5.9</v>
      </c>
      <c r="FZ97" s="13">
        <f>IF('Données projet'!$A$244&gt;35,FZ96+FY97-GH96,IF(A97&lt;'Données projet'!$A$244,$FW$205^A97,IF(A97='Données projet'!$A$244,'Données projet'!$B$244,FZ96+FY97-GH96)))</f>
        <v>325.60000000000002</v>
      </c>
      <c r="GA97" s="18">
        <f>FZ97*VLOOKUP('Données projet'!$B$17,Paramètres!$A$1:$I$89,3,0)*VLOOKUP('Données projet'!$B$17,Paramètres!$A$1:$I$89,5,0)</f>
        <v>314.92032000000006</v>
      </c>
      <c r="GB97" s="14">
        <f t="shared" si="103"/>
        <v>74.295445174069485</v>
      </c>
      <c r="GC97" s="22">
        <f t="shared" si="79"/>
        <v>677.8841243448378</v>
      </c>
      <c r="GD97" s="62">
        <f t="shared" si="80"/>
        <v>956.80311864493069</v>
      </c>
      <c r="GE97" s="62">
        <f ca="1">AVERAGE(OFFSET($GD$3,0,0,'Données projet'!$E$17+1,1))-AVERAGE(OFFSET($H$3,0,0,'Données projet'!$E$17+1,1))</f>
        <v>578.44111602076555</v>
      </c>
      <c r="GF97" s="62">
        <f t="shared" si="104"/>
        <v>368.08542661432784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>
        <f>EXP(-LN(2)/35)*GL96+(1-EXP(-LN(2)/35))/(LN(2)/35)*GH97*GI97*VLOOKUP('Données projet'!$B$17,Paramètres!$A$1:$I$89,3,0)*0.475*44/12</f>
        <v>0</v>
      </c>
      <c r="GM97" s="23">
        <f>EXP(-LN(2)/25)*GM96+(1-EXP(-LN(2)/25))/(LN(2)/25)*Calculateur!GH97*Calculateur!GJ97*VLOOKUP('Données projet'!$B$17,Paramètres!$A$1:$I$89,3,0)*0.475*44/12</f>
        <v>0</v>
      </c>
      <c r="GN97" s="23">
        <f>EXP(-LN(2)/2)*GN96+(1-EXP(-LN(2)/2))/(LN(2)/2)*GH97*GK97*VLOOKUP('Données projet'!$B$17,Paramètres!$A$1:$I$89,3,0)*0.475*44/12</f>
        <v>0</v>
      </c>
      <c r="GO97" s="23">
        <f t="shared" si="81"/>
        <v>0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66.068816627298062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4.0735000000000001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14.936166666666667</v>
      </c>
      <c r="H98" s="70">
        <f t="shared" si="56"/>
        <v>196.922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66.137013870005077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5.9</v>
      </c>
      <c r="N98" s="14">
        <f>IF('Données projet'!$A$36&gt;35,N97+M98-V97,IF(A98&lt;'Données projet'!$A$36,$K$205^A98,IF(A98='Données projet'!$A$36,'Données projet'!$B$36,N97+M98-V97)))</f>
        <v>331.5</v>
      </c>
      <c r="O98" s="14">
        <f>N98*VLOOKUP('Données projet'!$B$9,Paramètres!$A$1:$I$89,3,0)*VLOOKUP('Données projet'!$B$9,Paramètres!$A$1:$I$89,5,0)</f>
        <v>299.94119999999998</v>
      </c>
      <c r="P98" s="14">
        <f t="shared" si="87"/>
        <v>71.164136596531506</v>
      </c>
      <c r="Q98" s="22">
        <f t="shared" si="54"/>
        <v>646.34179457229243</v>
      </c>
      <c r="R98" s="62">
        <f t="shared" si="55"/>
        <v>925.51084542897775</v>
      </c>
      <c r="S98" s="62">
        <f ca="1">AVERAGE(OFFSET($R$3,0,0,'Données projet'!$E$9+1,1))-AVERAGE(OFFSET($H$3,0,0,'Données projet'!$E$9+1,1))</f>
        <v>546.11281471711925</v>
      </c>
      <c r="T98" s="62">
        <f t="shared" si="88"/>
        <v>348.18069831447099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66.137013870005077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494</v>
      </c>
      <c r="AG98" s="13">
        <f>VLOOKUP(A98,'Données projet'!$A$61:$I$81,9,0)</f>
        <v>8.9</v>
      </c>
      <c r="AH98" s="13">
        <f t="array" ref="AH98">INDEX(AG:AG,MIN(IF(ISNUMBER(AG98:AG294),ROW(AG98:AG294),"")))</f>
        <v>8.9</v>
      </c>
      <c r="AI98" s="14">
        <f>IF('Données projet'!$A$62&gt;35,AI97+AH98-AQ97,IF(A98&lt;'Données projet'!$A$62,$AF$205^A98,IF(A98='Données projet'!$A$62,'Données projet'!$B$62,AI97+AH98-AQ97)))</f>
        <v>493.99999999999977</v>
      </c>
      <c r="AJ98" s="14">
        <f>AI98*VLOOKUP('Données projet'!$B$10,Paramètres!$A$1:$I$89,3,0)*VLOOKUP('Données projet'!$B$10,Paramètres!$A$1:$I$89,5,0)</f>
        <v>423.8519999999998</v>
      </c>
      <c r="AK98" s="14">
        <f t="shared" si="89"/>
        <v>96.595871362472579</v>
      </c>
      <c r="AL98" s="22">
        <f t="shared" si="58"/>
        <v>906.44670928963933</v>
      </c>
      <c r="AM98" s="62">
        <f t="shared" si="59"/>
        <v>1185.6157601463246</v>
      </c>
      <c r="AN98" s="62">
        <f ca="1">AVERAGE(OFFSET($AM$3,0,0,'Données projet'!$E$10+1,1))-AVERAGE(OFFSET($H$3,0,0,'Données projet'!$E$10+1,1))</f>
        <v>693.87994318348024</v>
      </c>
      <c r="AO98" s="62">
        <f t="shared" si="90"/>
        <v>327.71043739333641</v>
      </c>
      <c r="AP98" s="16">
        <f>IF(ISNA(VLOOKUP(A98,'Données projet'!$A$61:$I$81,3,0)),0,VLOOKUP(A98,'Données projet'!$A$61:$I$81,3,0))</f>
        <v>8</v>
      </c>
      <c r="AQ98" s="16">
        <f>IF(ISNA(VLOOKUP(A98,'Données projet'!$A$61:$I$81,4,0)),0,VLOOKUP(A98,'Données projet'!$A$61:$I$81,4,0))</f>
        <v>61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66.137013870005077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5.9</v>
      </c>
      <c r="BD98" s="13">
        <f>IF('Données projet'!$A$88&gt;35,BD97+BC98-BL97,IF(A98&lt;'Données projet'!$A$88,$BA$205^A98,IF(A98='Données projet'!$A$88,'Données projet'!$B$88,BD97+BC98-BL97)))</f>
        <v>331.5</v>
      </c>
      <c r="BE98" s="14">
        <f>BD98*VLOOKUP('Données projet'!$B$11,Paramètres!$A$1:$I$89,3,0)*VLOOKUP('Données projet'!$B$11,Paramètres!$A$1:$I$89,5,0)</f>
        <v>279.25560000000002</v>
      </c>
      <c r="BF98" s="14">
        <f t="shared" si="91"/>
        <v>66.809671397146161</v>
      </c>
      <c r="BG98" s="22">
        <f t="shared" si="61"/>
        <v>602.73034768336277</v>
      </c>
      <c r="BH98" s="62">
        <f t="shared" si="62"/>
        <v>881.89939854004797</v>
      </c>
      <c r="BI98" s="62">
        <f ca="1">AVERAGE(OFFSET($BH$3,0,0,'Données projet'!$E$11+1,1))-AVERAGE(OFFSET($H$3,0,0,'Données projet'!$E$11+1,1))</f>
        <v>513.7388209355762</v>
      </c>
      <c r="BJ98" s="62">
        <f t="shared" si="92"/>
        <v>328.24603121433927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66.137013870005077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4.5474735088646412E-13</v>
      </c>
      <c r="BZ98" s="14">
        <f>BY98*VLOOKUP('Données projet'!$B$12,Paramètres!$A$1:$I$89,3,0)*VLOOKUP('Données projet'!$B$12,Paramètres!$A$1:$I$89,5,0)</f>
        <v>3.6179699236527089E-13</v>
      </c>
      <c r="CA98" s="14">
        <f t="shared" si="93"/>
        <v>4.6796319415916035E-12</v>
      </c>
      <c r="CB98" s="22">
        <f t="shared" si="64"/>
        <v>8.7804887266415556E-12</v>
      </c>
      <c r="CC98" s="62">
        <f t="shared" si="65"/>
        <v>279.16905085669401</v>
      </c>
      <c r="CD98" s="62">
        <f ca="1">AVERAGE(OFFSET($CC$3,0,0,'Données projet'!$E$12+1,1))-AVERAGE(OFFSET($H$3,0,0,'Données projet'!$E$12+1,1))</f>
        <v>447.25854887589878</v>
      </c>
      <c r="CE98" s="62">
        <f t="shared" si="94"/>
        <v>480.13390593590157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66.137013870005077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1.1368683772161603E-13</v>
      </c>
      <c r="CU98" s="18">
        <f>CT98*VLOOKUP('Données projet'!$B$13,Paramètres!$A$1:$I$89,3,0)*VLOOKUP('Données projet'!$B$13,Paramètres!$A$1:$I$89,5,0)</f>
        <v>8.8675733422860506E-14</v>
      </c>
      <c r="CV98" s="14">
        <f t="shared" si="95"/>
        <v>1.3509285393066301E-12</v>
      </c>
      <c r="CW98" s="22">
        <f t="shared" si="67"/>
        <v>2.5073107750038623E-12</v>
      </c>
      <c r="CX98" s="62">
        <f t="shared" si="68"/>
        <v>279.16905085668776</v>
      </c>
      <c r="CY98" s="62">
        <f ca="1">AVERAGE(OFFSET($CX$3,0,0,'Données projet'!$E$13+1,1))-AVERAGE(OFFSET($H$3,0,0,'Données projet'!$E$13+1,1))</f>
        <v>308.52515801950324</v>
      </c>
      <c r="CZ98" s="62">
        <f t="shared" si="96"/>
        <v>299.05420638408953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66.137013870005077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4.5474735088646412E-13</v>
      </c>
      <c r="DP98" s="18">
        <f>DO98*VLOOKUP('Données projet'!$B$14,Paramètres!$A$1:$I$89,3,0)*VLOOKUP('Données projet'!$B$14,Paramètres!$A$1:$I$89,5,0)</f>
        <v>3.3342075766995548E-13</v>
      </c>
      <c r="DQ98" s="14">
        <f t="shared" si="97"/>
        <v>4.3537988100583648E-12</v>
      </c>
      <c r="DR98" s="22">
        <f t="shared" si="70"/>
        <v>8.1635740804601579E-12</v>
      </c>
      <c r="DS98" s="62">
        <f t="shared" si="71"/>
        <v>279.16905085669345</v>
      </c>
      <c r="DT98" s="62">
        <f ca="1">AVERAGE(OFFSET($DS$3,0,0,'Données projet'!$E$14+1,1))-AVERAGE(OFFSET($H$3,0,0,'Données projet'!$E$14+1,1))</f>
        <v>416.72317068678774</v>
      </c>
      <c r="DU98" s="62">
        <f t="shared" si="98"/>
        <v>447.32457429495537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66.137013870005077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>
        <f>VLOOKUP(A98,'Données projet'!$A$191:$I$211,2,0)</f>
        <v>267.30769230769232</v>
      </c>
      <c r="EH98" s="13">
        <f>VLOOKUP(A98,'Données projet'!$A$191:$I$211,9,0)</f>
        <v>3.9743589743589838</v>
      </c>
      <c r="EI98" s="13">
        <f t="array" ref="EI98">INDEX(EH:EH,MIN(IF(ISNUMBER(EH98:EH294),ROW(EH98:EH294),"")))</f>
        <v>3.9743589743589838</v>
      </c>
      <c r="EJ98" s="13">
        <f>IF('Données projet'!$A$192&gt;35,EJ97+EI98-ER97,IF(A98&lt;'Données projet'!$A$192,$EG$205^A98,IF(A98='Données projet'!$A$192,'Données projet'!$B$192,EJ97+EI98-ER97)))</f>
        <v>267.30769230769243</v>
      </c>
      <c r="EK98" s="18">
        <f>EJ98*VLOOKUP('Données projet'!$B$15,Paramètres!$A$1:$I$89,3,0)*VLOOKUP('Données projet'!$B$15,Paramètres!$A$1:$I$89,5,0)</f>
        <v>254.37000000000012</v>
      </c>
      <c r="EL98" s="14">
        <f t="shared" si="99"/>
        <v>61.520764724713807</v>
      </c>
      <c r="EM98" s="22">
        <f t="shared" si="73"/>
        <v>550.17641522887664</v>
      </c>
      <c r="EN98" s="62">
        <f t="shared" si="74"/>
        <v>829.34546608556184</v>
      </c>
      <c r="EO98" s="62">
        <f ca="1">AVERAGE(OFFSET($EN$3,0,0,'Données projet'!$E$15+1,1))-AVERAGE(OFFSET($H$3,0,0,'Données projet'!$E$15+1,1))</f>
        <v>454.78867027701426</v>
      </c>
      <c r="EP98" s="62">
        <f t="shared" si="100"/>
        <v>366.45346303927056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0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66.137013870005077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>
        <f>VLOOKUP(A98,'Données projet'!$A$217:$I$237,2,0)</f>
        <v>335.25641025641022</v>
      </c>
      <c r="FC98" s="13">
        <f>VLOOKUP(A98,'Données projet'!$A$217:$I$237,9,0)</f>
        <v>4.102564102564088</v>
      </c>
      <c r="FD98" s="13">
        <f t="array" ref="FD98">INDEX(FC:FC,MIN(IF(ISNUMBER(FC98:FC294),ROW(FC98:FC294),"")))</f>
        <v>4.102564102564088</v>
      </c>
      <c r="FE98" s="13">
        <f>IF('Données projet'!$A$218&gt;35,FE97+FD98-FM97,IF(A98&lt;'Données projet'!$A$218,$FB$205^A98,IF(A98='Données projet'!$A$218,'Données projet'!$B$218,FE97+FD98-FM97)))</f>
        <v>335.25641025641028</v>
      </c>
      <c r="FF98" s="18">
        <f>FE98*VLOOKUP('Données projet'!$B$16,Paramètres!$A$1:$I$89,3,0)*VLOOKUP('Données projet'!$B$16,Paramètres!$A$1:$I$89,5,0)</f>
        <v>224.89000000000001</v>
      </c>
      <c r="FG98" s="14">
        <f t="shared" si="101"/>
        <v>55.17633941105067</v>
      </c>
      <c r="FH98" s="22">
        <f t="shared" si="76"/>
        <v>487.78220780757994</v>
      </c>
      <c r="FI98" s="62">
        <f t="shared" si="77"/>
        <v>766.9512586642652</v>
      </c>
      <c r="FJ98" s="62">
        <f ca="1">AVERAGE(OFFSET($FI$3,0,0,'Données projet'!$E$16+1,1))-AVERAGE(OFFSET($H$3,0,0,'Données projet'!$E$16+1,1))</f>
        <v>390.05579539539576</v>
      </c>
      <c r="FK98" s="62">
        <f t="shared" si="102"/>
        <v>323.72278615226139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projet'!$B$16,Paramètres!$A$1:$I$89,3,0)*0.475*44/12</f>
        <v>0</v>
      </c>
      <c r="FR98" s="23">
        <f>EXP(-LN(2)/25)*FR97+(1-EXP(-LN(2)/25))/(LN(2)/25)*Calculateur!FM98*Calculateur!FO98*VLOOKUP('Données projet'!$B$16,Paramètres!$A$1:$I$89,3,0)*0.475*44/12</f>
        <v>0</v>
      </c>
      <c r="FS98" s="23">
        <f>EXP(-LN(2)/2)*FS97+(1-EXP(-LN(2)/2))/(LN(2)/2)*FM98*FP98*VLOOKUP('Données projet'!$B$16,Paramètres!$A$1:$I$89,3,0)*0.475*44/12</f>
        <v>0</v>
      </c>
      <c r="FT98" s="24">
        <f t="shared" si="78"/>
        <v>0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66.137013870005077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5.9</v>
      </c>
      <c r="FZ98" s="13">
        <f>IF('Données projet'!$A$244&gt;35,FZ97+FY98-GH97,IF(A98&lt;'Données projet'!$A$244,$FW$205^A98,IF(A98='Données projet'!$A$244,'Données projet'!$B$244,FZ97+FY98-GH97)))</f>
        <v>331.5</v>
      </c>
      <c r="GA98" s="18">
        <f>FZ98*VLOOKUP('Données projet'!$B$17,Paramètres!$A$1:$I$89,3,0)*VLOOKUP('Données projet'!$B$17,Paramètres!$A$1:$I$89,5,0)</f>
        <v>320.6268</v>
      </c>
      <c r="GB98" s="14">
        <f t="shared" si="103"/>
        <v>75.483756735990909</v>
      </c>
      <c r="GC98" s="22">
        <f t="shared" si="79"/>
        <v>689.89255298185083</v>
      </c>
      <c r="GD98" s="62">
        <f t="shared" si="80"/>
        <v>969.06160383853603</v>
      </c>
      <c r="GE98" s="62">
        <f ca="1">AVERAGE(OFFSET($GD$3,0,0,'Données projet'!$E$17+1,1))-AVERAGE(OFFSET($H$3,0,0,'Données projet'!$E$17+1,1))</f>
        <v>578.44111602076555</v>
      </c>
      <c r="GF98" s="62">
        <f t="shared" si="104"/>
        <v>368.08542661432784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>
        <f>EXP(-LN(2)/35)*GL97+(1-EXP(-LN(2)/35))/(LN(2)/35)*GH98*GI98*VLOOKUP('Données projet'!$B$17,Paramètres!$A$1:$I$89,3,0)*0.475*44/12</f>
        <v>0</v>
      </c>
      <c r="GM98" s="23">
        <f>EXP(-LN(2)/25)*GM97+(1-EXP(-LN(2)/25))/(LN(2)/25)*Calculateur!GH98*Calculateur!GJ98*VLOOKUP('Données projet'!$B$17,Paramètres!$A$1:$I$89,3,0)*0.475*44/12</f>
        <v>0</v>
      </c>
      <c r="GN98" s="23">
        <f>EXP(-LN(2)/2)*GN97+(1-EXP(-LN(2)/2))/(LN(2)/2)*GH98*GK98*VLOOKUP('Données projet'!$B$17,Paramètres!$A$1:$I$89,3,0)*0.475*44/12</f>
        <v>0</v>
      </c>
      <c r="GO98" s="23">
        <f t="shared" si="81"/>
        <v>0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66.137013870005077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4.0735000000000001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14.936166666666667</v>
      </c>
      <c r="H99" s="70">
        <f t="shared" si="56"/>
        <v>196.922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66.204028043017317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5.9</v>
      </c>
      <c r="N99" s="14">
        <f>IF('Données projet'!$A$36&gt;35,N98+M99-V98,IF(A99&lt;'Données projet'!$A$36,$K$205^A99,IF(A99='Données projet'!$A$36,'Données projet'!$B$36,N98+M99-V98)))</f>
        <v>337.4</v>
      </c>
      <c r="O99" s="14">
        <f>N99*VLOOKUP('Données projet'!$B$9,Paramètres!$A$1:$I$89,3,0)*VLOOKUP('Données projet'!$B$9,Paramètres!$A$1:$I$89,5,0)</f>
        <v>305.27951999999999</v>
      </c>
      <c r="P99" s="14">
        <f t="shared" si="87"/>
        <v>72.282127407576809</v>
      </c>
      <c r="Q99" s="22">
        <f t="shared" ref="Q99:Q130" si="107">(O99+P99)*0.475*44/12</f>
        <v>657.5865359015296</v>
      </c>
      <c r="R99" s="62">
        <f t="shared" si="55"/>
        <v>937.00130539259317</v>
      </c>
      <c r="S99" s="62">
        <f ca="1">AVERAGE(OFFSET($R$3,0,0,'Données projet'!$E$9+1,1))-AVERAGE(OFFSET($H$3,0,0,'Données projet'!$E$9+1,1))</f>
        <v>546.11281471711925</v>
      </c>
      <c r="T99" s="62">
        <f t="shared" si="88"/>
        <v>348.18069831447099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66.204028043017317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8</v>
      </c>
      <c r="AI99" s="14">
        <f>IF('Données projet'!$A$62&gt;35,AI98+AH99-AQ98,IF(A99&lt;'Données projet'!$A$62,$AF$205^A99,IF(A99='Données projet'!$A$62,'Données projet'!$B$62,AI98+AH99-AQ98)))</f>
        <v>440.99999999999977</v>
      </c>
      <c r="AJ99" s="14">
        <f>AI99*VLOOKUP('Données projet'!$B$10,Paramètres!$A$1:$I$89,3,0)*VLOOKUP('Données projet'!$B$10,Paramètres!$A$1:$I$89,5,0)</f>
        <v>378.37799999999987</v>
      </c>
      <c r="AK99" s="14">
        <f t="shared" si="89"/>
        <v>87.379060339798912</v>
      </c>
      <c r="AL99" s="22">
        <f t="shared" si="58"/>
        <v>811.19354675848274</v>
      </c>
      <c r="AM99" s="62">
        <f t="shared" si="59"/>
        <v>1090.6083162495463</v>
      </c>
      <c r="AN99" s="62">
        <f ca="1">AVERAGE(OFFSET($AM$3,0,0,'Données projet'!$E$10+1,1))-AVERAGE(OFFSET($H$3,0,0,'Données projet'!$E$10+1,1))</f>
        <v>693.87994318348024</v>
      </c>
      <c r="AO99" s="62">
        <f t="shared" si="90"/>
        <v>327.71043739333641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66.204028043017317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5.9</v>
      </c>
      <c r="BD99" s="13">
        <f>IF('Données projet'!$A$88&gt;35,BD98+BC99-BL98,IF(A99&lt;'Données projet'!$A$88,$BA$205^A99,IF(A99='Données projet'!$A$88,'Données projet'!$B$88,BD98+BC99-BL98)))</f>
        <v>337.4</v>
      </c>
      <c r="BE99" s="14">
        <f>BD99*VLOOKUP('Données projet'!$B$11,Paramètres!$A$1:$I$89,3,0)*VLOOKUP('Données projet'!$B$11,Paramètres!$A$1:$I$89,5,0)</f>
        <v>284.22575999999998</v>
      </c>
      <c r="BF99" s="14">
        <f t="shared" si="91"/>
        <v>67.859253423756542</v>
      </c>
      <c r="BG99" s="22">
        <f t="shared" si="61"/>
        <v>613.21473171304262</v>
      </c>
      <c r="BH99" s="62">
        <f t="shared" si="62"/>
        <v>892.62950120410619</v>
      </c>
      <c r="BI99" s="62">
        <f ca="1">AVERAGE(OFFSET($BH$3,0,0,'Données projet'!$E$11+1,1))-AVERAGE(OFFSET($H$3,0,0,'Données projet'!$E$11+1,1))</f>
        <v>513.7388209355762</v>
      </c>
      <c r="BJ99" s="62">
        <f t="shared" si="92"/>
        <v>328.24603121433927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66.204028043017317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4.5474735088646412E-13</v>
      </c>
      <c r="BZ99" s="14">
        <f>BY99*VLOOKUP('Données projet'!$B$12,Paramètres!$A$1:$I$89,3,0)*VLOOKUP('Données projet'!$B$12,Paramètres!$A$1:$I$89,5,0)</f>
        <v>3.6179699236527089E-13</v>
      </c>
      <c r="CA99" s="14">
        <f t="shared" si="93"/>
        <v>4.6796319415916035E-12</v>
      </c>
      <c r="CB99" s="22">
        <f t="shared" si="64"/>
        <v>8.7804887266415556E-12</v>
      </c>
      <c r="CC99" s="62">
        <f t="shared" si="65"/>
        <v>279.41476949107226</v>
      </c>
      <c r="CD99" s="62">
        <f ca="1">AVERAGE(OFFSET($CC$3,0,0,'Données projet'!$E$12+1,1))-AVERAGE(OFFSET($H$3,0,0,'Données projet'!$E$12+1,1))</f>
        <v>447.25854887589878</v>
      </c>
      <c r="CE99" s="62">
        <f t="shared" si="94"/>
        <v>480.13390593590157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66.204028043017317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1.1368683772161603E-13</v>
      </c>
      <c r="CU99" s="18">
        <f>CT99*VLOOKUP('Données projet'!$B$13,Paramètres!$A$1:$I$89,3,0)*VLOOKUP('Données projet'!$B$13,Paramètres!$A$1:$I$89,5,0)</f>
        <v>8.8675733422860506E-14</v>
      </c>
      <c r="CV99" s="14">
        <f t="shared" si="95"/>
        <v>1.3509285393066301E-12</v>
      </c>
      <c r="CW99" s="22">
        <f t="shared" si="67"/>
        <v>2.5073107750038623E-12</v>
      </c>
      <c r="CX99" s="62">
        <f t="shared" si="68"/>
        <v>279.41476949106601</v>
      </c>
      <c r="CY99" s="62">
        <f ca="1">AVERAGE(OFFSET($CX$3,0,0,'Données projet'!$E$13+1,1))-AVERAGE(OFFSET($H$3,0,0,'Données projet'!$E$13+1,1))</f>
        <v>308.52515801950324</v>
      </c>
      <c r="CZ99" s="62">
        <f t="shared" si="96"/>
        <v>299.05420638408953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66.204028043017317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4.5474735088646412E-13</v>
      </c>
      <c r="DP99" s="18">
        <f>DO99*VLOOKUP('Données projet'!$B$14,Paramètres!$A$1:$I$89,3,0)*VLOOKUP('Données projet'!$B$14,Paramètres!$A$1:$I$89,5,0)</f>
        <v>3.3342075766995548E-13</v>
      </c>
      <c r="DQ99" s="14">
        <f t="shared" si="97"/>
        <v>4.3537988100583648E-12</v>
      </c>
      <c r="DR99" s="22">
        <f t="shared" si="70"/>
        <v>8.1635740804601579E-12</v>
      </c>
      <c r="DS99" s="62">
        <f t="shared" si="71"/>
        <v>279.4147694910717</v>
      </c>
      <c r="DT99" s="62">
        <f ca="1">AVERAGE(OFFSET($DS$3,0,0,'Données projet'!$E$14+1,1))-AVERAGE(OFFSET($H$3,0,0,'Données projet'!$E$14+1,1))</f>
        <v>416.72317068678774</v>
      </c>
      <c r="DU99" s="62">
        <f t="shared" si="98"/>
        <v>447.32457429495537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66.204028043017317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3.7179487179487181</v>
      </c>
      <c r="EJ99" s="13">
        <f>IF('Données projet'!$A$192&gt;35,EJ98+EI99-ER98,IF(A99&lt;'Données projet'!$A$192,$EG$205^A99,IF(A99='Données projet'!$A$192,'Données projet'!$B$192,EJ98+EI99-ER98)))</f>
        <v>271.02564102564116</v>
      </c>
      <c r="EK99" s="18">
        <f>EJ99*VLOOKUP('Données projet'!$B$15,Paramètres!$A$1:$I$89,3,0)*VLOOKUP('Données projet'!$B$15,Paramètres!$A$1:$I$89,5,0)</f>
        <v>257.90800000000013</v>
      </c>
      <c r="EL99" s="14">
        <f t="shared" si="99"/>
        <v>62.276238645076695</v>
      </c>
      <c r="EM99" s="22">
        <f t="shared" si="73"/>
        <v>557.65421564017549</v>
      </c>
      <c r="EN99" s="62">
        <f t="shared" si="74"/>
        <v>837.06898513123906</v>
      </c>
      <c r="EO99" s="62">
        <f ca="1">AVERAGE(OFFSET($EN$3,0,0,'Données projet'!$E$15+1,1))-AVERAGE(OFFSET($H$3,0,0,'Données projet'!$E$15+1,1))</f>
        <v>454.78867027701426</v>
      </c>
      <c r="EP99" s="62">
        <f t="shared" si="100"/>
        <v>366.45346303927056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0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66.204028043017317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3.9743589743589838</v>
      </c>
      <c r="FE99" s="13">
        <f>IF('Données projet'!$A$218&gt;35,FE98+FD99-FM98,IF(A99&lt;'Données projet'!$A$218,$FB$205^A99,IF(A99='Données projet'!$A$218,'Données projet'!$B$218,FE98+FD99-FM98)))</f>
        <v>339.23076923076928</v>
      </c>
      <c r="FF99" s="18">
        <f>FE99*VLOOKUP('Données projet'!$B$16,Paramètres!$A$1:$I$89,3,0)*VLOOKUP('Données projet'!$B$16,Paramètres!$A$1:$I$89,5,0)</f>
        <v>227.55600000000004</v>
      </c>
      <c r="FG99" s="14">
        <f t="shared" si="101"/>
        <v>55.753903477108544</v>
      </c>
      <c r="FH99" s="22">
        <f t="shared" si="76"/>
        <v>493.43141522263085</v>
      </c>
      <c r="FI99" s="62">
        <f t="shared" si="77"/>
        <v>772.84618471369436</v>
      </c>
      <c r="FJ99" s="62">
        <f ca="1">AVERAGE(OFFSET($FI$3,0,0,'Données projet'!$E$16+1,1))-AVERAGE(OFFSET($H$3,0,0,'Données projet'!$E$16+1,1))</f>
        <v>390.05579539539576</v>
      </c>
      <c r="FK99" s="62">
        <f t="shared" si="102"/>
        <v>323.72278615226139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projet'!$B$16,Paramètres!$A$1:$I$89,3,0)*0.475*44/12</f>
        <v>0</v>
      </c>
      <c r="FR99" s="23">
        <f>EXP(-LN(2)/25)*FR98+(1-EXP(-LN(2)/25))/(LN(2)/25)*Calculateur!FM99*Calculateur!FO99*VLOOKUP('Données projet'!$B$16,Paramètres!$A$1:$I$89,3,0)*0.475*44/12</f>
        <v>0</v>
      </c>
      <c r="FS99" s="23">
        <f>EXP(-LN(2)/2)*FS98+(1-EXP(-LN(2)/2))/(LN(2)/2)*FM99*FP99*VLOOKUP('Données projet'!$B$16,Paramètres!$A$1:$I$89,3,0)*0.475*44/12</f>
        <v>0</v>
      </c>
      <c r="FT99" s="24">
        <f t="shared" si="78"/>
        <v>0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66.204028043017317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5.9</v>
      </c>
      <c r="FZ99" s="13">
        <f>IF('Données projet'!$A$244&gt;35,FZ98+FY99-GH98,IF(A99&lt;'Données projet'!$A$244,$FW$205^A99,IF(A99='Données projet'!$A$244,'Données projet'!$B$244,FZ98+FY99-GH98)))</f>
        <v>337.4</v>
      </c>
      <c r="GA99" s="18">
        <f>FZ99*VLOOKUP('Données projet'!$B$17,Paramètres!$A$1:$I$89,3,0)*VLOOKUP('Données projet'!$B$17,Paramètres!$A$1:$I$89,5,0)</f>
        <v>326.33328</v>
      </c>
      <c r="GB99" s="14">
        <f t="shared" si="103"/>
        <v>76.669608914490098</v>
      </c>
      <c r="GC99" s="22">
        <f t="shared" si="79"/>
        <v>701.89669819273684</v>
      </c>
      <c r="GD99" s="62">
        <f t="shared" si="80"/>
        <v>981.3114676838004</v>
      </c>
      <c r="GE99" s="62">
        <f ca="1">AVERAGE(OFFSET($GD$3,0,0,'Données projet'!$E$17+1,1))-AVERAGE(OFFSET($H$3,0,0,'Données projet'!$E$17+1,1))</f>
        <v>578.44111602076555</v>
      </c>
      <c r="GF99" s="62">
        <f t="shared" si="104"/>
        <v>368.08542661432784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>
        <f>EXP(-LN(2)/35)*GL98+(1-EXP(-LN(2)/35))/(LN(2)/35)*GH99*GI99*VLOOKUP('Données projet'!$B$17,Paramètres!$A$1:$I$89,3,0)*0.475*44/12</f>
        <v>0</v>
      </c>
      <c r="GM99" s="23">
        <f>EXP(-LN(2)/25)*GM98+(1-EXP(-LN(2)/25))/(LN(2)/25)*Calculateur!GH99*Calculateur!GJ99*VLOOKUP('Données projet'!$B$17,Paramètres!$A$1:$I$89,3,0)*0.475*44/12</f>
        <v>0</v>
      </c>
      <c r="GN99" s="23">
        <f>EXP(-LN(2)/2)*GN98+(1-EXP(-LN(2)/2))/(LN(2)/2)*GH99*GK99*VLOOKUP('Données projet'!$B$17,Paramètres!$A$1:$I$89,3,0)*0.475*44/12</f>
        <v>0</v>
      </c>
      <c r="GO99" s="23">
        <f t="shared" si="81"/>
        <v>0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66.204028043017317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4.0735000000000001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14.936166666666667</v>
      </c>
      <c r="H100" s="70">
        <f t="shared" si="56"/>
        <v>196.922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66.269879669949049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5.9</v>
      </c>
      <c r="N100" s="14">
        <f>IF('Données projet'!$A$36&gt;35,N99+M100-V99,IF(A100&lt;'Données projet'!$A$36,$K$205^A100,IF(A100='Données projet'!$A$36,'Données projet'!$B$36,N99+M100-V99)))</f>
        <v>343.29999999999995</v>
      </c>
      <c r="O100" s="14">
        <f>N100*VLOOKUP('Données projet'!$B$9,Paramètres!$A$1:$I$89,3,0)*VLOOKUP('Données projet'!$B$9,Paramètres!$A$1:$I$89,5,0)</f>
        <v>310.61783999999994</v>
      </c>
      <c r="P100" s="14">
        <f t="shared" si="87"/>
        <v>73.397844798859666</v>
      </c>
      <c r="Q100" s="22">
        <f t="shared" si="107"/>
        <v>668.82731769134716</v>
      </c>
      <c r="R100" s="62">
        <f t="shared" si="55"/>
        <v>948.48354314782705</v>
      </c>
      <c r="S100" s="62">
        <f ca="1">AVERAGE(OFFSET($R$3,0,0,'Données projet'!$E$9+1,1))-AVERAGE(OFFSET($H$3,0,0,'Données projet'!$E$9+1,1))</f>
        <v>546.11281471711925</v>
      </c>
      <c r="T100" s="62">
        <f t="shared" si="88"/>
        <v>348.18069831447099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66.269879669949049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8</v>
      </c>
      <c r="AI100" s="14">
        <f>IF('Données projet'!$A$62&gt;35,AI99+AH100-AQ99,IF(A100&lt;'Données projet'!$A$62,$AF$205^A100,IF(A100='Données projet'!$A$62,'Données projet'!$B$62,AI99+AH100-AQ99)))</f>
        <v>448.99999999999977</v>
      </c>
      <c r="AJ100" s="14">
        <f>AI100*VLOOKUP('Données projet'!$B$10,Paramètres!$A$1:$I$89,3,0)*VLOOKUP('Données projet'!$B$10,Paramètres!$A$1:$I$89,5,0)</f>
        <v>385.24199999999985</v>
      </c>
      <c r="AK100" s="14">
        <f t="shared" si="89"/>
        <v>88.778192635344908</v>
      </c>
      <c r="AL100" s="22">
        <f t="shared" si="58"/>
        <v>825.58516883989205</v>
      </c>
      <c r="AM100" s="62">
        <f t="shared" si="59"/>
        <v>1105.2413942963719</v>
      </c>
      <c r="AN100" s="62">
        <f ca="1">AVERAGE(OFFSET($AM$3,0,0,'Données projet'!$E$10+1,1))-AVERAGE(OFFSET($H$3,0,0,'Données projet'!$E$10+1,1))</f>
        <v>693.87994318348024</v>
      </c>
      <c r="AO100" s="62">
        <f t="shared" si="90"/>
        <v>327.71043739333641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66.269879669949049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5.9</v>
      </c>
      <c r="BD100" s="13">
        <f>IF('Données projet'!$A$88&gt;35,BD99+BC100-BL99,IF(A100&lt;'Données projet'!$A$88,$BA$205^A100,IF(A100='Données projet'!$A$88,'Données projet'!$B$88,BD99+BC100-BL99)))</f>
        <v>343.29999999999995</v>
      </c>
      <c r="BE100" s="14">
        <f>BD100*VLOOKUP('Données projet'!$B$11,Paramètres!$A$1:$I$89,3,0)*VLOOKUP('Données projet'!$B$11,Paramètres!$A$1:$I$89,5,0)</f>
        <v>289.19592</v>
      </c>
      <c r="BF100" s="14">
        <f t="shared" si="91"/>
        <v>68.906701138977212</v>
      </c>
      <c r="BG100" s="22">
        <f t="shared" si="61"/>
        <v>623.69539848371858</v>
      </c>
      <c r="BH100" s="62">
        <f t="shared" si="62"/>
        <v>903.35162394019835</v>
      </c>
      <c r="BI100" s="62">
        <f ca="1">AVERAGE(OFFSET($BH$3,0,0,'Données projet'!$E$11+1,1))-AVERAGE(OFFSET($H$3,0,0,'Données projet'!$E$11+1,1))</f>
        <v>513.7388209355762</v>
      </c>
      <c r="BJ100" s="62">
        <f t="shared" si="92"/>
        <v>328.24603121433927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66.269879669949049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4.5474735088646412E-13</v>
      </c>
      <c r="BZ100" s="14">
        <f>BY100*VLOOKUP('Données projet'!$B$12,Paramètres!$A$1:$I$89,3,0)*VLOOKUP('Données projet'!$B$12,Paramètres!$A$1:$I$89,5,0)</f>
        <v>3.6179699236527089E-13</v>
      </c>
      <c r="CA100" s="14">
        <f t="shared" si="93"/>
        <v>4.6796319415916035E-12</v>
      </c>
      <c r="CB100" s="22">
        <f t="shared" si="64"/>
        <v>8.7804887266415556E-12</v>
      </c>
      <c r="CC100" s="62">
        <f t="shared" si="65"/>
        <v>279.65622545648858</v>
      </c>
      <c r="CD100" s="62">
        <f ca="1">AVERAGE(OFFSET($CC$3,0,0,'Données projet'!$E$12+1,1))-AVERAGE(OFFSET($H$3,0,0,'Données projet'!$E$12+1,1))</f>
        <v>447.25854887589878</v>
      </c>
      <c r="CE100" s="62">
        <f t="shared" si="94"/>
        <v>480.13390593590157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66.269879669949049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1.1368683772161603E-13</v>
      </c>
      <c r="CU100" s="18">
        <f>CT100*VLOOKUP('Données projet'!$B$13,Paramètres!$A$1:$I$89,3,0)*VLOOKUP('Données projet'!$B$13,Paramètres!$A$1:$I$89,5,0)</f>
        <v>8.8675733422860506E-14</v>
      </c>
      <c r="CV100" s="14">
        <f t="shared" si="95"/>
        <v>1.3509285393066301E-12</v>
      </c>
      <c r="CW100" s="22">
        <f t="shared" si="67"/>
        <v>2.5073107750038623E-12</v>
      </c>
      <c r="CX100" s="62">
        <f t="shared" si="68"/>
        <v>279.65622545648233</v>
      </c>
      <c r="CY100" s="62">
        <f ca="1">AVERAGE(OFFSET($CX$3,0,0,'Données projet'!$E$13+1,1))-AVERAGE(OFFSET($H$3,0,0,'Données projet'!$E$13+1,1))</f>
        <v>308.52515801950324</v>
      </c>
      <c r="CZ100" s="62">
        <f t="shared" si="96"/>
        <v>299.05420638408953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66.269879669949049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4.5474735088646412E-13</v>
      </c>
      <c r="DP100" s="18">
        <f>DO100*VLOOKUP('Données projet'!$B$14,Paramètres!$A$1:$I$89,3,0)*VLOOKUP('Données projet'!$B$14,Paramètres!$A$1:$I$89,5,0)</f>
        <v>3.3342075766995548E-13</v>
      </c>
      <c r="DQ100" s="14">
        <f t="shared" si="97"/>
        <v>4.3537988100583648E-12</v>
      </c>
      <c r="DR100" s="22">
        <f t="shared" si="70"/>
        <v>8.1635740804601579E-12</v>
      </c>
      <c r="DS100" s="62">
        <f t="shared" si="71"/>
        <v>279.65622545648802</v>
      </c>
      <c r="DT100" s="62">
        <f ca="1">AVERAGE(OFFSET($DS$3,0,0,'Données projet'!$E$14+1,1))-AVERAGE(OFFSET($H$3,0,0,'Données projet'!$E$14+1,1))</f>
        <v>416.72317068678774</v>
      </c>
      <c r="DU100" s="62">
        <f t="shared" si="98"/>
        <v>447.32457429495537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66.269879669949049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3.7179487179487181</v>
      </c>
      <c r="EJ100" s="13">
        <f>IF('Données projet'!$A$192&gt;35,EJ99+EI100-ER99,IF(A100&lt;'Données projet'!$A$192,$EG$205^A100,IF(A100='Données projet'!$A$192,'Données projet'!$B$192,EJ99+EI100-ER99)))</f>
        <v>274.74358974358989</v>
      </c>
      <c r="EK100" s="18">
        <f>EJ100*VLOOKUP('Données projet'!$B$15,Paramètres!$A$1:$I$89,3,0)*VLOOKUP('Données projet'!$B$15,Paramètres!$A$1:$I$89,5,0)</f>
        <v>261.44600000000014</v>
      </c>
      <c r="EL100" s="14">
        <f t="shared" si="99"/>
        <v>63.03050715989594</v>
      </c>
      <c r="EM100" s="22">
        <f t="shared" si="73"/>
        <v>565.12991663681896</v>
      </c>
      <c r="EN100" s="62">
        <f t="shared" si="74"/>
        <v>844.78614209329885</v>
      </c>
      <c r="EO100" s="62">
        <f ca="1">AVERAGE(OFFSET($EN$3,0,0,'Données projet'!$E$15+1,1))-AVERAGE(OFFSET($H$3,0,0,'Données projet'!$E$15+1,1))</f>
        <v>454.78867027701426</v>
      </c>
      <c r="EP100" s="62">
        <f t="shared" si="100"/>
        <v>366.45346303927056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0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66.269879669949049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3.9743589743589838</v>
      </c>
      <c r="FE100" s="13">
        <f>IF('Données projet'!$A$218&gt;35,FE99+FD100-FM99,IF(A100&lt;'Données projet'!$A$218,$FB$205^A100,IF(A100='Données projet'!$A$218,'Données projet'!$B$218,FE99+FD100-FM99)))</f>
        <v>343.20512820512829</v>
      </c>
      <c r="FF100" s="18">
        <f>FE100*VLOOKUP('Données projet'!$B$16,Paramètres!$A$1:$I$89,3,0)*VLOOKUP('Données projet'!$B$16,Paramètres!$A$1:$I$89,5,0)</f>
        <v>230.22200000000004</v>
      </c>
      <c r="FG100" s="14">
        <f t="shared" si="101"/>
        <v>56.330680425949346</v>
      </c>
      <c r="FH100" s="22">
        <f t="shared" si="76"/>
        <v>499.07925174186192</v>
      </c>
      <c r="FI100" s="62">
        <f t="shared" si="77"/>
        <v>778.73547719834175</v>
      </c>
      <c r="FJ100" s="62">
        <f ca="1">AVERAGE(OFFSET($FI$3,0,0,'Données projet'!$E$16+1,1))-AVERAGE(OFFSET($H$3,0,0,'Données projet'!$E$16+1,1))</f>
        <v>390.05579539539576</v>
      </c>
      <c r="FK100" s="62">
        <f t="shared" si="102"/>
        <v>323.72278615226139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projet'!$B$16,Paramètres!$A$1:$I$89,3,0)*0.475*44/12</f>
        <v>0</v>
      </c>
      <c r="FR100" s="23">
        <f>EXP(-LN(2)/25)*FR99+(1-EXP(-LN(2)/25))/(LN(2)/25)*Calculateur!FM100*Calculateur!FO100*VLOOKUP('Données projet'!$B$16,Paramètres!$A$1:$I$89,3,0)*0.475*44/12</f>
        <v>0</v>
      </c>
      <c r="FS100" s="23">
        <f>EXP(-LN(2)/2)*FS99+(1-EXP(-LN(2)/2))/(LN(2)/2)*FM100*FP100*VLOOKUP('Données projet'!$B$16,Paramètres!$A$1:$I$89,3,0)*0.475*44/12</f>
        <v>0</v>
      </c>
      <c r="FT100" s="24">
        <f t="shared" si="78"/>
        <v>0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66.269879669949049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5.9</v>
      </c>
      <c r="FZ100" s="13">
        <f>IF('Données projet'!$A$244&gt;35,FZ99+FY100-GH99,IF(A100&lt;'Données projet'!$A$244,$FW$205^A100,IF(A100='Données projet'!$A$244,'Données projet'!$B$244,FZ99+FY100-GH99)))</f>
        <v>343.29999999999995</v>
      </c>
      <c r="GA100" s="18">
        <f>FZ100*VLOOKUP('Données projet'!$B$17,Paramètres!$A$1:$I$89,3,0)*VLOOKUP('Données projet'!$B$17,Paramètres!$A$1:$I$89,5,0)</f>
        <v>332.03975999999994</v>
      </c>
      <c r="GB100" s="14">
        <f t="shared" si="103"/>
        <v>77.853049678019573</v>
      </c>
      <c r="GC100" s="22">
        <f t="shared" si="79"/>
        <v>713.89664352255056</v>
      </c>
      <c r="GD100" s="62">
        <f t="shared" si="80"/>
        <v>993.55286897903034</v>
      </c>
      <c r="GE100" s="62">
        <f ca="1">AVERAGE(OFFSET($GD$3,0,0,'Données projet'!$E$17+1,1))-AVERAGE(OFFSET($H$3,0,0,'Données projet'!$E$17+1,1))</f>
        <v>578.44111602076555</v>
      </c>
      <c r="GF100" s="62">
        <f t="shared" si="104"/>
        <v>368.08542661432784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>
        <f>EXP(-LN(2)/35)*GL99+(1-EXP(-LN(2)/35))/(LN(2)/35)*GH100*GI100*VLOOKUP('Données projet'!$B$17,Paramètres!$A$1:$I$89,3,0)*0.475*44/12</f>
        <v>0</v>
      </c>
      <c r="GM100" s="23">
        <f>EXP(-LN(2)/25)*GM99+(1-EXP(-LN(2)/25))/(LN(2)/25)*Calculateur!GH100*Calculateur!GJ100*VLOOKUP('Données projet'!$B$17,Paramètres!$A$1:$I$89,3,0)*0.475*44/12</f>
        <v>0</v>
      </c>
      <c r="GN100" s="23">
        <f>EXP(-LN(2)/2)*GN99+(1-EXP(-LN(2)/2))/(LN(2)/2)*GH100*GK100*VLOOKUP('Données projet'!$B$17,Paramètres!$A$1:$I$89,3,0)*0.475*44/12</f>
        <v>0</v>
      </c>
      <c r="GO100" s="23">
        <f t="shared" si="81"/>
        <v>0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66.269879669949049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4.0735000000000001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14.936166666666667</v>
      </c>
      <c r="H101" s="70">
        <f t="shared" si="56"/>
        <v>196.922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66.334588918375687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5.9</v>
      </c>
      <c r="N101" s="14">
        <f>IF('Données projet'!$A$36&gt;35,N100+M101-V100,IF(A101&lt;'Données projet'!$A$36,$K$205^A101,IF(A101='Données projet'!$A$36,'Données projet'!$B$36,N100+M101-V100)))</f>
        <v>349.19999999999993</v>
      </c>
      <c r="O101" s="14">
        <f>N101*VLOOKUP('Données projet'!$B$9,Paramètres!$A$1:$I$89,3,0)*VLOOKUP('Données projet'!$B$9,Paramètres!$A$1:$I$89,5,0)</f>
        <v>315.9561599999999</v>
      </c>
      <c r="P101" s="14">
        <f t="shared" si="87"/>
        <v>74.511332350300975</v>
      </c>
      <c r="Q101" s="22">
        <f t="shared" si="107"/>
        <v>680.06421584344059</v>
      </c>
      <c r="R101" s="62">
        <f t="shared" si="55"/>
        <v>959.9577085441515</v>
      </c>
      <c r="S101" s="62">
        <f ca="1">AVERAGE(OFFSET($R$3,0,0,'Données projet'!$E$9+1,1))-AVERAGE(OFFSET($H$3,0,0,'Données projet'!$E$9+1,1))</f>
        <v>546.11281471711925</v>
      </c>
      <c r="T101" s="62">
        <f t="shared" si="88"/>
        <v>348.18069831447099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66.334588918375687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8</v>
      </c>
      <c r="AI101" s="14">
        <f>IF('Données projet'!$A$62&gt;35,AI100+AH101-AQ100,IF(A101&lt;'Données projet'!$A$62,$AF$205^A101,IF(A101='Données projet'!$A$62,'Données projet'!$B$62,AI100+AH101-AQ100)))</f>
        <v>456.99999999999977</v>
      </c>
      <c r="AJ101" s="14">
        <f>AI101*VLOOKUP('Données projet'!$B$10,Paramètres!$A$1:$I$89,3,0)*VLOOKUP('Données projet'!$B$10,Paramètres!$A$1:$I$89,5,0)</f>
        <v>392.10599999999988</v>
      </c>
      <c r="AK101" s="14">
        <f t="shared" si="89"/>
        <v>90.174426056298898</v>
      </c>
      <c r="AL101" s="22">
        <f t="shared" si="58"/>
        <v>839.97174204805378</v>
      </c>
      <c r="AM101" s="62">
        <f t="shared" si="59"/>
        <v>1119.8652347487646</v>
      </c>
      <c r="AN101" s="62">
        <f ca="1">AVERAGE(OFFSET($AM$3,0,0,'Données projet'!$E$10+1,1))-AVERAGE(OFFSET($H$3,0,0,'Données projet'!$E$10+1,1))</f>
        <v>693.87994318348024</v>
      </c>
      <c r="AO101" s="62">
        <f t="shared" si="90"/>
        <v>327.71043739333641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66.334588918375687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5.9</v>
      </c>
      <c r="BD101" s="13">
        <f>IF('Données projet'!$A$88&gt;35,BD100+BC101-BL100,IF(A101&lt;'Données projet'!$A$88,$BA$205^A101,IF(A101='Données projet'!$A$88,'Données projet'!$B$88,BD100+BC101-BL100)))</f>
        <v>349.19999999999993</v>
      </c>
      <c r="BE101" s="14">
        <f>BD101*VLOOKUP('Données projet'!$B$11,Paramètres!$A$1:$I$89,3,0)*VLOOKUP('Données projet'!$B$11,Paramètres!$A$1:$I$89,5,0)</f>
        <v>294.16607999999997</v>
      </c>
      <c r="BF101" s="14">
        <f t="shared" si="91"/>
        <v>69.952055456115559</v>
      </c>
      <c r="BG101" s="22">
        <f t="shared" si="61"/>
        <v>634.17241925273447</v>
      </c>
      <c r="BH101" s="62">
        <f t="shared" si="62"/>
        <v>914.06591195344527</v>
      </c>
      <c r="BI101" s="62">
        <f ca="1">AVERAGE(OFFSET($BH$3,0,0,'Données projet'!$E$11+1,1))-AVERAGE(OFFSET($H$3,0,0,'Données projet'!$E$11+1,1))</f>
        <v>513.7388209355762</v>
      </c>
      <c r="BJ101" s="62">
        <f t="shared" si="92"/>
        <v>328.24603121433927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66.334588918375687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4.5474735088646412E-13</v>
      </c>
      <c r="BZ101" s="14">
        <f>BY101*VLOOKUP('Données projet'!$B$12,Paramètres!$A$1:$I$89,3,0)*VLOOKUP('Données projet'!$B$12,Paramètres!$A$1:$I$89,5,0)</f>
        <v>3.6179699236527089E-13</v>
      </c>
      <c r="CA101" s="14">
        <f t="shared" si="93"/>
        <v>4.6796319415916035E-12</v>
      </c>
      <c r="CB101" s="22">
        <f t="shared" si="64"/>
        <v>8.7804887266415556E-12</v>
      </c>
      <c r="CC101" s="62">
        <f t="shared" si="65"/>
        <v>279.89349270071961</v>
      </c>
      <c r="CD101" s="62">
        <f ca="1">AVERAGE(OFFSET($CC$3,0,0,'Données projet'!$E$12+1,1))-AVERAGE(OFFSET($H$3,0,0,'Données projet'!$E$12+1,1))</f>
        <v>447.25854887589878</v>
      </c>
      <c r="CE101" s="62">
        <f t="shared" si="94"/>
        <v>480.13390593590157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66.334588918375687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1.1368683772161603E-13</v>
      </c>
      <c r="CU101" s="18">
        <f>CT101*VLOOKUP('Données projet'!$B$13,Paramètres!$A$1:$I$89,3,0)*VLOOKUP('Données projet'!$B$13,Paramètres!$A$1:$I$89,5,0)</f>
        <v>8.8675733422860506E-14</v>
      </c>
      <c r="CV101" s="14">
        <f t="shared" si="95"/>
        <v>1.3509285393066301E-12</v>
      </c>
      <c r="CW101" s="22">
        <f t="shared" si="67"/>
        <v>2.5073107750038623E-12</v>
      </c>
      <c r="CX101" s="62">
        <f t="shared" si="68"/>
        <v>279.89349270071335</v>
      </c>
      <c r="CY101" s="62">
        <f ca="1">AVERAGE(OFFSET($CX$3,0,0,'Données projet'!$E$13+1,1))-AVERAGE(OFFSET($H$3,0,0,'Données projet'!$E$13+1,1))</f>
        <v>308.52515801950324</v>
      </c>
      <c r="CZ101" s="62">
        <f t="shared" si="96"/>
        <v>299.05420638408953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66.334588918375687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4.5474735088646412E-13</v>
      </c>
      <c r="DP101" s="18">
        <f>DO101*VLOOKUP('Données projet'!$B$14,Paramètres!$A$1:$I$89,3,0)*VLOOKUP('Données projet'!$B$14,Paramètres!$A$1:$I$89,5,0)</f>
        <v>3.3342075766995548E-13</v>
      </c>
      <c r="DQ101" s="14">
        <f t="shared" si="97"/>
        <v>4.3537988100583648E-12</v>
      </c>
      <c r="DR101" s="22">
        <f t="shared" si="70"/>
        <v>8.1635740804601579E-12</v>
      </c>
      <c r="DS101" s="62">
        <f t="shared" si="71"/>
        <v>279.89349270071904</v>
      </c>
      <c r="DT101" s="62">
        <f ca="1">AVERAGE(OFFSET($DS$3,0,0,'Données projet'!$E$14+1,1))-AVERAGE(OFFSET($H$3,0,0,'Données projet'!$E$14+1,1))</f>
        <v>416.72317068678774</v>
      </c>
      <c r="DU101" s="62">
        <f t="shared" si="98"/>
        <v>447.32457429495537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66.334588918375687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3.7179487179487181</v>
      </c>
      <c r="EJ101" s="13">
        <f>IF('Données projet'!$A$192&gt;35,EJ100+EI101-ER100,IF(A101&lt;'Données projet'!$A$192,$EG$205^A101,IF(A101='Données projet'!$A$192,'Données projet'!$B$192,EJ100+EI101-ER100)))</f>
        <v>278.46153846153862</v>
      </c>
      <c r="EK101" s="18">
        <f>EJ101*VLOOKUP('Données projet'!$B$15,Paramètres!$A$1:$I$89,3,0)*VLOOKUP('Données projet'!$B$15,Paramètres!$A$1:$I$89,5,0)</f>
        <v>264.98400000000015</v>
      </c>
      <c r="EL101" s="14">
        <f t="shared" si="99"/>
        <v>63.783588466746338</v>
      </c>
      <c r="EM101" s="22">
        <f t="shared" si="73"/>
        <v>572.60354991291672</v>
      </c>
      <c r="EN101" s="62">
        <f t="shared" si="74"/>
        <v>852.49704261362763</v>
      </c>
      <c r="EO101" s="62">
        <f ca="1">AVERAGE(OFFSET($EN$3,0,0,'Données projet'!$E$15+1,1))-AVERAGE(OFFSET($H$3,0,0,'Données projet'!$E$15+1,1))</f>
        <v>454.78867027701426</v>
      </c>
      <c r="EP101" s="62">
        <f t="shared" si="100"/>
        <v>366.45346303927056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0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66.334588918375687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3.9743589743589838</v>
      </c>
      <c r="FE101" s="13">
        <f>IF('Données projet'!$A$218&gt;35,FE100+FD101-FM100,IF(A101&lt;'Données projet'!$A$218,$FB$205^A101,IF(A101='Données projet'!$A$218,'Données projet'!$B$218,FE100+FD101-FM100)))</f>
        <v>347.1794871794873</v>
      </c>
      <c r="FF101" s="18">
        <f>FE101*VLOOKUP('Données projet'!$B$16,Paramètres!$A$1:$I$89,3,0)*VLOOKUP('Données projet'!$B$16,Paramètres!$A$1:$I$89,5,0)</f>
        <v>232.88800000000009</v>
      </c>
      <c r="FG101" s="14">
        <f t="shared" si="101"/>
        <v>56.906680427068601</v>
      </c>
      <c r="FH101" s="22">
        <f t="shared" si="76"/>
        <v>504.72573507714452</v>
      </c>
      <c r="FI101" s="62">
        <f t="shared" si="77"/>
        <v>784.61922777785537</v>
      </c>
      <c r="FJ101" s="62">
        <f ca="1">AVERAGE(OFFSET($FI$3,0,0,'Données projet'!$E$16+1,1))-AVERAGE(OFFSET($H$3,0,0,'Données projet'!$E$16+1,1))</f>
        <v>390.05579539539576</v>
      </c>
      <c r="FK101" s="62">
        <f t="shared" si="102"/>
        <v>323.72278615226139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projet'!$B$16,Paramètres!$A$1:$I$89,3,0)*0.475*44/12</f>
        <v>0</v>
      </c>
      <c r="FR101" s="23">
        <f>EXP(-LN(2)/25)*FR100+(1-EXP(-LN(2)/25))/(LN(2)/25)*Calculateur!FM101*Calculateur!FO101*VLOOKUP('Données projet'!$B$16,Paramètres!$A$1:$I$89,3,0)*0.475*44/12</f>
        <v>0</v>
      </c>
      <c r="FS101" s="23">
        <f>EXP(-LN(2)/2)*FS100+(1-EXP(-LN(2)/2))/(LN(2)/2)*FM101*FP101*VLOOKUP('Données projet'!$B$16,Paramètres!$A$1:$I$89,3,0)*0.475*44/12</f>
        <v>0</v>
      </c>
      <c r="FT101" s="24">
        <f t="shared" si="78"/>
        <v>0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66.334588918375687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5.9</v>
      </c>
      <c r="FZ101" s="13">
        <f>IF('Données projet'!$A$244&gt;35,FZ100+FY101-GH100,IF(A101&lt;'Données projet'!$A$244,$FW$205^A101,IF(A101='Données projet'!$A$244,'Données projet'!$B$244,FZ100+FY101-GH100)))</f>
        <v>349.19999999999993</v>
      </c>
      <c r="GA101" s="18">
        <f>FZ101*VLOOKUP('Données projet'!$B$17,Paramètres!$A$1:$I$89,3,0)*VLOOKUP('Données projet'!$B$17,Paramètres!$A$1:$I$89,5,0)</f>
        <v>337.74623999999994</v>
      </c>
      <c r="GB101" s="14">
        <f t="shared" si="103"/>
        <v>79.034125251774896</v>
      </c>
      <c r="GC101" s="22">
        <f t="shared" si="79"/>
        <v>725.89246948017444</v>
      </c>
      <c r="GD101" s="62">
        <f t="shared" si="80"/>
        <v>1005.7859621808852</v>
      </c>
      <c r="GE101" s="62">
        <f ca="1">AVERAGE(OFFSET($GD$3,0,0,'Données projet'!$E$17+1,1))-AVERAGE(OFFSET($H$3,0,0,'Données projet'!$E$17+1,1))</f>
        <v>578.44111602076555</v>
      </c>
      <c r="GF101" s="62">
        <f t="shared" si="104"/>
        <v>368.08542661432784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>
        <f>EXP(-LN(2)/35)*GL100+(1-EXP(-LN(2)/35))/(LN(2)/35)*GH101*GI101*VLOOKUP('Données projet'!$B$17,Paramètres!$A$1:$I$89,3,0)*0.475*44/12</f>
        <v>0</v>
      </c>
      <c r="GM101" s="23">
        <f>EXP(-LN(2)/25)*GM100+(1-EXP(-LN(2)/25))/(LN(2)/25)*Calculateur!GH101*Calculateur!GJ101*VLOOKUP('Données projet'!$B$17,Paramètres!$A$1:$I$89,3,0)*0.475*44/12</f>
        <v>0</v>
      </c>
      <c r="GN101" s="23">
        <f>EXP(-LN(2)/2)*GN100+(1-EXP(-LN(2)/2))/(LN(2)/2)*GH101*GK101*VLOOKUP('Données projet'!$B$17,Paramètres!$A$1:$I$89,3,0)*0.475*44/12</f>
        <v>0</v>
      </c>
      <c r="GO101" s="23">
        <f t="shared" si="81"/>
        <v>0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66.334588918375687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4.0735000000000001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14.936166666666667</v>
      </c>
      <c r="H102" s="70">
        <f t="shared" si="56"/>
        <v>196.922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66.398175606010341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5.9</v>
      </c>
      <c r="N102" s="14">
        <f>IF('Données projet'!$A$36&gt;35,N101+M102-V101,IF(A102&lt;'Données projet'!$A$36,$K$205^A102,IF(A102='Données projet'!$A$36,'Données projet'!$B$36,N101+M102-V101)))</f>
        <v>355.09999999999991</v>
      </c>
      <c r="O102" s="14">
        <f>N102*VLOOKUP('Données projet'!$B$9,Paramètres!$A$1:$I$89,3,0)*VLOOKUP('Données projet'!$B$9,Paramètres!$A$1:$I$89,5,0)</f>
        <v>321.29447999999991</v>
      </c>
      <c r="P102" s="14">
        <f t="shared" si="87"/>
        <v>75.622632084792471</v>
      </c>
      <c r="Q102" s="22">
        <f t="shared" si="107"/>
        <v>691.29730354767992</v>
      </c>
      <c r="R102" s="62">
        <f t="shared" si="55"/>
        <v>971.42394743638442</v>
      </c>
      <c r="S102" s="62">
        <f ca="1">AVERAGE(OFFSET($R$3,0,0,'Données projet'!$E$9+1,1))-AVERAGE(OFFSET($H$3,0,0,'Données projet'!$E$9+1,1))</f>
        <v>546.11281471711925</v>
      </c>
      <c r="T102" s="62">
        <f t="shared" si="88"/>
        <v>348.18069831447099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66.398175606010341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8</v>
      </c>
      <c r="AI102" s="14">
        <f>IF('Données projet'!$A$62&gt;35,AI101+AH102-AQ101,IF(A102&lt;'Données projet'!$A$62,$AF$205^A102,IF(A102='Données projet'!$A$62,'Données projet'!$B$62,AI101+AH102-AQ101)))</f>
        <v>464.99999999999977</v>
      </c>
      <c r="AJ102" s="14">
        <f>AI102*VLOOKUP('Données projet'!$B$10,Paramètres!$A$1:$I$89,3,0)*VLOOKUP('Données projet'!$B$10,Paramètres!$A$1:$I$89,5,0)</f>
        <v>398.96999999999986</v>
      </c>
      <c r="AK102" s="14">
        <f t="shared" si="89"/>
        <v>91.567817203825484</v>
      </c>
      <c r="AL102" s="22">
        <f t="shared" si="58"/>
        <v>854.35336496332911</v>
      </c>
      <c r="AM102" s="62">
        <f t="shared" si="59"/>
        <v>1134.4800088520337</v>
      </c>
      <c r="AN102" s="62">
        <f ca="1">AVERAGE(OFFSET($AM$3,0,0,'Données projet'!$E$10+1,1))-AVERAGE(OFFSET($H$3,0,0,'Données projet'!$E$10+1,1))</f>
        <v>693.87994318348024</v>
      </c>
      <c r="AO102" s="62">
        <f t="shared" si="90"/>
        <v>327.71043739333641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66.398175606010341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5.9</v>
      </c>
      <c r="BD102" s="13">
        <f>IF('Données projet'!$A$88&gt;35,BD101+BC102-BL101,IF(A102&lt;'Données projet'!$A$88,$BA$205^A102,IF(A102='Données projet'!$A$88,'Données projet'!$B$88,BD101+BC102-BL101)))</f>
        <v>355.09999999999991</v>
      </c>
      <c r="BE102" s="14">
        <f>BD102*VLOOKUP('Données projet'!$B$11,Paramètres!$A$1:$I$89,3,0)*VLOOKUP('Données projet'!$B$11,Paramètres!$A$1:$I$89,5,0)</f>
        <v>299.13623999999993</v>
      </c>
      <c r="BF102" s="14">
        <f t="shared" si="91"/>
        <v>70.995355826722829</v>
      </c>
      <c r="BG102" s="22">
        <f t="shared" si="61"/>
        <v>644.64586273154214</v>
      </c>
      <c r="BH102" s="62">
        <f t="shared" si="62"/>
        <v>924.77250662024676</v>
      </c>
      <c r="BI102" s="62">
        <f ca="1">AVERAGE(OFFSET($BH$3,0,0,'Données projet'!$E$11+1,1))-AVERAGE(OFFSET($H$3,0,0,'Données projet'!$E$11+1,1))</f>
        <v>513.7388209355762</v>
      </c>
      <c r="BJ102" s="62">
        <f t="shared" si="92"/>
        <v>328.24603121433927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66.398175606010341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4.5474735088646412E-13</v>
      </c>
      <c r="BZ102" s="14">
        <f>BY102*VLOOKUP('Données projet'!$B$12,Paramètres!$A$1:$I$89,3,0)*VLOOKUP('Données projet'!$B$12,Paramètres!$A$1:$I$89,5,0)</f>
        <v>3.6179699236527089E-13</v>
      </c>
      <c r="CA102" s="14">
        <f t="shared" si="93"/>
        <v>4.6796319415916035E-12</v>
      </c>
      <c r="CB102" s="22">
        <f t="shared" si="64"/>
        <v>8.7804887266415556E-12</v>
      </c>
      <c r="CC102" s="62">
        <f t="shared" si="65"/>
        <v>280.12664388871332</v>
      </c>
      <c r="CD102" s="62">
        <f ca="1">AVERAGE(OFFSET($CC$3,0,0,'Données projet'!$E$12+1,1))-AVERAGE(OFFSET($H$3,0,0,'Données projet'!$E$12+1,1))</f>
        <v>447.25854887589878</v>
      </c>
      <c r="CE102" s="62">
        <f t="shared" si="94"/>
        <v>480.13390593590157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66.398175606010341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1.1368683772161603E-13</v>
      </c>
      <c r="CU102" s="18">
        <f>CT102*VLOOKUP('Données projet'!$B$13,Paramètres!$A$1:$I$89,3,0)*VLOOKUP('Données projet'!$B$13,Paramètres!$A$1:$I$89,5,0)</f>
        <v>8.8675733422860506E-14</v>
      </c>
      <c r="CV102" s="14">
        <f t="shared" si="95"/>
        <v>1.3509285393066301E-12</v>
      </c>
      <c r="CW102" s="22">
        <f t="shared" si="67"/>
        <v>2.5073107750038623E-12</v>
      </c>
      <c r="CX102" s="62">
        <f t="shared" si="68"/>
        <v>280.12664388870706</v>
      </c>
      <c r="CY102" s="62">
        <f ca="1">AVERAGE(OFFSET($CX$3,0,0,'Données projet'!$E$13+1,1))-AVERAGE(OFFSET($H$3,0,0,'Données projet'!$E$13+1,1))</f>
        <v>308.52515801950324</v>
      </c>
      <c r="CZ102" s="62">
        <f t="shared" si="96"/>
        <v>299.05420638408953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66.398175606010341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4.5474735088646412E-13</v>
      </c>
      <c r="DP102" s="18">
        <f>DO102*VLOOKUP('Données projet'!$B$14,Paramètres!$A$1:$I$89,3,0)*VLOOKUP('Données projet'!$B$14,Paramètres!$A$1:$I$89,5,0)</f>
        <v>3.3342075766995548E-13</v>
      </c>
      <c r="DQ102" s="14">
        <f t="shared" si="97"/>
        <v>4.3537988100583648E-12</v>
      </c>
      <c r="DR102" s="22">
        <f t="shared" si="70"/>
        <v>8.1635740804601579E-12</v>
      </c>
      <c r="DS102" s="62">
        <f t="shared" si="71"/>
        <v>280.12664388871275</v>
      </c>
      <c r="DT102" s="62">
        <f ca="1">AVERAGE(OFFSET($DS$3,0,0,'Données projet'!$E$14+1,1))-AVERAGE(OFFSET($H$3,0,0,'Données projet'!$E$14+1,1))</f>
        <v>416.72317068678774</v>
      </c>
      <c r="DU102" s="62">
        <f t="shared" si="98"/>
        <v>447.32457429495537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66.398175606010341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3.7179487179487181</v>
      </c>
      <c r="EJ102" s="13">
        <f>IF('Données projet'!$A$192&gt;35,EJ101+EI102-ER101,IF(A102&lt;'Données projet'!$A$192,$EG$205^A102,IF(A102='Données projet'!$A$192,'Données projet'!$B$192,EJ101+EI102-ER101)))</f>
        <v>282.17948717948735</v>
      </c>
      <c r="EK102" s="18">
        <f>EJ102*VLOOKUP('Données projet'!$B$15,Paramètres!$A$1:$I$89,3,0)*VLOOKUP('Données projet'!$B$15,Paramètres!$A$1:$I$89,5,0)</f>
        <v>268.52200000000016</v>
      </c>
      <c r="EL102" s="14">
        <f t="shared" si="99"/>
        <v>64.535500249335854</v>
      </c>
      <c r="EM102" s="22">
        <f t="shared" si="73"/>
        <v>580.0751462675936</v>
      </c>
      <c r="EN102" s="62">
        <f t="shared" si="74"/>
        <v>860.2017901562981</v>
      </c>
      <c r="EO102" s="62">
        <f ca="1">AVERAGE(OFFSET($EN$3,0,0,'Données projet'!$E$15+1,1))-AVERAGE(OFFSET($H$3,0,0,'Données projet'!$E$15+1,1))</f>
        <v>454.78867027701426</v>
      </c>
      <c r="EP102" s="62">
        <f t="shared" si="100"/>
        <v>366.45346303927056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0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66.398175606010341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3.9743589743589838</v>
      </c>
      <c r="FE102" s="13">
        <f>IF('Données projet'!$A$218&gt;35,FE101+FD102-FM101,IF(A102&lt;'Données projet'!$A$218,$FB$205^A102,IF(A102='Données projet'!$A$218,'Données projet'!$B$218,FE101+FD102-FM101)))</f>
        <v>351.1538461538463</v>
      </c>
      <c r="FF102" s="18">
        <f>FE102*VLOOKUP('Données projet'!$B$16,Paramètres!$A$1:$I$89,3,0)*VLOOKUP('Données projet'!$B$16,Paramètres!$A$1:$I$89,5,0)</f>
        <v>235.55400000000009</v>
      </c>
      <c r="FG102" s="14">
        <f t="shared" si="101"/>
        <v>57.481913403727333</v>
      </c>
      <c r="FH102" s="22">
        <f t="shared" si="76"/>
        <v>510.37088251149186</v>
      </c>
      <c r="FI102" s="62">
        <f t="shared" si="77"/>
        <v>790.49752640019642</v>
      </c>
      <c r="FJ102" s="62">
        <f ca="1">AVERAGE(OFFSET($FI$3,0,0,'Données projet'!$E$16+1,1))-AVERAGE(OFFSET($H$3,0,0,'Données projet'!$E$16+1,1))</f>
        <v>390.05579539539576</v>
      </c>
      <c r="FK102" s="62">
        <f t="shared" si="102"/>
        <v>323.72278615226139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projet'!$B$16,Paramètres!$A$1:$I$89,3,0)*0.475*44/12</f>
        <v>0</v>
      </c>
      <c r="FR102" s="23">
        <f>EXP(-LN(2)/25)*FR101+(1-EXP(-LN(2)/25))/(LN(2)/25)*Calculateur!FM102*Calculateur!FO102*VLOOKUP('Données projet'!$B$16,Paramètres!$A$1:$I$89,3,0)*0.475*44/12</f>
        <v>0</v>
      </c>
      <c r="FS102" s="23">
        <f>EXP(-LN(2)/2)*FS101+(1-EXP(-LN(2)/2))/(LN(2)/2)*FM102*FP102*VLOOKUP('Données projet'!$B$16,Paramètres!$A$1:$I$89,3,0)*0.475*44/12</f>
        <v>0</v>
      </c>
      <c r="FT102" s="24">
        <f t="shared" si="78"/>
        <v>0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66.398175606010341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5.9</v>
      </c>
      <c r="FZ102" s="13">
        <f>IF('Données projet'!$A$244&gt;35,FZ101+FY102-GH101,IF(A102&lt;'Données projet'!$A$244,$FW$205^A102,IF(A102='Données projet'!$A$244,'Données projet'!$B$244,FZ101+FY102-GH101)))</f>
        <v>355.09999999999991</v>
      </c>
      <c r="GA102" s="18">
        <f>FZ102*VLOOKUP('Données projet'!$B$17,Paramètres!$A$1:$I$89,3,0)*VLOOKUP('Données projet'!$B$17,Paramètres!$A$1:$I$89,5,0)</f>
        <v>343.45271999999994</v>
      </c>
      <c r="GB102" s="14">
        <f t="shared" si="103"/>
        <v>80.212880209411935</v>
      </c>
      <c r="GC102" s="22">
        <f t="shared" si="79"/>
        <v>737.88425369805884</v>
      </c>
      <c r="GD102" s="62">
        <f t="shared" si="80"/>
        <v>1018.0108975867633</v>
      </c>
      <c r="GE102" s="62">
        <f ca="1">AVERAGE(OFFSET($GD$3,0,0,'Données projet'!$E$17+1,1))-AVERAGE(OFFSET($H$3,0,0,'Données projet'!$E$17+1,1))</f>
        <v>578.44111602076555</v>
      </c>
      <c r="GF102" s="62">
        <f t="shared" si="104"/>
        <v>368.08542661432784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>
        <f>EXP(-LN(2)/35)*GL101+(1-EXP(-LN(2)/35))/(LN(2)/35)*GH102*GI102*VLOOKUP('Données projet'!$B$17,Paramètres!$A$1:$I$89,3,0)*0.475*44/12</f>
        <v>0</v>
      </c>
      <c r="GM102" s="23">
        <f>EXP(-LN(2)/25)*GM101+(1-EXP(-LN(2)/25))/(LN(2)/25)*Calculateur!GH102*Calculateur!GJ102*VLOOKUP('Données projet'!$B$17,Paramètres!$A$1:$I$89,3,0)*0.475*44/12</f>
        <v>0</v>
      </c>
      <c r="GN102" s="23">
        <f>EXP(-LN(2)/2)*GN101+(1-EXP(-LN(2)/2))/(LN(2)/2)*GH102*GK102*VLOOKUP('Données projet'!$B$17,Paramètres!$A$1:$I$89,3,0)*0.475*44/12</f>
        <v>0</v>
      </c>
      <c r="GO102" s="23">
        <f t="shared" si="81"/>
        <v>0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66.398175606010341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4.0735000000000001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14.936166666666667</v>
      </c>
      <c r="H103" s="70">
        <f t="shared" si="56"/>
        <v>196.922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66.460659206773059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361</v>
      </c>
      <c r="L103" s="13">
        <f>VLOOKUP(A103,'Données projet'!$A$35:$I$55,9,0)</f>
        <v>5.9</v>
      </c>
      <c r="M103" s="13">
        <f t="array" ref="M103">INDEX(L:L,MIN(IF(ISNUMBER(L103:L299),ROW(L103:L299),"")))</f>
        <v>5.9</v>
      </c>
      <c r="N103" s="14">
        <f>IF('Données projet'!$A$36&gt;35,N102+M103-V102,IF(A103&lt;'Données projet'!$A$36,$K$205^A103,IF(A103='Données projet'!$A$36,'Données projet'!$B$36,N102+M103-V102)))</f>
        <v>360.99999999999989</v>
      </c>
      <c r="O103" s="14">
        <f>N103*VLOOKUP('Données projet'!$B$9,Paramètres!$A$1:$I$89,3,0)*VLOOKUP('Données projet'!$B$9,Paramètres!$A$1:$I$89,5,0)</f>
        <v>326.63279999999986</v>
      </c>
      <c r="P103" s="14">
        <f t="shared" si="87"/>
        <v>76.731784548754774</v>
      </c>
      <c r="Q103" s="22">
        <f t="shared" si="107"/>
        <v>702.52665142241437</v>
      </c>
      <c r="R103" s="62">
        <f t="shared" si="55"/>
        <v>982.88240184724896</v>
      </c>
      <c r="S103" s="62">
        <f ca="1">AVERAGE(OFFSET($R$3,0,0,'Données projet'!$E$9+1,1))-AVERAGE(OFFSET($H$3,0,0,'Données projet'!$E$9+1,1))</f>
        <v>546.11281471711925</v>
      </c>
      <c r="T103" s="62">
        <f t="shared" si="88"/>
        <v>348.18069831447099</v>
      </c>
      <c r="U103" s="16">
        <f>IF(ISNA(VLOOKUP(A103,'Données projet'!$A$35:$I$55,3,0)),0,VLOOKUP(A103,'Données projet'!$A$35:$I$55,3,0))</f>
        <v>9</v>
      </c>
      <c r="V103" s="16">
        <f>IF(ISNA(VLOOKUP(A103,'Données projet'!$A$35:$I$55,4,0)),0,VLOOKUP(A103,'Données projet'!$A$35:$I$55,4,0))</f>
        <v>55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66.460659206773059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8</v>
      </c>
      <c r="AI103" s="14">
        <f>IF('Données projet'!$A$62&gt;35,AI102+AH103-AQ102,IF(A103&lt;'Données projet'!$A$62,$AF$205^A103,IF(A103='Données projet'!$A$62,'Données projet'!$B$62,AI102+AH103-AQ102)))</f>
        <v>472.99999999999977</v>
      </c>
      <c r="AJ103" s="14">
        <f>AI103*VLOOKUP('Données projet'!$B$10,Paramètres!$A$1:$I$89,3,0)*VLOOKUP('Données projet'!$B$10,Paramètres!$A$1:$I$89,5,0)</f>
        <v>405.83399999999989</v>
      </c>
      <c r="AK103" s="14">
        <f t="shared" si="89"/>
        <v>92.958420619932326</v>
      </c>
      <c r="AL103" s="22">
        <f t="shared" si="58"/>
        <v>868.73013257971525</v>
      </c>
      <c r="AM103" s="62">
        <f t="shared" si="59"/>
        <v>1149.0858830045497</v>
      </c>
      <c r="AN103" s="62">
        <f ca="1">AVERAGE(OFFSET($AM$3,0,0,'Données projet'!$E$10+1,1))-AVERAGE(OFFSET($H$3,0,0,'Données projet'!$E$10+1,1))</f>
        <v>693.87994318348024</v>
      </c>
      <c r="AO103" s="62">
        <f t="shared" si="90"/>
        <v>327.71043739333641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66.460659206773059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361</v>
      </c>
      <c r="BB103" s="13">
        <f>VLOOKUP(A103,'Données projet'!$A$87:$I$107,9,0)</f>
        <v>5.9</v>
      </c>
      <c r="BC103" s="13">
        <f t="array" ref="BC103">INDEX(BB:BB,MIN(IF(ISNUMBER(BB103:BB299),ROW(BB103:BB299),"")))</f>
        <v>5.9</v>
      </c>
      <c r="BD103" s="13">
        <f>IF('Données projet'!$A$88&gt;35,BD102+BC103-BL102,IF(A103&lt;'Données projet'!$A$88,$BA$205^A103,IF(A103='Données projet'!$A$88,'Données projet'!$B$88,BD102+BC103-BL102)))</f>
        <v>360.99999999999989</v>
      </c>
      <c r="BE103" s="14">
        <f>BD103*VLOOKUP('Données projet'!$B$11,Paramètres!$A$1:$I$89,3,0)*VLOOKUP('Données projet'!$B$11,Paramètres!$A$1:$I$89,5,0)</f>
        <v>304.10639999999989</v>
      </c>
      <c r="BF103" s="14">
        <f t="shared" si="91"/>
        <v>72.036640316223298</v>
      </c>
      <c r="BG103" s="22">
        <f t="shared" si="61"/>
        <v>655.11579521742192</v>
      </c>
      <c r="BH103" s="62">
        <f t="shared" si="62"/>
        <v>935.47154564225639</v>
      </c>
      <c r="BI103" s="62">
        <f ca="1">AVERAGE(OFFSET($BH$3,0,0,'Données projet'!$E$11+1,1))-AVERAGE(OFFSET($H$3,0,0,'Données projet'!$E$11+1,1))</f>
        <v>513.7388209355762</v>
      </c>
      <c r="BJ103" s="62">
        <f t="shared" si="92"/>
        <v>328.24603121433927</v>
      </c>
      <c r="BK103" s="16">
        <f>IF(ISNA(VLOOKUP(A103,'Données projet'!$A$87:$I$107,3,0)),0,VLOOKUP(A103,'Données projet'!$A$87:$I$107,3,0))</f>
        <v>9</v>
      </c>
      <c r="BL103" s="16">
        <f>IF(ISNA(VLOOKUP(A103,'Données projet'!$A$87:$I$107,4,0)),0,VLOOKUP(A103,'Données projet'!$A$87:$I$107,4,0))</f>
        <v>55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66.460659206773059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4.5474735088646412E-13</v>
      </c>
      <c r="BZ103" s="14">
        <f>BY103*VLOOKUP('Données projet'!$B$12,Paramètres!$A$1:$I$89,3,0)*VLOOKUP('Données projet'!$B$12,Paramètres!$A$1:$I$89,5,0)</f>
        <v>3.6179699236527089E-13</v>
      </c>
      <c r="CA103" s="14">
        <f t="shared" si="93"/>
        <v>4.6796319415916035E-12</v>
      </c>
      <c r="CB103" s="22">
        <f t="shared" si="64"/>
        <v>8.7804887266415556E-12</v>
      </c>
      <c r="CC103" s="62">
        <f t="shared" si="65"/>
        <v>280.35575042484328</v>
      </c>
      <c r="CD103" s="62">
        <f ca="1">AVERAGE(OFFSET($CC$3,0,0,'Données projet'!$E$12+1,1))-AVERAGE(OFFSET($H$3,0,0,'Données projet'!$E$12+1,1))</f>
        <v>447.25854887589878</v>
      </c>
      <c r="CE103" s="62">
        <f t="shared" si="94"/>
        <v>480.13390593590157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66.460659206773059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1.1368683772161603E-13</v>
      </c>
      <c r="CU103" s="18">
        <f>CT103*VLOOKUP('Données projet'!$B$13,Paramètres!$A$1:$I$89,3,0)*VLOOKUP('Données projet'!$B$13,Paramètres!$A$1:$I$89,5,0)</f>
        <v>8.8675733422860506E-14</v>
      </c>
      <c r="CV103" s="14">
        <f t="shared" si="95"/>
        <v>1.3509285393066301E-12</v>
      </c>
      <c r="CW103" s="22">
        <f t="shared" si="67"/>
        <v>2.5073107750038623E-12</v>
      </c>
      <c r="CX103" s="62">
        <f t="shared" si="68"/>
        <v>280.35575042483703</v>
      </c>
      <c r="CY103" s="62">
        <f ca="1">AVERAGE(OFFSET($CX$3,0,0,'Données projet'!$E$13+1,1))-AVERAGE(OFFSET($H$3,0,0,'Données projet'!$E$13+1,1))</f>
        <v>308.52515801950324</v>
      </c>
      <c r="CZ103" s="62">
        <f t="shared" si="96"/>
        <v>299.05420638408953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66.460659206773059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4.5474735088646412E-13</v>
      </c>
      <c r="DP103" s="18">
        <f>DO103*VLOOKUP('Données projet'!$B$14,Paramètres!$A$1:$I$89,3,0)*VLOOKUP('Données projet'!$B$14,Paramètres!$A$1:$I$89,5,0)</f>
        <v>3.3342075766995548E-13</v>
      </c>
      <c r="DQ103" s="14">
        <f t="shared" si="97"/>
        <v>4.3537988100583648E-12</v>
      </c>
      <c r="DR103" s="22">
        <f t="shared" si="70"/>
        <v>8.1635740804601579E-12</v>
      </c>
      <c r="DS103" s="62">
        <f t="shared" si="71"/>
        <v>280.35575042484271</v>
      </c>
      <c r="DT103" s="62">
        <f ca="1">AVERAGE(OFFSET($DS$3,0,0,'Données projet'!$E$14+1,1))-AVERAGE(OFFSET($H$3,0,0,'Données projet'!$E$14+1,1))</f>
        <v>416.72317068678774</v>
      </c>
      <c r="DU103" s="62">
        <f t="shared" si="98"/>
        <v>447.32457429495537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66.460659206773059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>
        <f>VLOOKUP(A103,'Données projet'!$A$191:$I$211,2,0)</f>
        <v>285.89743589743591</v>
      </c>
      <c r="EH103" s="13">
        <f>VLOOKUP(A103,'Données projet'!$A$191:$I$211,9,0)</f>
        <v>3.7179487179487181</v>
      </c>
      <c r="EI103" s="13">
        <f t="array" ref="EI103">INDEX(EH:EH,MIN(IF(ISNUMBER(EH103:EH299),ROW(EH103:EH299),"")))</f>
        <v>3.7179487179487181</v>
      </c>
      <c r="EJ103" s="13">
        <f>IF('Données projet'!$A$192&gt;35,EJ102+EI103-ER102,IF(A103&lt;'Données projet'!$A$192,$EG$205^A103,IF(A103='Données projet'!$A$192,'Données projet'!$B$192,EJ102+EI103-ER102)))</f>
        <v>285.89743589743608</v>
      </c>
      <c r="EK103" s="18">
        <f>EJ103*VLOOKUP('Données projet'!$B$15,Paramètres!$A$1:$I$89,3,0)*VLOOKUP('Données projet'!$B$15,Paramètres!$A$1:$I$89,5,0)</f>
        <v>272.06000000000017</v>
      </c>
      <c r="EL103" s="14">
        <f t="shared" si="99"/>
        <v>65.286259698592175</v>
      </c>
      <c r="EM103" s="22">
        <f t="shared" si="73"/>
        <v>587.54473564171496</v>
      </c>
      <c r="EN103" s="62">
        <f t="shared" si="74"/>
        <v>867.90048606654955</v>
      </c>
      <c r="EO103" s="62">
        <f ca="1">AVERAGE(OFFSET($EN$3,0,0,'Données projet'!$E$15+1,1))-AVERAGE(OFFSET($H$3,0,0,'Données projet'!$E$15+1,1))</f>
        <v>454.78867027701426</v>
      </c>
      <c r="EP103" s="62">
        <f t="shared" si="100"/>
        <v>366.45346303927056</v>
      </c>
      <c r="EQ103" s="16">
        <f>IF(ISNA(VLOOKUP(A103,'Données projet'!$A$191:$I$211,3,0)),0,VLOOKUP(A103,'Données projet'!$A$191:$I$211,3,0))</f>
        <v>9</v>
      </c>
      <c r="ER103" s="16">
        <f>IF(ISNA(VLOOKUP(A103,'Données projet'!$A$191:$I$211,4,0)),0,VLOOKUP(A103,'Données projet'!$A$191:$I$211,4,0))</f>
        <v>28.205128205128204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0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66.460659206773059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>
        <f>VLOOKUP(A103,'Données projet'!$A$217:$I$237,2,0)</f>
        <v>355.12820512820514</v>
      </c>
      <c r="FC103" s="13">
        <f>VLOOKUP(A103,'Données projet'!$A$217:$I$237,9,0)</f>
        <v>3.9743589743589838</v>
      </c>
      <c r="FD103" s="13">
        <f t="array" ref="FD103">INDEX(FC:FC,MIN(IF(ISNUMBER(FC103:FC299),ROW(FC103:FC299),"")))</f>
        <v>3.9743589743589838</v>
      </c>
      <c r="FE103" s="13">
        <f>IF('Données projet'!$A$218&gt;35,FE102+FD103-FM102,IF(A103&lt;'Données projet'!$A$218,$FB$205^A103,IF(A103='Données projet'!$A$218,'Données projet'!$B$218,FE102+FD103-FM102)))</f>
        <v>355.12820512820531</v>
      </c>
      <c r="FF103" s="18">
        <f>FE103*VLOOKUP('Données projet'!$B$16,Paramètres!$A$1:$I$89,3,0)*VLOOKUP('Données projet'!$B$16,Paramètres!$A$1:$I$89,5,0)</f>
        <v>238.22000000000014</v>
      </c>
      <c r="FG103" s="14">
        <f t="shared" si="101"/>
        <v>58.05638904163186</v>
      </c>
      <c r="FH103" s="22">
        <f t="shared" si="76"/>
        <v>516.01471091417579</v>
      </c>
      <c r="FI103" s="62">
        <f t="shared" si="77"/>
        <v>796.37046133901026</v>
      </c>
      <c r="FJ103" s="62">
        <f ca="1">AVERAGE(OFFSET($FI$3,0,0,'Données projet'!$E$16+1,1))-AVERAGE(OFFSET($H$3,0,0,'Données projet'!$E$16+1,1))</f>
        <v>390.05579539539576</v>
      </c>
      <c r="FK103" s="62">
        <f t="shared" si="102"/>
        <v>323.72278615226139</v>
      </c>
      <c r="FL103" s="16">
        <f>IF(ISNA(VLOOKUP(A103,'Données projet'!$A$217:$I$237,3,0)),0,VLOOKUP(A103,'Données projet'!$A$217:$I$237,3,0))</f>
        <v>9</v>
      </c>
      <c r="FM103" s="16">
        <f>IF(ISNA(VLOOKUP(A103,'Données projet'!$A$217:$I$237,4,0)),0,VLOOKUP(A103,'Données projet'!$A$217:$I$237,4,0))</f>
        <v>25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projet'!$B$16,Paramètres!$A$1:$I$89,3,0)*0.475*44/12</f>
        <v>0</v>
      </c>
      <c r="FR103" s="23">
        <f>EXP(-LN(2)/25)*FR102+(1-EXP(-LN(2)/25))/(LN(2)/25)*Calculateur!FM103*Calculateur!FO103*VLOOKUP('Données projet'!$B$16,Paramètres!$A$1:$I$89,3,0)*0.475*44/12</f>
        <v>0</v>
      </c>
      <c r="FS103" s="23">
        <f>EXP(-LN(2)/2)*FS102+(1-EXP(-LN(2)/2))/(LN(2)/2)*FM103*FP103*VLOOKUP('Données projet'!$B$16,Paramètres!$A$1:$I$89,3,0)*0.475*44/12</f>
        <v>0</v>
      </c>
      <c r="FT103" s="24">
        <f t="shared" si="78"/>
        <v>0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66.460659206773059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>
        <f>VLOOKUP(A103,'Données projet'!$A$243:$I$263,2,0)</f>
        <v>361</v>
      </c>
      <c r="FX103" s="13">
        <f>VLOOKUP(A103,'Données projet'!$A$243:$I$263,9,0)</f>
        <v>5.9</v>
      </c>
      <c r="FY103" s="13">
        <f t="array" ref="FY103">INDEX(FX:FX,MIN(IF(ISNUMBER(FX103:FX299),ROW(FX103:FX299),"")))</f>
        <v>5.9</v>
      </c>
      <c r="FZ103" s="13">
        <f>IF('Données projet'!$A$244&gt;35,FZ102+FY103-GH102,IF(A103&lt;'Données projet'!$A$244,$FW$205^A103,IF(A103='Données projet'!$A$244,'Données projet'!$B$244,FZ102+FY103-GH102)))</f>
        <v>360.99999999999989</v>
      </c>
      <c r="GA103" s="18">
        <f>FZ103*VLOOKUP('Données projet'!$B$17,Paramètres!$A$1:$I$89,3,0)*VLOOKUP('Données projet'!$B$17,Paramètres!$A$1:$I$89,5,0)</f>
        <v>349.15919999999988</v>
      </c>
      <c r="GB103" s="14">
        <f t="shared" si="103"/>
        <v>81.389357558494837</v>
      </c>
      <c r="GC103" s="22">
        <f t="shared" si="79"/>
        <v>749.87207108104496</v>
      </c>
      <c r="GD103" s="62">
        <f t="shared" si="80"/>
        <v>1030.2278215058795</v>
      </c>
      <c r="GE103" s="62">
        <f ca="1">AVERAGE(OFFSET($GD$3,0,0,'Données projet'!$E$17+1,1))-AVERAGE(OFFSET($H$3,0,0,'Données projet'!$E$17+1,1))</f>
        <v>578.44111602076555</v>
      </c>
      <c r="GF103" s="62">
        <f t="shared" si="104"/>
        <v>368.08542661432784</v>
      </c>
      <c r="GG103" s="16">
        <f>IF(ISNA(VLOOKUP(A103,'Données projet'!$A$243:$I$263,3,0)),0,VLOOKUP(A103,'Données projet'!$A$243:$I$263,3,0))</f>
        <v>9</v>
      </c>
      <c r="GH103" s="16">
        <f>IF(ISNA(VLOOKUP(A103,'Données projet'!$A$243:$I$263,4,0)),0,VLOOKUP(A103,'Données projet'!$A$243:$I$263,4,0))</f>
        <v>55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>
        <f>EXP(-LN(2)/35)*GL102+(1-EXP(-LN(2)/35))/(LN(2)/35)*GH103*GI103*VLOOKUP('Données projet'!$B$17,Paramètres!$A$1:$I$89,3,0)*0.475*44/12</f>
        <v>0</v>
      </c>
      <c r="GM103" s="23">
        <f>EXP(-LN(2)/25)*GM102+(1-EXP(-LN(2)/25))/(LN(2)/25)*Calculateur!GH103*Calculateur!GJ103*VLOOKUP('Données projet'!$B$17,Paramètres!$A$1:$I$89,3,0)*0.475*44/12</f>
        <v>0</v>
      </c>
      <c r="GN103" s="23">
        <f>EXP(-LN(2)/2)*GN102+(1-EXP(-LN(2)/2))/(LN(2)/2)*GH103*GK103*VLOOKUP('Données projet'!$B$17,Paramètres!$A$1:$I$89,3,0)*0.475*44/12</f>
        <v>0</v>
      </c>
      <c r="GO103" s="23">
        <f t="shared" si="81"/>
        <v>0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66.460659206773059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4.0735000000000001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14.936166666666667</v>
      </c>
      <c r="H104" s="70">
        <f t="shared" si="56"/>
        <v>196.922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66.522058856754953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5.2</v>
      </c>
      <c r="N104" s="14">
        <f>IF('Données projet'!$A$36&gt;35,N103+M104-V103,IF(A104&lt;'Données projet'!$A$36,$K$205^A104,IF(A104='Données projet'!$A$36,'Données projet'!$B$36,N103+M104-V103)))</f>
        <v>311.19999999999987</v>
      </c>
      <c r="O104" s="14">
        <f>N104*VLOOKUP('Données projet'!$B$9,Paramètres!$A$1:$I$89,3,0)*VLOOKUP('Données projet'!$B$9,Paramètres!$A$1:$I$89,5,0)</f>
        <v>281.57375999999988</v>
      </c>
      <c r="P104" s="14">
        <f t="shared" si="87"/>
        <v>67.299481043334993</v>
      </c>
      <c r="Q104" s="22">
        <f t="shared" si="107"/>
        <v>607.62089481714156</v>
      </c>
      <c r="R104" s="62">
        <f t="shared" si="55"/>
        <v>888.20177729190971</v>
      </c>
      <c r="S104" s="62">
        <f ca="1">AVERAGE(OFFSET($R$3,0,0,'Données projet'!$E$9+1,1))-AVERAGE(OFFSET($H$3,0,0,'Données projet'!$E$9+1,1))</f>
        <v>546.11281471711925</v>
      </c>
      <c r="T104" s="62">
        <f t="shared" si="88"/>
        <v>348.18069831447099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66.522058856754953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8</v>
      </c>
      <c r="AI104" s="14">
        <f>IF('Données projet'!$A$62&gt;35,AI103+AH104-AQ103,IF(A104&lt;'Données projet'!$A$62,$AF$205^A104,IF(A104='Données projet'!$A$62,'Données projet'!$B$62,AI103+AH104-AQ103)))</f>
        <v>480.99999999999977</v>
      </c>
      <c r="AJ104" s="14">
        <f>AI104*VLOOKUP('Données projet'!$B$10,Paramètres!$A$1:$I$89,3,0)*VLOOKUP('Données projet'!$B$10,Paramètres!$A$1:$I$89,5,0)</f>
        <v>412.69799999999987</v>
      </c>
      <c r="AK104" s="14">
        <f t="shared" si="89"/>
        <v>94.34628889591923</v>
      </c>
      <c r="AL104" s="22">
        <f t="shared" si="58"/>
        <v>883.10213649372565</v>
      </c>
      <c r="AM104" s="62">
        <f t="shared" si="59"/>
        <v>1163.6830189684938</v>
      </c>
      <c r="AN104" s="62">
        <f ca="1">AVERAGE(OFFSET($AM$3,0,0,'Données projet'!$E$10+1,1))-AVERAGE(OFFSET($H$3,0,0,'Données projet'!$E$10+1,1))</f>
        <v>693.87994318348024</v>
      </c>
      <c r="AO104" s="62">
        <f t="shared" si="90"/>
        <v>327.71043739333641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66.522058856754953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5.2</v>
      </c>
      <c r="BD104" s="13">
        <f>IF('Données projet'!$A$88&gt;35,BD103+BC104-BL103,IF(A104&lt;'Données projet'!$A$88,$BA$205^A104,IF(A104='Données projet'!$A$88,'Données projet'!$B$88,BD103+BC104-BL103)))</f>
        <v>311.19999999999987</v>
      </c>
      <c r="BE104" s="14">
        <f>BD104*VLOOKUP('Données projet'!$B$11,Paramètres!$A$1:$I$89,3,0)*VLOOKUP('Données projet'!$B$11,Paramètres!$A$1:$I$89,5,0)</f>
        <v>262.15487999999993</v>
      </c>
      <c r="BF104" s="14">
        <f t="shared" si="91"/>
        <v>63.18149040710518</v>
      </c>
      <c r="BG104" s="22">
        <f t="shared" si="61"/>
        <v>566.62751179237466</v>
      </c>
      <c r="BH104" s="62">
        <f t="shared" si="62"/>
        <v>847.20839426714281</v>
      </c>
      <c r="BI104" s="62">
        <f ca="1">AVERAGE(OFFSET($BH$3,0,0,'Données projet'!$E$11+1,1))-AVERAGE(OFFSET($H$3,0,0,'Données projet'!$E$11+1,1))</f>
        <v>513.7388209355762</v>
      </c>
      <c r="BJ104" s="62">
        <f t="shared" si="92"/>
        <v>328.24603121433927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66.522058856754953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4.5474735088646412E-13</v>
      </c>
      <c r="BZ104" s="14">
        <f>BY104*VLOOKUP('Données projet'!$B$12,Paramètres!$A$1:$I$89,3,0)*VLOOKUP('Données projet'!$B$12,Paramètres!$A$1:$I$89,5,0)</f>
        <v>3.6179699236527089E-13</v>
      </c>
      <c r="CA104" s="14">
        <f t="shared" si="93"/>
        <v>4.6796319415916035E-12</v>
      </c>
      <c r="CB104" s="22">
        <f t="shared" si="64"/>
        <v>8.7804887266415556E-12</v>
      </c>
      <c r="CC104" s="62">
        <f t="shared" si="65"/>
        <v>280.5808824747769</v>
      </c>
      <c r="CD104" s="62">
        <f ca="1">AVERAGE(OFFSET($CC$3,0,0,'Données projet'!$E$12+1,1))-AVERAGE(OFFSET($H$3,0,0,'Données projet'!$E$12+1,1))</f>
        <v>447.25854887589878</v>
      </c>
      <c r="CE104" s="62">
        <f t="shared" si="94"/>
        <v>480.13390593590157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66.522058856754953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1.1368683772161603E-13</v>
      </c>
      <c r="CU104" s="18">
        <f>CT104*VLOOKUP('Données projet'!$B$13,Paramètres!$A$1:$I$89,3,0)*VLOOKUP('Données projet'!$B$13,Paramètres!$A$1:$I$89,5,0)</f>
        <v>8.8675733422860506E-14</v>
      </c>
      <c r="CV104" s="14">
        <f t="shared" si="95"/>
        <v>1.3509285393066301E-12</v>
      </c>
      <c r="CW104" s="22">
        <f t="shared" si="67"/>
        <v>2.5073107750038623E-12</v>
      </c>
      <c r="CX104" s="62">
        <f t="shared" si="68"/>
        <v>280.58088247477065</v>
      </c>
      <c r="CY104" s="62">
        <f ca="1">AVERAGE(OFFSET($CX$3,0,0,'Données projet'!$E$13+1,1))-AVERAGE(OFFSET($H$3,0,0,'Données projet'!$E$13+1,1))</f>
        <v>308.52515801950324</v>
      </c>
      <c r="CZ104" s="62">
        <f t="shared" si="96"/>
        <v>299.05420638408953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66.522058856754953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4.5474735088646412E-13</v>
      </c>
      <c r="DP104" s="18">
        <f>DO104*VLOOKUP('Données projet'!$B$14,Paramètres!$A$1:$I$89,3,0)*VLOOKUP('Données projet'!$B$14,Paramètres!$A$1:$I$89,5,0)</f>
        <v>3.3342075766995548E-13</v>
      </c>
      <c r="DQ104" s="14">
        <f t="shared" si="97"/>
        <v>4.3537988100583648E-12</v>
      </c>
      <c r="DR104" s="22">
        <f t="shared" si="70"/>
        <v>8.1635740804601579E-12</v>
      </c>
      <c r="DS104" s="62">
        <f t="shared" si="71"/>
        <v>280.58088247477633</v>
      </c>
      <c r="DT104" s="62">
        <f ca="1">AVERAGE(OFFSET($DS$3,0,0,'Données projet'!$E$14+1,1))-AVERAGE(OFFSET($H$3,0,0,'Données projet'!$E$14+1,1))</f>
        <v>416.72317068678774</v>
      </c>
      <c r="DU104" s="62">
        <f t="shared" si="98"/>
        <v>447.32457429495537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66.522058856754953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3.5897435897435854</v>
      </c>
      <c r="EJ104" s="13">
        <f>IF('Données projet'!$A$192&gt;35,EJ103+EI104-ER103,IF(A104&lt;'Données projet'!$A$192,$EG$205^A104,IF(A104='Données projet'!$A$192,'Données projet'!$B$192,EJ103+EI104-ER103)))</f>
        <v>261.2820512820515</v>
      </c>
      <c r="EK104" s="18">
        <f>EJ104*VLOOKUP('Données projet'!$B$15,Paramètres!$A$1:$I$89,3,0)*VLOOKUP('Données projet'!$B$15,Paramètres!$A$1:$I$89,5,0)</f>
        <v>248.63600000000019</v>
      </c>
      <c r="EL104" s="14">
        <f t="shared" si="99"/>
        <v>60.293767845706391</v>
      </c>
      <c r="EM104" s="22">
        <f t="shared" si="73"/>
        <v>538.05267899793887</v>
      </c>
      <c r="EN104" s="62">
        <f t="shared" si="74"/>
        <v>818.63356147270702</v>
      </c>
      <c r="EO104" s="62">
        <f ca="1">AVERAGE(OFFSET($EN$3,0,0,'Données projet'!$E$15+1,1))-AVERAGE(OFFSET($H$3,0,0,'Données projet'!$E$15+1,1))</f>
        <v>454.78867027701426</v>
      </c>
      <c r="EP104" s="62">
        <f t="shared" si="100"/>
        <v>366.45346303927056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0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66.522058856754953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3.6538461538461489</v>
      </c>
      <c r="FE104" s="13">
        <f>IF('Données projet'!$A$218&gt;35,FE103+FD104-FM103,IF(A104&lt;'Données projet'!$A$218,$FB$205^A104,IF(A104='Données projet'!$A$218,'Données projet'!$B$218,FE103+FD104-FM103)))</f>
        <v>333.78205128205144</v>
      </c>
      <c r="FF104" s="18">
        <f>FE104*VLOOKUP('Données projet'!$B$16,Paramètres!$A$1:$I$89,3,0)*VLOOKUP('Données projet'!$B$16,Paramètres!$A$1:$I$89,5,0)</f>
        <v>223.90100000000012</v>
      </c>
      <c r="FG104" s="14">
        <f t="shared" si="101"/>
        <v>54.961879528873183</v>
      </c>
      <c r="FH104" s="22">
        <f t="shared" si="76"/>
        <v>485.68618184612097</v>
      </c>
      <c r="FI104" s="62">
        <f t="shared" si="77"/>
        <v>766.26706432088918</v>
      </c>
      <c r="FJ104" s="62">
        <f ca="1">AVERAGE(OFFSET($FI$3,0,0,'Données projet'!$E$16+1,1))-AVERAGE(OFFSET($H$3,0,0,'Données projet'!$E$16+1,1))</f>
        <v>390.05579539539576</v>
      </c>
      <c r="FK104" s="62">
        <f t="shared" si="102"/>
        <v>323.72278615226139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projet'!$B$16,Paramètres!$A$1:$I$89,3,0)*0.475*44/12</f>
        <v>0</v>
      </c>
      <c r="FR104" s="23">
        <f>EXP(-LN(2)/25)*FR103+(1-EXP(-LN(2)/25))/(LN(2)/25)*Calculateur!FM104*Calculateur!FO104*VLOOKUP('Données projet'!$B$16,Paramètres!$A$1:$I$89,3,0)*0.475*44/12</f>
        <v>0</v>
      </c>
      <c r="FS104" s="23">
        <f>EXP(-LN(2)/2)*FS103+(1-EXP(-LN(2)/2))/(LN(2)/2)*FM104*FP104*VLOOKUP('Données projet'!$B$16,Paramètres!$A$1:$I$89,3,0)*0.475*44/12</f>
        <v>0</v>
      </c>
      <c r="FT104" s="24">
        <f t="shared" si="78"/>
        <v>0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66.522058856754953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5.2</v>
      </c>
      <c r="FZ104" s="13">
        <f>IF('Données projet'!$A$244&gt;35,FZ103+FY104-GH103,IF(A104&lt;'Données projet'!$A$244,$FW$205^A104,IF(A104='Données projet'!$A$244,'Données projet'!$B$244,FZ103+FY104-GH103)))</f>
        <v>311.19999999999987</v>
      </c>
      <c r="GA104" s="18">
        <f>FZ104*VLOOKUP('Données projet'!$B$17,Paramètres!$A$1:$I$89,3,0)*VLOOKUP('Données projet'!$B$17,Paramètres!$A$1:$I$89,5,0)</f>
        <v>300.99263999999988</v>
      </c>
      <c r="GB104" s="14">
        <f t="shared" si="103"/>
        <v>71.384518923273589</v>
      </c>
      <c r="GC104" s="22">
        <f t="shared" si="79"/>
        <v>648.55688512470113</v>
      </c>
      <c r="GD104" s="62">
        <f t="shared" si="80"/>
        <v>929.13776759946927</v>
      </c>
      <c r="GE104" s="62">
        <f ca="1">AVERAGE(OFFSET($GD$3,0,0,'Données projet'!$E$17+1,1))-AVERAGE(OFFSET($H$3,0,0,'Données projet'!$E$17+1,1))</f>
        <v>578.44111602076555</v>
      </c>
      <c r="GF104" s="62">
        <f t="shared" si="104"/>
        <v>368.08542661432784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>
        <f>EXP(-LN(2)/35)*GL103+(1-EXP(-LN(2)/35))/(LN(2)/35)*GH104*GI104*VLOOKUP('Données projet'!$B$17,Paramètres!$A$1:$I$89,3,0)*0.475*44/12</f>
        <v>0</v>
      </c>
      <c r="GM104" s="23">
        <f>EXP(-LN(2)/25)*GM103+(1-EXP(-LN(2)/25))/(LN(2)/25)*Calculateur!GH104*Calculateur!GJ104*VLOOKUP('Données projet'!$B$17,Paramètres!$A$1:$I$89,3,0)*0.475*44/12</f>
        <v>0</v>
      </c>
      <c r="GN104" s="23">
        <f>EXP(-LN(2)/2)*GN103+(1-EXP(-LN(2)/2))/(LN(2)/2)*GH104*GK104*VLOOKUP('Données projet'!$B$17,Paramètres!$A$1:$I$89,3,0)*0.475*44/12</f>
        <v>0</v>
      </c>
      <c r="GO104" s="23">
        <f t="shared" si="81"/>
        <v>0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66.522058856754953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4.0735000000000001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14.936166666666667</v>
      </c>
      <c r="H105" s="70">
        <f t="shared" si="56"/>
        <v>196.922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66.582393360078711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5.2</v>
      </c>
      <c r="N105" s="14">
        <f>IF('Données projet'!$A$36&gt;35,N104+M105-V104,IF(A105&lt;'Données projet'!$A$36,$K$205^A105,IF(A105='Données projet'!$A$36,'Données projet'!$B$36,N104+M105-V104)))</f>
        <v>316.39999999999986</v>
      </c>
      <c r="O105" s="14">
        <f>N105*VLOOKUP('Données projet'!$B$9,Paramètres!$A$1:$I$89,3,0)*VLOOKUP('Données projet'!$B$9,Paramètres!$A$1:$I$89,5,0)</f>
        <v>286.27871999999985</v>
      </c>
      <c r="P105" s="14">
        <f t="shared" si="87"/>
        <v>68.292165517667542</v>
      </c>
      <c r="Q105" s="22">
        <f t="shared" si="107"/>
        <v>617.5442922766041</v>
      </c>
      <c r="R105" s="62">
        <f t="shared" si="55"/>
        <v>898.3464012635593</v>
      </c>
      <c r="S105" s="62">
        <f ca="1">AVERAGE(OFFSET($R$3,0,0,'Données projet'!$E$9+1,1))-AVERAGE(OFFSET($H$3,0,0,'Données projet'!$E$9+1,1))</f>
        <v>546.11281471711925</v>
      </c>
      <c r="T105" s="62">
        <f t="shared" si="88"/>
        <v>348.18069831447099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66.582393360078711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8</v>
      </c>
      <c r="AI105" s="14">
        <f>IF('Données projet'!$A$62&gt;35,AI104+AH105-AQ104,IF(A105&lt;'Données projet'!$A$62,$AF$205^A105,IF(A105='Données projet'!$A$62,'Données projet'!$B$62,AI104+AH105-AQ104)))</f>
        <v>488.99999999999977</v>
      </c>
      <c r="AJ105" s="14">
        <f>AI105*VLOOKUP('Données projet'!$B$10,Paramètres!$A$1:$I$89,3,0)*VLOOKUP('Données projet'!$B$10,Paramètres!$A$1:$I$89,5,0)</f>
        <v>419.56199999999984</v>
      </c>
      <c r="AK105" s="14">
        <f t="shared" si="89"/>
        <v>95.731472773408413</v>
      </c>
      <c r="AL105" s="22">
        <f t="shared" si="58"/>
        <v>897.46946508035262</v>
      </c>
      <c r="AM105" s="62">
        <f t="shared" si="59"/>
        <v>1178.2715740673079</v>
      </c>
      <c r="AN105" s="62">
        <f ca="1">AVERAGE(OFFSET($AM$3,0,0,'Données projet'!$E$10+1,1))-AVERAGE(OFFSET($H$3,0,0,'Données projet'!$E$10+1,1))</f>
        <v>693.87994318348024</v>
      </c>
      <c r="AO105" s="62">
        <f t="shared" si="90"/>
        <v>327.71043739333641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66.582393360078711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5.2</v>
      </c>
      <c r="BD105" s="13">
        <f>IF('Données projet'!$A$88&gt;35,BD104+BC105-BL104,IF(A105&lt;'Données projet'!$A$88,$BA$205^A105,IF(A105='Données projet'!$A$88,'Données projet'!$B$88,BD104+BC105-BL104)))</f>
        <v>316.39999999999986</v>
      </c>
      <c r="BE105" s="14">
        <f>BD105*VLOOKUP('Données projet'!$B$11,Paramètres!$A$1:$I$89,3,0)*VLOOKUP('Données projet'!$B$11,Paramètres!$A$1:$I$89,5,0)</f>
        <v>266.53535999999991</v>
      </c>
      <c r="BF105" s="14">
        <f t="shared" si="91"/>
        <v>64.113433471449738</v>
      </c>
      <c r="BG105" s="22">
        <f t="shared" si="61"/>
        <v>575.87998196277476</v>
      </c>
      <c r="BH105" s="62">
        <f t="shared" si="62"/>
        <v>856.68209094973008</v>
      </c>
      <c r="BI105" s="62">
        <f ca="1">AVERAGE(OFFSET($BH$3,0,0,'Données projet'!$E$11+1,1))-AVERAGE(OFFSET($H$3,0,0,'Données projet'!$E$11+1,1))</f>
        <v>513.7388209355762</v>
      </c>
      <c r="BJ105" s="62">
        <f t="shared" si="92"/>
        <v>328.24603121433927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66.582393360078711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4.5474735088646412E-13</v>
      </c>
      <c r="BZ105" s="14">
        <f>BY105*VLOOKUP('Données projet'!$B$12,Paramètres!$A$1:$I$89,3,0)*VLOOKUP('Données projet'!$B$12,Paramètres!$A$1:$I$89,5,0)</f>
        <v>3.6179699236527089E-13</v>
      </c>
      <c r="CA105" s="14">
        <f t="shared" si="93"/>
        <v>4.6796319415916035E-12</v>
      </c>
      <c r="CB105" s="22">
        <f t="shared" si="64"/>
        <v>8.7804887266415556E-12</v>
      </c>
      <c r="CC105" s="62">
        <f t="shared" si="65"/>
        <v>280.80210898696402</v>
      </c>
      <c r="CD105" s="62">
        <f ca="1">AVERAGE(OFFSET($CC$3,0,0,'Données projet'!$E$12+1,1))-AVERAGE(OFFSET($H$3,0,0,'Données projet'!$E$12+1,1))</f>
        <v>447.25854887589878</v>
      </c>
      <c r="CE105" s="62">
        <f t="shared" si="94"/>
        <v>480.13390593590157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66.582393360078711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1.1368683772161603E-13</v>
      </c>
      <c r="CU105" s="18">
        <f>CT105*VLOOKUP('Données projet'!$B$13,Paramètres!$A$1:$I$89,3,0)*VLOOKUP('Données projet'!$B$13,Paramètres!$A$1:$I$89,5,0)</f>
        <v>8.8675733422860506E-14</v>
      </c>
      <c r="CV105" s="14">
        <f t="shared" si="95"/>
        <v>1.3509285393066301E-12</v>
      </c>
      <c r="CW105" s="22">
        <f t="shared" si="67"/>
        <v>2.5073107750038623E-12</v>
      </c>
      <c r="CX105" s="62">
        <f t="shared" si="68"/>
        <v>280.80210898695776</v>
      </c>
      <c r="CY105" s="62">
        <f ca="1">AVERAGE(OFFSET($CX$3,0,0,'Données projet'!$E$13+1,1))-AVERAGE(OFFSET($H$3,0,0,'Données projet'!$E$13+1,1))</f>
        <v>308.52515801950324</v>
      </c>
      <c r="CZ105" s="62">
        <f t="shared" si="96"/>
        <v>299.05420638408953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66.582393360078711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4.5474735088646412E-13</v>
      </c>
      <c r="DP105" s="18">
        <f>DO105*VLOOKUP('Données projet'!$B$14,Paramètres!$A$1:$I$89,3,0)*VLOOKUP('Données projet'!$B$14,Paramètres!$A$1:$I$89,5,0)</f>
        <v>3.3342075766995548E-13</v>
      </c>
      <c r="DQ105" s="14">
        <f t="shared" si="97"/>
        <v>4.3537988100583648E-12</v>
      </c>
      <c r="DR105" s="22">
        <f t="shared" si="70"/>
        <v>8.1635740804601579E-12</v>
      </c>
      <c r="DS105" s="62">
        <f t="shared" si="71"/>
        <v>280.80210898696345</v>
      </c>
      <c r="DT105" s="62">
        <f ca="1">AVERAGE(OFFSET($DS$3,0,0,'Données projet'!$E$14+1,1))-AVERAGE(OFFSET($H$3,0,0,'Données projet'!$E$14+1,1))</f>
        <v>416.72317068678774</v>
      </c>
      <c r="DU105" s="62">
        <f t="shared" si="98"/>
        <v>447.32457429495537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66.582393360078711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3.5897435897435854</v>
      </c>
      <c r="EJ105" s="13">
        <f>IF('Données projet'!$A$192&gt;35,EJ104+EI105-ER104,IF(A105&lt;'Données projet'!$A$192,$EG$205^A105,IF(A105='Données projet'!$A$192,'Données projet'!$B$192,EJ104+EI105-ER104)))</f>
        <v>264.87179487179509</v>
      </c>
      <c r="EK105" s="18">
        <f>EJ105*VLOOKUP('Données projet'!$B$15,Paramètres!$A$1:$I$89,3,0)*VLOOKUP('Données projet'!$B$15,Paramètres!$A$1:$I$89,5,0)</f>
        <v>252.05200000000019</v>
      </c>
      <c r="EL105" s="14">
        <f t="shared" si="99"/>
        <v>61.025136500600851</v>
      </c>
      <c r="EM105" s="22">
        <f t="shared" si="73"/>
        <v>545.2760127385468</v>
      </c>
      <c r="EN105" s="62">
        <f t="shared" si="74"/>
        <v>826.07812172550211</v>
      </c>
      <c r="EO105" s="62">
        <f ca="1">AVERAGE(OFFSET($EN$3,0,0,'Données projet'!$E$15+1,1))-AVERAGE(OFFSET($H$3,0,0,'Données projet'!$E$15+1,1))</f>
        <v>454.78867027701426</v>
      </c>
      <c r="EP105" s="62">
        <f t="shared" si="100"/>
        <v>366.45346303927056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0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66.582393360078711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3.6538461538461489</v>
      </c>
      <c r="FE105" s="13">
        <f>IF('Données projet'!$A$218&gt;35,FE104+FD105-FM104,IF(A105&lt;'Données projet'!$A$218,$FB$205^A105,IF(A105='Données projet'!$A$218,'Données projet'!$B$218,FE104+FD105-FM104)))</f>
        <v>337.43589743589757</v>
      </c>
      <c r="FF105" s="18">
        <f>FE105*VLOOKUP('Données projet'!$B$16,Paramètres!$A$1:$I$89,3,0)*VLOOKUP('Données projet'!$B$16,Paramètres!$A$1:$I$89,5,0)</f>
        <v>226.35200000000009</v>
      </c>
      <c r="FG105" s="14">
        <f t="shared" si="101"/>
        <v>55.493166179246714</v>
      </c>
      <c r="FH105" s="22">
        <f t="shared" si="76"/>
        <v>490.88033109552151</v>
      </c>
      <c r="FI105" s="62">
        <f t="shared" si="77"/>
        <v>771.68244008247677</v>
      </c>
      <c r="FJ105" s="62">
        <f ca="1">AVERAGE(OFFSET($FI$3,0,0,'Données projet'!$E$16+1,1))-AVERAGE(OFFSET($H$3,0,0,'Données projet'!$E$16+1,1))</f>
        <v>390.05579539539576</v>
      </c>
      <c r="FK105" s="62">
        <f t="shared" si="102"/>
        <v>323.72278615226139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projet'!$B$16,Paramètres!$A$1:$I$89,3,0)*0.475*44/12</f>
        <v>0</v>
      </c>
      <c r="FR105" s="23">
        <f>EXP(-LN(2)/25)*FR104+(1-EXP(-LN(2)/25))/(LN(2)/25)*Calculateur!FM105*Calculateur!FO105*VLOOKUP('Données projet'!$B$16,Paramètres!$A$1:$I$89,3,0)*0.475*44/12</f>
        <v>0</v>
      </c>
      <c r="FS105" s="23">
        <f>EXP(-LN(2)/2)*FS104+(1-EXP(-LN(2)/2))/(LN(2)/2)*FM105*FP105*VLOOKUP('Données projet'!$B$16,Paramètres!$A$1:$I$89,3,0)*0.475*44/12</f>
        <v>0</v>
      </c>
      <c r="FT105" s="24">
        <f t="shared" si="78"/>
        <v>0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66.582393360078711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5.2</v>
      </c>
      <c r="FZ105" s="13">
        <f>IF('Données projet'!$A$244&gt;35,FZ104+FY105-GH104,IF(A105&lt;'Données projet'!$A$244,$FW$205^A105,IF(A105='Données projet'!$A$244,'Données projet'!$B$244,FZ104+FY105-GH104)))</f>
        <v>316.39999999999986</v>
      </c>
      <c r="GA105" s="18">
        <f>FZ105*VLOOKUP('Données projet'!$B$17,Paramètres!$A$1:$I$89,3,0)*VLOOKUP('Données projet'!$B$17,Paramètres!$A$1:$I$89,5,0)</f>
        <v>306.0220799999999</v>
      </c>
      <c r="GB105" s="14">
        <f t="shared" si="103"/>
        <v>72.437458746051689</v>
      </c>
      <c r="GC105" s="22">
        <f t="shared" si="79"/>
        <v>659.15036331603972</v>
      </c>
      <c r="GD105" s="62">
        <f t="shared" si="80"/>
        <v>939.95247230299492</v>
      </c>
      <c r="GE105" s="62">
        <f ca="1">AVERAGE(OFFSET($GD$3,0,0,'Données projet'!$E$17+1,1))-AVERAGE(OFFSET($H$3,0,0,'Données projet'!$E$17+1,1))</f>
        <v>578.44111602076555</v>
      </c>
      <c r="GF105" s="62">
        <f t="shared" si="104"/>
        <v>368.08542661432784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>
        <f>EXP(-LN(2)/35)*GL104+(1-EXP(-LN(2)/35))/(LN(2)/35)*GH105*GI105*VLOOKUP('Données projet'!$B$17,Paramètres!$A$1:$I$89,3,0)*0.475*44/12</f>
        <v>0</v>
      </c>
      <c r="GM105" s="23">
        <f>EXP(-LN(2)/25)*GM104+(1-EXP(-LN(2)/25))/(LN(2)/25)*Calculateur!GH105*Calculateur!GJ105*VLOOKUP('Données projet'!$B$17,Paramètres!$A$1:$I$89,3,0)*0.475*44/12</f>
        <v>0</v>
      </c>
      <c r="GN105" s="23">
        <f>EXP(-LN(2)/2)*GN104+(1-EXP(-LN(2)/2))/(LN(2)/2)*GH105*GK105*VLOOKUP('Données projet'!$B$17,Paramètres!$A$1:$I$89,3,0)*0.475*44/12</f>
        <v>0</v>
      </c>
      <c r="GO105" s="23">
        <f t="shared" si="81"/>
        <v>0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66.582393360078711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4.0735000000000001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14.936166666666667</v>
      </c>
      <c r="H106" s="70">
        <f t="shared" si="56"/>
        <v>196.922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66.641681194657551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5.2</v>
      </c>
      <c r="N106" s="14">
        <f>IF('Données projet'!$A$36&gt;35,N105+M106-V105,IF(A106&lt;'Données projet'!$A$36,$K$205^A106,IF(A106='Données projet'!$A$36,'Données projet'!$B$36,N105+M106-V105)))</f>
        <v>321.59999999999985</v>
      </c>
      <c r="O106" s="14">
        <f>N106*VLOOKUP('Données projet'!$B$9,Paramètres!$A$1:$I$89,3,0)*VLOOKUP('Données projet'!$B$9,Paramètres!$A$1:$I$89,5,0)</f>
        <v>290.98367999999988</v>
      </c>
      <c r="P106" s="14">
        <f t="shared" si="87"/>
        <v>69.282952690245423</v>
      </c>
      <c r="Q106" s="22">
        <f t="shared" si="107"/>
        <v>627.46438526884378</v>
      </c>
      <c r="R106" s="62">
        <f t="shared" si="55"/>
        <v>908.48388298258806</v>
      </c>
      <c r="S106" s="62">
        <f ca="1">AVERAGE(OFFSET($R$3,0,0,'Données projet'!$E$9+1,1))-AVERAGE(OFFSET($H$3,0,0,'Données projet'!$E$9+1,1))</f>
        <v>546.11281471711925</v>
      </c>
      <c r="T106" s="62">
        <f t="shared" si="88"/>
        <v>348.18069831447099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66.641681194657551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8</v>
      </c>
      <c r="AI106" s="14">
        <f>IF('Données projet'!$A$62&gt;35,AI105+AH106-AQ105,IF(A106&lt;'Données projet'!$A$62,$AF$205^A106,IF(A106='Données projet'!$A$62,'Données projet'!$B$62,AI105+AH106-AQ105)))</f>
        <v>496.99999999999977</v>
      </c>
      <c r="AJ106" s="14">
        <f>AI106*VLOOKUP('Données projet'!$B$10,Paramètres!$A$1:$I$89,3,0)*VLOOKUP('Données projet'!$B$10,Paramètres!$A$1:$I$89,5,0)</f>
        <v>426.42599999999987</v>
      </c>
      <c r="AK106" s="14">
        <f t="shared" si="89"/>
        <v>97.114021238574921</v>
      </c>
      <c r="AL106" s="22">
        <f t="shared" si="58"/>
        <v>911.83220365718444</v>
      </c>
      <c r="AM106" s="62">
        <f t="shared" si="59"/>
        <v>1192.8517013709288</v>
      </c>
      <c r="AN106" s="62">
        <f ca="1">AVERAGE(OFFSET($AM$3,0,0,'Données projet'!$E$10+1,1))-AVERAGE(OFFSET($H$3,0,0,'Données projet'!$E$10+1,1))</f>
        <v>693.87994318348024</v>
      </c>
      <c r="AO106" s="62">
        <f t="shared" si="90"/>
        <v>327.71043739333641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66.641681194657551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5.2</v>
      </c>
      <c r="BD106" s="13">
        <f>IF('Données projet'!$A$88&gt;35,BD105+BC106-BL105,IF(A106&lt;'Données projet'!$A$88,$BA$205^A106,IF(A106='Données projet'!$A$88,'Données projet'!$B$88,BD105+BC106-BL105)))</f>
        <v>321.59999999999985</v>
      </c>
      <c r="BE106" s="14">
        <f>BD106*VLOOKUP('Données projet'!$B$11,Paramètres!$A$1:$I$89,3,0)*VLOOKUP('Données projet'!$B$11,Paramètres!$A$1:$I$89,5,0)</f>
        <v>270.91583999999989</v>
      </c>
      <c r="BF106" s="14">
        <f t="shared" si="91"/>
        <v>65.043595328112488</v>
      </c>
      <c r="BG106" s="22">
        <f t="shared" si="61"/>
        <v>585.12934986312905</v>
      </c>
      <c r="BH106" s="62">
        <f t="shared" si="62"/>
        <v>866.14884757687332</v>
      </c>
      <c r="BI106" s="62">
        <f ca="1">AVERAGE(OFFSET($BH$3,0,0,'Données projet'!$E$11+1,1))-AVERAGE(OFFSET($H$3,0,0,'Données projet'!$E$11+1,1))</f>
        <v>513.7388209355762</v>
      </c>
      <c r="BJ106" s="62">
        <f t="shared" si="92"/>
        <v>328.24603121433927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66.641681194657551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4.5474735088646412E-13</v>
      </c>
      <c r="BZ106" s="14">
        <f>BY106*VLOOKUP('Données projet'!$B$12,Paramètres!$A$1:$I$89,3,0)*VLOOKUP('Données projet'!$B$12,Paramètres!$A$1:$I$89,5,0)</f>
        <v>3.6179699236527089E-13</v>
      </c>
      <c r="CA106" s="14">
        <f t="shared" si="93"/>
        <v>4.6796319415916035E-12</v>
      </c>
      <c r="CB106" s="22">
        <f t="shared" si="64"/>
        <v>8.7804887266415556E-12</v>
      </c>
      <c r="CC106" s="62">
        <f t="shared" si="65"/>
        <v>281.01949771375308</v>
      </c>
      <c r="CD106" s="62">
        <f ca="1">AVERAGE(OFFSET($CC$3,0,0,'Données projet'!$E$12+1,1))-AVERAGE(OFFSET($H$3,0,0,'Données projet'!$E$12+1,1))</f>
        <v>447.25854887589878</v>
      </c>
      <c r="CE106" s="62">
        <f t="shared" si="94"/>
        <v>480.13390593590157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66.641681194657551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1.1368683772161603E-13</v>
      </c>
      <c r="CU106" s="18">
        <f>CT106*VLOOKUP('Données projet'!$B$13,Paramètres!$A$1:$I$89,3,0)*VLOOKUP('Données projet'!$B$13,Paramètres!$A$1:$I$89,5,0)</f>
        <v>8.8675733422860506E-14</v>
      </c>
      <c r="CV106" s="14">
        <f t="shared" si="95"/>
        <v>1.3509285393066301E-12</v>
      </c>
      <c r="CW106" s="22">
        <f t="shared" si="67"/>
        <v>2.5073107750038623E-12</v>
      </c>
      <c r="CX106" s="62">
        <f t="shared" si="68"/>
        <v>281.01949771374683</v>
      </c>
      <c r="CY106" s="62">
        <f ca="1">AVERAGE(OFFSET($CX$3,0,0,'Données projet'!$E$13+1,1))-AVERAGE(OFFSET($H$3,0,0,'Données projet'!$E$13+1,1))</f>
        <v>308.52515801950324</v>
      </c>
      <c r="CZ106" s="62">
        <f t="shared" si="96"/>
        <v>299.05420638408953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66.641681194657551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4.5474735088646412E-13</v>
      </c>
      <c r="DP106" s="18">
        <f>DO106*VLOOKUP('Données projet'!$B$14,Paramètres!$A$1:$I$89,3,0)*VLOOKUP('Données projet'!$B$14,Paramètres!$A$1:$I$89,5,0)</f>
        <v>3.3342075766995548E-13</v>
      </c>
      <c r="DQ106" s="14">
        <f t="shared" si="97"/>
        <v>4.3537988100583648E-12</v>
      </c>
      <c r="DR106" s="22">
        <f t="shared" si="70"/>
        <v>8.1635740804601579E-12</v>
      </c>
      <c r="DS106" s="62">
        <f t="shared" si="71"/>
        <v>281.01949771375251</v>
      </c>
      <c r="DT106" s="62">
        <f ca="1">AVERAGE(OFFSET($DS$3,0,0,'Données projet'!$E$14+1,1))-AVERAGE(OFFSET($H$3,0,0,'Données projet'!$E$14+1,1))</f>
        <v>416.72317068678774</v>
      </c>
      <c r="DU106" s="62">
        <f t="shared" si="98"/>
        <v>447.32457429495537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66.641681194657551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3.5897435897435854</v>
      </c>
      <c r="EJ106" s="13">
        <f>IF('Données projet'!$A$192&gt;35,EJ105+EI106-ER105,IF(A106&lt;'Données projet'!$A$192,$EG$205^A106,IF(A106='Données projet'!$A$192,'Données projet'!$B$192,EJ105+EI106-ER105)))</f>
        <v>268.46153846153868</v>
      </c>
      <c r="EK106" s="18">
        <f>EJ106*VLOOKUP('Données projet'!$B$15,Paramètres!$A$1:$I$89,3,0)*VLOOKUP('Données projet'!$B$15,Paramètres!$A$1:$I$89,5,0)</f>
        <v>255.46800000000019</v>
      </c>
      <c r="EL106" s="14">
        <f t="shared" si="99"/>
        <v>61.755352263609289</v>
      </c>
      <c r="EM106" s="22">
        <f t="shared" si="73"/>
        <v>552.4973385257864</v>
      </c>
      <c r="EN106" s="62">
        <f t="shared" si="74"/>
        <v>833.51683623953068</v>
      </c>
      <c r="EO106" s="62">
        <f ca="1">AVERAGE(OFFSET($EN$3,0,0,'Données projet'!$E$15+1,1))-AVERAGE(OFFSET($H$3,0,0,'Données projet'!$E$15+1,1))</f>
        <v>454.78867027701426</v>
      </c>
      <c r="EP106" s="62">
        <f t="shared" si="100"/>
        <v>366.45346303927056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0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66.641681194657551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3.6538461538461489</v>
      </c>
      <c r="FE106" s="13">
        <f>IF('Données projet'!$A$218&gt;35,FE105+FD106-FM105,IF(A106&lt;'Données projet'!$A$218,$FB$205^A106,IF(A106='Données projet'!$A$218,'Données projet'!$B$218,FE105+FD106-FM105)))</f>
        <v>341.0897435897437</v>
      </c>
      <c r="FF106" s="18">
        <f>FE106*VLOOKUP('Données projet'!$B$16,Paramètres!$A$1:$I$89,3,0)*VLOOKUP('Données projet'!$B$16,Paramètres!$A$1:$I$89,5,0)</f>
        <v>228.80300000000008</v>
      </c>
      <c r="FG106" s="14">
        <f t="shared" si="101"/>
        <v>56.023783598437618</v>
      </c>
      <c r="FH106" s="22">
        <f t="shared" si="76"/>
        <v>496.07331476727899</v>
      </c>
      <c r="FI106" s="62">
        <f t="shared" si="77"/>
        <v>777.09281248102332</v>
      </c>
      <c r="FJ106" s="62">
        <f ca="1">AVERAGE(OFFSET($FI$3,0,0,'Données projet'!$E$16+1,1))-AVERAGE(OFFSET($H$3,0,0,'Données projet'!$E$16+1,1))</f>
        <v>390.05579539539576</v>
      </c>
      <c r="FK106" s="62">
        <f t="shared" si="102"/>
        <v>323.72278615226139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projet'!$B$16,Paramètres!$A$1:$I$89,3,0)*0.475*44/12</f>
        <v>0</v>
      </c>
      <c r="FR106" s="23">
        <f>EXP(-LN(2)/25)*FR105+(1-EXP(-LN(2)/25))/(LN(2)/25)*Calculateur!FM106*Calculateur!FO106*VLOOKUP('Données projet'!$B$16,Paramètres!$A$1:$I$89,3,0)*0.475*44/12</f>
        <v>0</v>
      </c>
      <c r="FS106" s="23">
        <f>EXP(-LN(2)/2)*FS105+(1-EXP(-LN(2)/2))/(LN(2)/2)*FM106*FP106*VLOOKUP('Données projet'!$B$16,Paramètres!$A$1:$I$89,3,0)*0.475*44/12</f>
        <v>0</v>
      </c>
      <c r="FT106" s="24">
        <f t="shared" si="78"/>
        <v>0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66.641681194657551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5.2</v>
      </c>
      <c r="FZ106" s="13">
        <f>IF('Données projet'!$A$244&gt;35,FZ105+FY106-GH105,IF(A106&lt;'Données projet'!$A$244,$FW$205^A106,IF(A106='Données projet'!$A$244,'Données projet'!$B$244,FZ105+FY106-GH105)))</f>
        <v>321.59999999999985</v>
      </c>
      <c r="GA106" s="18">
        <f>FZ106*VLOOKUP('Données projet'!$B$17,Paramètres!$A$1:$I$89,3,0)*VLOOKUP('Données projet'!$B$17,Paramètres!$A$1:$I$89,5,0)</f>
        <v>311.05151999999987</v>
      </c>
      <c r="GB106" s="14">
        <f t="shared" si="103"/>
        <v>73.488386102003744</v>
      </c>
      <c r="GC106" s="22">
        <f t="shared" si="79"/>
        <v>669.74033646098962</v>
      </c>
      <c r="GD106" s="62">
        <f t="shared" si="80"/>
        <v>950.7598341747339</v>
      </c>
      <c r="GE106" s="62">
        <f ca="1">AVERAGE(OFFSET($GD$3,0,0,'Données projet'!$E$17+1,1))-AVERAGE(OFFSET($H$3,0,0,'Données projet'!$E$17+1,1))</f>
        <v>578.44111602076555</v>
      </c>
      <c r="GF106" s="62">
        <f t="shared" si="104"/>
        <v>368.08542661432784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>
        <f>EXP(-LN(2)/35)*GL105+(1-EXP(-LN(2)/35))/(LN(2)/35)*GH106*GI106*VLOOKUP('Données projet'!$B$17,Paramètres!$A$1:$I$89,3,0)*0.475*44/12</f>
        <v>0</v>
      </c>
      <c r="GM106" s="23">
        <f>EXP(-LN(2)/25)*GM105+(1-EXP(-LN(2)/25))/(LN(2)/25)*Calculateur!GH106*Calculateur!GJ106*VLOOKUP('Données projet'!$B$17,Paramètres!$A$1:$I$89,3,0)*0.475*44/12</f>
        <v>0</v>
      </c>
      <c r="GN106" s="23">
        <f>EXP(-LN(2)/2)*GN105+(1-EXP(-LN(2)/2))/(LN(2)/2)*GH106*GK106*VLOOKUP('Données projet'!$B$17,Paramètres!$A$1:$I$89,3,0)*0.475*44/12</f>
        <v>0</v>
      </c>
      <c r="GO106" s="23">
        <f t="shared" si="81"/>
        <v>0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66.641681194657551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4.0735000000000001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14.936166666666667</v>
      </c>
      <c r="H107" s="70">
        <f t="shared" si="56"/>
        <v>196.922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66.699940517854188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5.2</v>
      </c>
      <c r="N107" s="14">
        <f>IF('Données projet'!$A$36&gt;35,N106+M107-V106,IF(A107&lt;'Données projet'!$A$36,$K$205^A107,IF(A107='Données projet'!$A$36,'Données projet'!$B$36,N106+M107-V106)))</f>
        <v>326.79999999999984</v>
      </c>
      <c r="O107" s="14">
        <f>N107*VLOOKUP('Données projet'!$B$9,Paramètres!$A$1:$I$89,3,0)*VLOOKUP('Données projet'!$B$9,Paramètres!$A$1:$I$89,5,0)</f>
        <v>295.68863999999985</v>
      </c>
      <c r="P107" s="14">
        <f t="shared" si="87"/>
        <v>70.271876780519676</v>
      </c>
      <c r="Q107" s="22">
        <f t="shared" si="107"/>
        <v>637.38123339273818</v>
      </c>
      <c r="R107" s="62">
        <f t="shared" si="55"/>
        <v>918.61434862487022</v>
      </c>
      <c r="S107" s="62">
        <f ca="1">AVERAGE(OFFSET($R$3,0,0,'Données projet'!$E$9+1,1))-AVERAGE(OFFSET($H$3,0,0,'Données projet'!$E$9+1,1))</f>
        <v>546.11281471711925</v>
      </c>
      <c r="T107" s="62">
        <f t="shared" si="88"/>
        <v>348.18069831447099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66.699940517854188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8</v>
      </c>
      <c r="AI107" s="14">
        <f>IF('Données projet'!$A$62&gt;35,AI106+AH107-AQ106,IF(A107&lt;'Données projet'!$A$62,$AF$205^A107,IF(A107='Données projet'!$A$62,'Données projet'!$B$62,AI106+AH107-AQ106)))</f>
        <v>504.99999999999977</v>
      </c>
      <c r="AJ107" s="14">
        <f>AI107*VLOOKUP('Données projet'!$B$10,Paramètres!$A$1:$I$89,3,0)*VLOOKUP('Données projet'!$B$10,Paramètres!$A$1:$I$89,5,0)</f>
        <v>433.28999999999985</v>
      </c>
      <c r="AK107" s="14">
        <f t="shared" si="89"/>
        <v>98.493981610138761</v>
      </c>
      <c r="AL107" s="22">
        <f t="shared" si="58"/>
        <v>926.1904346376582</v>
      </c>
      <c r="AM107" s="62">
        <f t="shared" si="59"/>
        <v>1207.4235498697903</v>
      </c>
      <c r="AN107" s="62">
        <f ca="1">AVERAGE(OFFSET($AM$3,0,0,'Données projet'!$E$10+1,1))-AVERAGE(OFFSET($H$3,0,0,'Données projet'!$E$10+1,1))</f>
        <v>693.87994318348024</v>
      </c>
      <c r="AO107" s="62">
        <f t="shared" si="90"/>
        <v>327.71043739333641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66.699940517854188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5.2</v>
      </c>
      <c r="BD107" s="13">
        <f>IF('Données projet'!$A$88&gt;35,BD106+BC107-BL106,IF(A107&lt;'Données projet'!$A$88,$BA$205^A107,IF(A107='Données projet'!$A$88,'Données projet'!$B$88,BD106+BC107-BL106)))</f>
        <v>326.79999999999984</v>
      </c>
      <c r="BE107" s="14">
        <f>BD107*VLOOKUP('Données projet'!$B$11,Paramètres!$A$1:$I$89,3,0)*VLOOKUP('Données projet'!$B$11,Paramètres!$A$1:$I$89,5,0)</f>
        <v>275.29631999999987</v>
      </c>
      <c r="BF107" s="14">
        <f t="shared" si="91"/>
        <v>65.972008102689301</v>
      </c>
      <c r="BG107" s="22">
        <f t="shared" si="61"/>
        <v>594.3756714455169</v>
      </c>
      <c r="BH107" s="62">
        <f t="shared" si="62"/>
        <v>875.60878667764894</v>
      </c>
      <c r="BI107" s="62">
        <f ca="1">AVERAGE(OFFSET($BH$3,0,0,'Données projet'!$E$11+1,1))-AVERAGE(OFFSET($H$3,0,0,'Données projet'!$E$11+1,1))</f>
        <v>513.7388209355762</v>
      </c>
      <c r="BJ107" s="62">
        <f t="shared" si="92"/>
        <v>328.24603121433927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66.699940517854188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4.5474735088646412E-13</v>
      </c>
      <c r="BZ107" s="14">
        <f>BY107*VLOOKUP('Données projet'!$B$12,Paramètres!$A$1:$I$89,3,0)*VLOOKUP('Données projet'!$B$12,Paramètres!$A$1:$I$89,5,0)</f>
        <v>3.6179699236527089E-13</v>
      </c>
      <c r="CA107" s="14">
        <f t="shared" si="93"/>
        <v>4.6796319415916035E-12</v>
      </c>
      <c r="CB107" s="22">
        <f t="shared" si="64"/>
        <v>8.7804887266415556E-12</v>
      </c>
      <c r="CC107" s="62">
        <f t="shared" si="65"/>
        <v>281.23311523214079</v>
      </c>
      <c r="CD107" s="62">
        <f ca="1">AVERAGE(OFFSET($CC$3,0,0,'Données projet'!$E$12+1,1))-AVERAGE(OFFSET($H$3,0,0,'Données projet'!$E$12+1,1))</f>
        <v>447.25854887589878</v>
      </c>
      <c r="CE107" s="62">
        <f t="shared" si="94"/>
        <v>480.13390593590157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66.699940517854188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1.1368683772161603E-13</v>
      </c>
      <c r="CU107" s="18">
        <f>CT107*VLOOKUP('Données projet'!$B$13,Paramètres!$A$1:$I$89,3,0)*VLOOKUP('Données projet'!$B$13,Paramètres!$A$1:$I$89,5,0)</f>
        <v>8.8675733422860506E-14</v>
      </c>
      <c r="CV107" s="14">
        <f t="shared" si="95"/>
        <v>1.3509285393066301E-12</v>
      </c>
      <c r="CW107" s="22">
        <f t="shared" si="67"/>
        <v>2.5073107750038623E-12</v>
      </c>
      <c r="CX107" s="62">
        <f t="shared" si="68"/>
        <v>281.23311523213454</v>
      </c>
      <c r="CY107" s="62">
        <f ca="1">AVERAGE(OFFSET($CX$3,0,0,'Données projet'!$E$13+1,1))-AVERAGE(OFFSET($H$3,0,0,'Données projet'!$E$13+1,1))</f>
        <v>308.52515801950324</v>
      </c>
      <c r="CZ107" s="62">
        <f t="shared" si="96"/>
        <v>299.05420638408953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66.699940517854188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4.5474735088646412E-13</v>
      </c>
      <c r="DP107" s="18">
        <f>DO107*VLOOKUP('Données projet'!$B$14,Paramètres!$A$1:$I$89,3,0)*VLOOKUP('Données projet'!$B$14,Paramètres!$A$1:$I$89,5,0)</f>
        <v>3.3342075766995548E-13</v>
      </c>
      <c r="DQ107" s="14">
        <f t="shared" si="97"/>
        <v>4.3537988100583648E-12</v>
      </c>
      <c r="DR107" s="22">
        <f t="shared" si="70"/>
        <v>8.1635740804601579E-12</v>
      </c>
      <c r="DS107" s="62">
        <f t="shared" si="71"/>
        <v>281.23311523214022</v>
      </c>
      <c r="DT107" s="62">
        <f ca="1">AVERAGE(OFFSET($DS$3,0,0,'Données projet'!$E$14+1,1))-AVERAGE(OFFSET($H$3,0,0,'Données projet'!$E$14+1,1))</f>
        <v>416.72317068678774</v>
      </c>
      <c r="DU107" s="62">
        <f t="shared" si="98"/>
        <v>447.32457429495537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66.699940517854188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3.5897435897435854</v>
      </c>
      <c r="EJ107" s="13">
        <f>IF('Données projet'!$A$192&gt;35,EJ106+EI107-ER106,IF(A107&lt;'Données projet'!$A$192,$EG$205^A107,IF(A107='Données projet'!$A$192,'Données projet'!$B$192,EJ106+EI107-ER106)))</f>
        <v>272.05128205128227</v>
      </c>
      <c r="EK107" s="18">
        <f>EJ107*VLOOKUP('Données projet'!$B$15,Paramètres!$A$1:$I$89,3,0)*VLOOKUP('Données projet'!$B$15,Paramètres!$A$1:$I$89,5,0)</f>
        <v>258.88400000000024</v>
      </c>
      <c r="EL107" s="14">
        <f t="shared" si="99"/>
        <v>62.48443233272873</v>
      </c>
      <c r="EM107" s="22">
        <f t="shared" si="73"/>
        <v>559.71668631283626</v>
      </c>
      <c r="EN107" s="62">
        <f t="shared" si="74"/>
        <v>840.9498015449683</v>
      </c>
      <c r="EO107" s="62">
        <f ca="1">AVERAGE(OFFSET($EN$3,0,0,'Données projet'!$E$15+1,1))-AVERAGE(OFFSET($H$3,0,0,'Données projet'!$E$15+1,1))</f>
        <v>454.78867027701426</v>
      </c>
      <c r="EP107" s="62">
        <f t="shared" si="100"/>
        <v>366.45346303927056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0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66.699940517854188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3.6538461538461489</v>
      </c>
      <c r="FE107" s="13">
        <f>IF('Données projet'!$A$218&gt;35,FE106+FD107-FM106,IF(A107&lt;'Données projet'!$A$218,$FB$205^A107,IF(A107='Données projet'!$A$218,'Données projet'!$B$218,FE106+FD107-FM106)))</f>
        <v>344.74358974358984</v>
      </c>
      <c r="FF107" s="18">
        <f>FE107*VLOOKUP('Données projet'!$B$16,Paramètres!$A$1:$I$89,3,0)*VLOOKUP('Données projet'!$B$16,Paramètres!$A$1:$I$89,5,0)</f>
        <v>231.25400000000008</v>
      </c>
      <c r="FG107" s="14">
        <f t="shared" si="101"/>
        <v>56.553739785222149</v>
      </c>
      <c r="FH107" s="22">
        <f t="shared" si="76"/>
        <v>501.26514679259532</v>
      </c>
      <c r="FI107" s="62">
        <f t="shared" si="77"/>
        <v>782.49826202472741</v>
      </c>
      <c r="FJ107" s="62">
        <f ca="1">AVERAGE(OFFSET($FI$3,0,0,'Données projet'!$E$16+1,1))-AVERAGE(OFFSET($H$3,0,0,'Données projet'!$E$16+1,1))</f>
        <v>390.05579539539576</v>
      </c>
      <c r="FK107" s="62">
        <f t="shared" si="102"/>
        <v>323.72278615226139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projet'!$B$16,Paramètres!$A$1:$I$89,3,0)*0.475*44/12</f>
        <v>0</v>
      </c>
      <c r="FR107" s="23">
        <f>EXP(-LN(2)/25)*FR106+(1-EXP(-LN(2)/25))/(LN(2)/25)*Calculateur!FM107*Calculateur!FO107*VLOOKUP('Données projet'!$B$16,Paramètres!$A$1:$I$89,3,0)*0.475*44/12</f>
        <v>0</v>
      </c>
      <c r="FS107" s="23">
        <f>EXP(-LN(2)/2)*FS106+(1-EXP(-LN(2)/2))/(LN(2)/2)*FM107*FP107*VLOOKUP('Données projet'!$B$16,Paramètres!$A$1:$I$89,3,0)*0.475*44/12</f>
        <v>0</v>
      </c>
      <c r="FT107" s="24">
        <f t="shared" si="78"/>
        <v>0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66.699940517854188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5.2</v>
      </c>
      <c r="FZ107" s="13">
        <f>IF('Données projet'!$A$244&gt;35,FZ106+FY107-GH106,IF(A107&lt;'Données projet'!$A$244,$FW$205^A107,IF(A107='Données projet'!$A$244,'Données projet'!$B$244,FZ106+FY107-GH106)))</f>
        <v>326.79999999999984</v>
      </c>
      <c r="GA107" s="18">
        <f>FZ107*VLOOKUP('Données projet'!$B$17,Paramètres!$A$1:$I$89,3,0)*VLOOKUP('Données projet'!$B$17,Paramètres!$A$1:$I$89,5,0)</f>
        <v>316.08095999999983</v>
      </c>
      <c r="GB107" s="14">
        <f t="shared" si="103"/>
        <v>74.537337287681041</v>
      </c>
      <c r="GC107" s="22">
        <f t="shared" si="79"/>
        <v>680.3268677760442</v>
      </c>
      <c r="GD107" s="62">
        <f t="shared" si="80"/>
        <v>961.55998300817623</v>
      </c>
      <c r="GE107" s="62">
        <f ca="1">AVERAGE(OFFSET($GD$3,0,0,'Données projet'!$E$17+1,1))-AVERAGE(OFFSET($H$3,0,0,'Données projet'!$E$17+1,1))</f>
        <v>578.44111602076555</v>
      </c>
      <c r="GF107" s="62">
        <f t="shared" si="104"/>
        <v>368.08542661432784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>
        <f>EXP(-LN(2)/35)*GL106+(1-EXP(-LN(2)/35))/(LN(2)/35)*GH107*GI107*VLOOKUP('Données projet'!$B$17,Paramètres!$A$1:$I$89,3,0)*0.475*44/12</f>
        <v>0</v>
      </c>
      <c r="GM107" s="23">
        <f>EXP(-LN(2)/25)*GM106+(1-EXP(-LN(2)/25))/(LN(2)/25)*Calculateur!GH107*Calculateur!GJ107*VLOOKUP('Données projet'!$B$17,Paramètres!$A$1:$I$89,3,0)*0.475*44/12</f>
        <v>0</v>
      </c>
      <c r="GN107" s="23">
        <f>EXP(-LN(2)/2)*GN106+(1-EXP(-LN(2)/2))/(LN(2)/2)*GH107*GK107*VLOOKUP('Données projet'!$B$17,Paramètres!$A$1:$I$89,3,0)*0.475*44/12</f>
        <v>0</v>
      </c>
      <c r="GO107" s="23">
        <f t="shared" si="81"/>
        <v>0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66.699940517854188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4.0735000000000001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14.936166666666667</v>
      </c>
      <c r="H108" s="70">
        <f t="shared" si="56"/>
        <v>196.922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66.757189172041691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5.2</v>
      </c>
      <c r="N108" s="14">
        <f>IF('Données projet'!$A$36&gt;35,N107+M108-V107,IF(A108&lt;'Données projet'!$A$36,$K$205^A108,IF(A108='Données projet'!$A$36,'Données projet'!$B$36,N107+M108-V107)))</f>
        <v>331.99999999999983</v>
      </c>
      <c r="O108" s="14">
        <f>N108*VLOOKUP('Données projet'!$B$9,Paramètres!$A$1:$I$89,3,0)*VLOOKUP('Données projet'!$B$9,Paramètres!$A$1:$I$89,5,0)</f>
        <v>300.39359999999982</v>
      </c>
      <c r="P108" s="14">
        <f t="shared" si="87"/>
        <v>71.258970856492667</v>
      </c>
      <c r="Q108" s="22">
        <f t="shared" si="107"/>
        <v>647.29489424172436</v>
      </c>
      <c r="R108" s="62">
        <f t="shared" si="55"/>
        <v>928.73792120587723</v>
      </c>
      <c r="S108" s="62">
        <f ca="1">AVERAGE(OFFSET($R$3,0,0,'Données projet'!$E$9+1,1))-AVERAGE(OFFSET($H$3,0,0,'Données projet'!$E$9+1,1))</f>
        <v>546.11281471711925</v>
      </c>
      <c r="T108" s="62">
        <f t="shared" si="88"/>
        <v>348.18069831447099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66.757189172041691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513</v>
      </c>
      <c r="AG108" s="13">
        <f>VLOOKUP(A108,'Données projet'!$A$61:$I$81,9,0)</f>
        <v>8</v>
      </c>
      <c r="AH108" s="13">
        <f t="array" ref="AH108">INDEX(AG:AG,MIN(IF(ISNUMBER(AG108:AG304),ROW(AG108:AG304),"")))</f>
        <v>8</v>
      </c>
      <c r="AI108" s="14">
        <f>IF('Données projet'!$A$62&gt;35,AI107+AH108-AQ107,IF(A108&lt;'Données projet'!$A$62,$AF$205^A108,IF(A108='Données projet'!$A$62,'Données projet'!$B$62,AI107+AH108-AQ107)))</f>
        <v>512.99999999999977</v>
      </c>
      <c r="AJ108" s="14">
        <f>AI108*VLOOKUP('Données projet'!$B$10,Paramètres!$A$1:$I$89,3,0)*VLOOKUP('Données projet'!$B$10,Paramètres!$A$1:$I$89,5,0)</f>
        <v>440.15399999999988</v>
      </c>
      <c r="AK108" s="14">
        <f t="shared" si="89"/>
        <v>99.871399621623169</v>
      </c>
      <c r="AL108" s="22">
        <f t="shared" si="58"/>
        <v>940.54423767432684</v>
      </c>
      <c r="AM108" s="62">
        <f t="shared" si="59"/>
        <v>1221.9872646384797</v>
      </c>
      <c r="AN108" s="62">
        <f ca="1">AVERAGE(OFFSET($AM$3,0,0,'Données projet'!$E$10+1,1))-AVERAGE(OFFSET($H$3,0,0,'Données projet'!$E$10+1,1))</f>
        <v>693.87994318348024</v>
      </c>
      <c r="AO108" s="62">
        <f t="shared" si="90"/>
        <v>327.71043739333641</v>
      </c>
      <c r="AP108" s="16">
        <f>IF(ISNA(VLOOKUP(A108,'Données projet'!$A$61:$I$81,3,0)),0,VLOOKUP(A108,'Données projet'!$A$61:$I$81,3,0))</f>
        <v>9</v>
      </c>
      <c r="AQ108" s="16">
        <f>IF(ISNA(VLOOKUP(A108,'Données projet'!$A$61:$I$81,4,0)),0,VLOOKUP(A108,'Données projet'!$A$61:$I$81,4,0))</f>
        <v>57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66.757189172041691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5.2</v>
      </c>
      <c r="BD108" s="13">
        <f>IF('Données projet'!$A$88&gt;35,BD107+BC108-BL107,IF(A108&lt;'Données projet'!$A$88,$BA$205^A108,IF(A108='Données projet'!$A$88,'Données projet'!$B$88,BD107+BC108-BL107)))</f>
        <v>331.99999999999983</v>
      </c>
      <c r="BE108" s="14">
        <f>BD108*VLOOKUP('Données projet'!$B$11,Paramètres!$A$1:$I$89,3,0)*VLOOKUP('Données projet'!$B$11,Paramètres!$A$1:$I$89,5,0)</f>
        <v>279.6767999999999</v>
      </c>
      <c r="BF108" s="14">
        <f t="shared" si="91"/>
        <v>66.898702839783041</v>
      </c>
      <c r="BG108" s="22">
        <f t="shared" si="61"/>
        <v>603.61900077928851</v>
      </c>
      <c r="BH108" s="62">
        <f t="shared" si="62"/>
        <v>885.06202774344138</v>
      </c>
      <c r="BI108" s="62">
        <f ca="1">AVERAGE(OFFSET($BH$3,0,0,'Données projet'!$E$11+1,1))-AVERAGE(OFFSET($H$3,0,0,'Données projet'!$E$11+1,1))</f>
        <v>513.7388209355762</v>
      </c>
      <c r="BJ108" s="62">
        <f t="shared" si="92"/>
        <v>328.24603121433927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66.757189172041691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4.5474735088646412E-13</v>
      </c>
      <c r="BZ108" s="14">
        <f>BY108*VLOOKUP('Données projet'!$B$12,Paramètres!$A$1:$I$89,3,0)*VLOOKUP('Données projet'!$B$12,Paramètres!$A$1:$I$89,5,0)</f>
        <v>3.6179699236527089E-13</v>
      </c>
      <c r="CA108" s="14">
        <f t="shared" si="93"/>
        <v>4.6796319415916035E-12</v>
      </c>
      <c r="CB108" s="22">
        <f t="shared" si="64"/>
        <v>8.7804887266415556E-12</v>
      </c>
      <c r="CC108" s="62">
        <f t="shared" si="65"/>
        <v>281.44302696416162</v>
      </c>
      <c r="CD108" s="62">
        <f ca="1">AVERAGE(OFFSET($CC$3,0,0,'Données projet'!$E$12+1,1))-AVERAGE(OFFSET($H$3,0,0,'Données projet'!$E$12+1,1))</f>
        <v>447.25854887589878</v>
      </c>
      <c r="CE108" s="62">
        <f t="shared" si="94"/>
        <v>480.13390593590157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66.757189172041691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1.1368683772161603E-13</v>
      </c>
      <c r="CU108" s="18">
        <f>CT108*VLOOKUP('Données projet'!$B$13,Paramètres!$A$1:$I$89,3,0)*VLOOKUP('Données projet'!$B$13,Paramètres!$A$1:$I$89,5,0)</f>
        <v>8.8675733422860506E-14</v>
      </c>
      <c r="CV108" s="14">
        <f t="shared" si="95"/>
        <v>1.3509285393066301E-12</v>
      </c>
      <c r="CW108" s="22">
        <f t="shared" si="67"/>
        <v>2.5073107750038623E-12</v>
      </c>
      <c r="CX108" s="62">
        <f t="shared" si="68"/>
        <v>281.44302696415537</v>
      </c>
      <c r="CY108" s="62">
        <f ca="1">AVERAGE(OFFSET($CX$3,0,0,'Données projet'!$E$13+1,1))-AVERAGE(OFFSET($H$3,0,0,'Données projet'!$E$13+1,1))</f>
        <v>308.52515801950324</v>
      </c>
      <c r="CZ108" s="62">
        <f t="shared" si="96"/>
        <v>299.05420638408953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66.757189172041691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4.5474735088646412E-13</v>
      </c>
      <c r="DP108" s="18">
        <f>DO108*VLOOKUP('Données projet'!$B$14,Paramètres!$A$1:$I$89,3,0)*VLOOKUP('Données projet'!$B$14,Paramètres!$A$1:$I$89,5,0)</f>
        <v>3.3342075766995548E-13</v>
      </c>
      <c r="DQ108" s="14">
        <f t="shared" si="97"/>
        <v>4.3537988100583648E-12</v>
      </c>
      <c r="DR108" s="22">
        <f t="shared" si="70"/>
        <v>8.1635740804601579E-12</v>
      </c>
      <c r="DS108" s="62">
        <f t="shared" si="71"/>
        <v>281.44302696416105</v>
      </c>
      <c r="DT108" s="62">
        <f ca="1">AVERAGE(OFFSET($DS$3,0,0,'Données projet'!$E$14+1,1))-AVERAGE(OFFSET($H$3,0,0,'Données projet'!$E$14+1,1))</f>
        <v>416.72317068678774</v>
      </c>
      <c r="DU108" s="62">
        <f t="shared" si="98"/>
        <v>447.32457429495537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66.757189172041691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3.5897435897435854</v>
      </c>
      <c r="EJ108" s="13">
        <f>IF('Données projet'!$A$192&gt;35,EJ107+EI108-ER107,IF(A108&lt;'Données projet'!$A$192,$EG$205^A108,IF(A108='Données projet'!$A$192,'Données projet'!$B$192,EJ107+EI108-ER107)))</f>
        <v>275.64102564102586</v>
      </c>
      <c r="EK108" s="18">
        <f>EJ108*VLOOKUP('Données projet'!$B$15,Paramètres!$A$1:$I$89,3,0)*VLOOKUP('Données projet'!$B$15,Paramètres!$A$1:$I$89,5,0)</f>
        <v>262.30000000000024</v>
      </c>
      <c r="EL108" s="14">
        <f t="shared" si="99"/>
        <v>63.212393426010266</v>
      </c>
      <c r="EM108" s="22">
        <f t="shared" si="73"/>
        <v>566.93408521696813</v>
      </c>
      <c r="EN108" s="62">
        <f t="shared" si="74"/>
        <v>848.37711218112099</v>
      </c>
      <c r="EO108" s="62">
        <f ca="1">AVERAGE(OFFSET($EN$3,0,0,'Données projet'!$E$15+1,1))-AVERAGE(OFFSET($H$3,0,0,'Données projet'!$E$15+1,1))</f>
        <v>454.78867027701426</v>
      </c>
      <c r="EP108" s="62">
        <f t="shared" si="100"/>
        <v>366.45346303927056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0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66.757189172041691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3.6538461538461489</v>
      </c>
      <c r="FE108" s="13">
        <f>IF('Données projet'!$A$218&gt;35,FE107+FD108-FM107,IF(A108&lt;'Données projet'!$A$218,$FB$205^A108,IF(A108='Données projet'!$A$218,'Données projet'!$B$218,FE107+FD108-FM107)))</f>
        <v>348.39743589743597</v>
      </c>
      <c r="FF108" s="18">
        <f>FE108*VLOOKUP('Données projet'!$B$16,Paramètres!$A$1:$I$89,3,0)*VLOOKUP('Données projet'!$B$16,Paramètres!$A$1:$I$89,5,0)</f>
        <v>233.70500000000004</v>
      </c>
      <c r="FG108" s="14">
        <f t="shared" si="101"/>
        <v>57.0830425590554</v>
      </c>
      <c r="FH108" s="22">
        <f t="shared" si="76"/>
        <v>506.4558407903549</v>
      </c>
      <c r="FI108" s="62">
        <f t="shared" si="77"/>
        <v>787.89886775450782</v>
      </c>
      <c r="FJ108" s="62">
        <f ca="1">AVERAGE(OFFSET($FI$3,0,0,'Données projet'!$E$16+1,1))-AVERAGE(OFFSET($H$3,0,0,'Données projet'!$E$16+1,1))</f>
        <v>390.05579539539576</v>
      </c>
      <c r="FK108" s="62">
        <f t="shared" si="102"/>
        <v>323.72278615226139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projet'!$B$16,Paramètres!$A$1:$I$89,3,0)*0.475*44/12</f>
        <v>0</v>
      </c>
      <c r="FR108" s="23">
        <f>EXP(-LN(2)/25)*FR107+(1-EXP(-LN(2)/25))/(LN(2)/25)*Calculateur!FM108*Calculateur!FO108*VLOOKUP('Données projet'!$B$16,Paramètres!$A$1:$I$89,3,0)*0.475*44/12</f>
        <v>0</v>
      </c>
      <c r="FS108" s="23">
        <f>EXP(-LN(2)/2)*FS107+(1-EXP(-LN(2)/2))/(LN(2)/2)*FM108*FP108*VLOOKUP('Données projet'!$B$16,Paramètres!$A$1:$I$89,3,0)*0.475*44/12</f>
        <v>0</v>
      </c>
      <c r="FT108" s="24">
        <f t="shared" si="78"/>
        <v>0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66.757189172041691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5.2</v>
      </c>
      <c r="FZ108" s="13">
        <f>IF('Données projet'!$A$244&gt;35,FZ107+FY108-GH107,IF(A108&lt;'Données projet'!$A$244,$FW$205^A108,IF(A108='Données projet'!$A$244,'Données projet'!$B$244,FZ107+FY108-GH107)))</f>
        <v>331.99999999999983</v>
      </c>
      <c r="GA108" s="18">
        <f>FZ108*VLOOKUP('Données projet'!$B$17,Paramètres!$A$1:$I$89,3,0)*VLOOKUP('Données projet'!$B$17,Paramètres!$A$1:$I$89,5,0)</f>
        <v>321.11039999999986</v>
      </c>
      <c r="GB108" s="14">
        <f t="shared" si="103"/>
        <v>75.584347378293316</v>
      </c>
      <c r="GC108" s="22">
        <f t="shared" si="79"/>
        <v>690.91001835052737</v>
      </c>
      <c r="GD108" s="62">
        <f t="shared" si="80"/>
        <v>972.35304531468023</v>
      </c>
      <c r="GE108" s="62">
        <f ca="1">AVERAGE(OFFSET($GD$3,0,0,'Données projet'!$E$17+1,1))-AVERAGE(OFFSET($H$3,0,0,'Données projet'!$E$17+1,1))</f>
        <v>578.44111602076555</v>
      </c>
      <c r="GF108" s="62">
        <f t="shared" si="104"/>
        <v>368.08542661432784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>
        <f>EXP(-LN(2)/35)*GL107+(1-EXP(-LN(2)/35))/(LN(2)/35)*GH108*GI108*VLOOKUP('Données projet'!$B$17,Paramètres!$A$1:$I$89,3,0)*0.475*44/12</f>
        <v>0</v>
      </c>
      <c r="GM108" s="23">
        <f>EXP(-LN(2)/25)*GM107+(1-EXP(-LN(2)/25))/(LN(2)/25)*Calculateur!GH108*Calculateur!GJ108*VLOOKUP('Données projet'!$B$17,Paramètres!$A$1:$I$89,3,0)*0.475*44/12</f>
        <v>0</v>
      </c>
      <c r="GN108" s="23">
        <f>EXP(-LN(2)/2)*GN107+(1-EXP(-LN(2)/2))/(LN(2)/2)*GH108*GK108*VLOOKUP('Données projet'!$B$17,Paramètres!$A$1:$I$89,3,0)*0.475*44/12</f>
        <v>0</v>
      </c>
      <c r="GO108" s="23">
        <f t="shared" si="81"/>
        <v>0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66.757189172041691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4.0735000000000001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14.936166666666667</v>
      </c>
      <c r="H109" s="70">
        <f t="shared" si="56"/>
        <v>196.922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66.813444690067854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5.2</v>
      </c>
      <c r="N109" s="14">
        <f>IF('Données projet'!$A$36&gt;35,N108+M109-V108,IF(A109&lt;'Données projet'!$A$36,$K$205^A109,IF(A109='Données projet'!$A$36,'Données projet'!$B$36,N108+M109-V108)))</f>
        <v>337.19999999999982</v>
      </c>
      <c r="O109" s="14">
        <f>N109*VLOOKUP('Données projet'!$B$9,Paramètres!$A$1:$I$89,3,0)*VLOOKUP('Données projet'!$B$9,Paramètres!$A$1:$I$89,5,0)</f>
        <v>305.09855999999985</v>
      </c>
      <c r="P109" s="14">
        <f t="shared" si="87"/>
        <v>72.244266890878791</v>
      </c>
      <c r="Q109" s="22">
        <f t="shared" si="107"/>
        <v>657.20542350161361</v>
      </c>
      <c r="R109" s="62">
        <f t="shared" si="55"/>
        <v>938.85472069852904</v>
      </c>
      <c r="S109" s="62">
        <f ca="1">AVERAGE(OFFSET($R$3,0,0,'Données projet'!$E$9+1,1))-AVERAGE(OFFSET($H$3,0,0,'Données projet'!$E$9+1,1))</f>
        <v>546.11281471711925</v>
      </c>
      <c r="T109" s="62">
        <f t="shared" si="88"/>
        <v>348.18069831447099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66.813444690067854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7.2</v>
      </c>
      <c r="AI109" s="14">
        <f>IF('Données projet'!$A$62&gt;35,AI108+AH109-AQ108,IF(A109&lt;'Données projet'!$A$62,$AF$205^A109,IF(A109='Données projet'!$A$62,'Données projet'!$B$62,AI108+AH109-AQ108)))</f>
        <v>463.19999999999982</v>
      </c>
      <c r="AJ109" s="14">
        <f>AI109*VLOOKUP('Données projet'!$B$10,Paramètres!$A$1:$I$89,3,0)*VLOOKUP('Données projet'!$B$10,Paramètres!$A$1:$I$89,5,0)</f>
        <v>397.42559999999992</v>
      </c>
      <c r="AK109" s="14">
        <f t="shared" si="89"/>
        <v>91.254549161190837</v>
      </c>
      <c r="AL109" s="22">
        <f t="shared" si="58"/>
        <v>851.11792645574042</v>
      </c>
      <c r="AM109" s="62">
        <f t="shared" si="59"/>
        <v>1132.767223652656</v>
      </c>
      <c r="AN109" s="62">
        <f ca="1">AVERAGE(OFFSET($AM$3,0,0,'Données projet'!$E$10+1,1))-AVERAGE(OFFSET($H$3,0,0,'Données projet'!$E$10+1,1))</f>
        <v>693.87994318348024</v>
      </c>
      <c r="AO109" s="62">
        <f t="shared" si="90"/>
        <v>327.71043739333641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66.813444690067854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5.2</v>
      </c>
      <c r="BD109" s="13">
        <f>IF('Données projet'!$A$88&gt;35,BD108+BC109-BL108,IF(A109&lt;'Données projet'!$A$88,$BA$205^A109,IF(A109='Données projet'!$A$88,'Données projet'!$B$88,BD108+BC109-BL108)))</f>
        <v>337.19999999999982</v>
      </c>
      <c r="BE109" s="14">
        <f>BD109*VLOOKUP('Données projet'!$B$11,Paramètres!$A$1:$I$89,3,0)*VLOOKUP('Données projet'!$B$11,Paramètres!$A$1:$I$89,5,0)</f>
        <v>284.05727999999988</v>
      </c>
      <c r="BF109" s="14">
        <f t="shared" si="91"/>
        <v>67.823709555728385</v>
      </c>
      <c r="BG109" s="22">
        <f t="shared" si="61"/>
        <v>612.8593901428934</v>
      </c>
      <c r="BH109" s="62">
        <f t="shared" si="62"/>
        <v>894.50868733980883</v>
      </c>
      <c r="BI109" s="62">
        <f ca="1">AVERAGE(OFFSET($BH$3,0,0,'Données projet'!$E$11+1,1))-AVERAGE(OFFSET($H$3,0,0,'Données projet'!$E$11+1,1))</f>
        <v>513.7388209355762</v>
      </c>
      <c r="BJ109" s="62">
        <f t="shared" si="92"/>
        <v>328.24603121433927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66.813444690067854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4.5474735088646412E-13</v>
      </c>
      <c r="BZ109" s="14">
        <f>BY109*VLOOKUP('Données projet'!$B$12,Paramètres!$A$1:$I$89,3,0)*VLOOKUP('Données projet'!$B$12,Paramètres!$A$1:$I$89,5,0)</f>
        <v>3.6179699236527089E-13</v>
      </c>
      <c r="CA109" s="14">
        <f t="shared" si="93"/>
        <v>4.6796319415916035E-12</v>
      </c>
      <c r="CB109" s="22">
        <f t="shared" si="64"/>
        <v>8.7804887266415556E-12</v>
      </c>
      <c r="CC109" s="62">
        <f t="shared" si="65"/>
        <v>281.64929719692424</v>
      </c>
      <c r="CD109" s="62">
        <f ca="1">AVERAGE(OFFSET($CC$3,0,0,'Données projet'!$E$12+1,1))-AVERAGE(OFFSET($H$3,0,0,'Données projet'!$E$12+1,1))</f>
        <v>447.25854887589878</v>
      </c>
      <c r="CE109" s="62">
        <f t="shared" si="94"/>
        <v>480.13390593590157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66.813444690067854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1.1368683772161603E-13</v>
      </c>
      <c r="CU109" s="18">
        <f>CT109*VLOOKUP('Données projet'!$B$13,Paramètres!$A$1:$I$89,3,0)*VLOOKUP('Données projet'!$B$13,Paramètres!$A$1:$I$89,5,0)</f>
        <v>8.8675733422860506E-14</v>
      </c>
      <c r="CV109" s="14">
        <f t="shared" si="95"/>
        <v>1.3509285393066301E-12</v>
      </c>
      <c r="CW109" s="22">
        <f t="shared" si="67"/>
        <v>2.5073107750038623E-12</v>
      </c>
      <c r="CX109" s="62">
        <f t="shared" si="68"/>
        <v>281.64929719691798</v>
      </c>
      <c r="CY109" s="62">
        <f ca="1">AVERAGE(OFFSET($CX$3,0,0,'Données projet'!$E$13+1,1))-AVERAGE(OFFSET($H$3,0,0,'Données projet'!$E$13+1,1))</f>
        <v>308.52515801950324</v>
      </c>
      <c r="CZ109" s="62">
        <f t="shared" si="96"/>
        <v>299.05420638408953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66.813444690067854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4.5474735088646412E-13</v>
      </c>
      <c r="DP109" s="18">
        <f>DO109*VLOOKUP('Données projet'!$B$14,Paramètres!$A$1:$I$89,3,0)*VLOOKUP('Données projet'!$B$14,Paramètres!$A$1:$I$89,5,0)</f>
        <v>3.3342075766995548E-13</v>
      </c>
      <c r="DQ109" s="14">
        <f t="shared" si="97"/>
        <v>4.3537988100583648E-12</v>
      </c>
      <c r="DR109" s="22">
        <f t="shared" si="70"/>
        <v>8.1635740804601579E-12</v>
      </c>
      <c r="DS109" s="62">
        <f t="shared" si="71"/>
        <v>281.64929719692367</v>
      </c>
      <c r="DT109" s="62">
        <f ca="1">AVERAGE(OFFSET($DS$3,0,0,'Données projet'!$E$14+1,1))-AVERAGE(OFFSET($H$3,0,0,'Données projet'!$E$14+1,1))</f>
        <v>416.72317068678774</v>
      </c>
      <c r="DU109" s="62">
        <f t="shared" si="98"/>
        <v>447.32457429495537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66.813444690067854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3.5897435897435854</v>
      </c>
      <c r="EJ109" s="13">
        <f>IF('Données projet'!$A$192&gt;35,EJ108+EI109-ER108,IF(A109&lt;'Données projet'!$A$192,$EG$205^A109,IF(A109='Données projet'!$A$192,'Données projet'!$B$192,EJ108+EI109-ER108)))</f>
        <v>279.23076923076945</v>
      </c>
      <c r="EK109" s="18">
        <f>EJ109*VLOOKUP('Données projet'!$B$15,Paramètres!$A$1:$I$89,3,0)*VLOOKUP('Données projet'!$B$15,Paramètres!$A$1:$I$89,5,0)</f>
        <v>265.71600000000024</v>
      </c>
      <c r="EL109" s="14">
        <f t="shared" si="99"/>
        <v>63.939251801025335</v>
      </c>
      <c r="EM109" s="22">
        <f t="shared" si="73"/>
        <v>574.14956355345282</v>
      </c>
      <c r="EN109" s="62">
        <f t="shared" si="74"/>
        <v>855.79886075036825</v>
      </c>
      <c r="EO109" s="62">
        <f ca="1">AVERAGE(OFFSET($EN$3,0,0,'Données projet'!$E$15+1,1))-AVERAGE(OFFSET($H$3,0,0,'Données projet'!$E$15+1,1))</f>
        <v>454.78867027701426</v>
      </c>
      <c r="EP109" s="62">
        <f t="shared" si="100"/>
        <v>366.45346303927056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0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66.813444690067854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3.6538461538461489</v>
      </c>
      <c r="FE109" s="13">
        <f>IF('Données projet'!$A$218&gt;35,FE108+FD109-FM108,IF(A109&lt;'Données projet'!$A$218,$FB$205^A109,IF(A109='Données projet'!$A$218,'Données projet'!$B$218,FE108+FD109-FM108)))</f>
        <v>352.0512820512821</v>
      </c>
      <c r="FF109" s="18">
        <f>FE109*VLOOKUP('Données projet'!$B$16,Paramètres!$A$1:$I$89,3,0)*VLOOKUP('Données projet'!$B$16,Paramètres!$A$1:$I$89,5,0)</f>
        <v>236.15600000000003</v>
      </c>
      <c r="FG109" s="14">
        <f t="shared" si="101"/>
        <v>57.611699565928937</v>
      </c>
      <c r="FH109" s="22">
        <f t="shared" si="76"/>
        <v>511.64541007732623</v>
      </c>
      <c r="FI109" s="62">
        <f t="shared" si="77"/>
        <v>793.29470727424177</v>
      </c>
      <c r="FJ109" s="62">
        <f ca="1">AVERAGE(OFFSET($FI$3,0,0,'Données projet'!$E$16+1,1))-AVERAGE(OFFSET($H$3,0,0,'Données projet'!$E$16+1,1))</f>
        <v>390.05579539539576</v>
      </c>
      <c r="FK109" s="62">
        <f t="shared" si="102"/>
        <v>323.72278615226139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projet'!$B$16,Paramètres!$A$1:$I$89,3,0)*0.475*44/12</f>
        <v>0</v>
      </c>
      <c r="FR109" s="23">
        <f>EXP(-LN(2)/25)*FR108+(1-EXP(-LN(2)/25))/(LN(2)/25)*Calculateur!FM109*Calculateur!FO109*VLOOKUP('Données projet'!$B$16,Paramètres!$A$1:$I$89,3,0)*0.475*44/12</f>
        <v>0</v>
      </c>
      <c r="FS109" s="23">
        <f>EXP(-LN(2)/2)*FS108+(1-EXP(-LN(2)/2))/(LN(2)/2)*FM109*FP109*VLOOKUP('Données projet'!$B$16,Paramètres!$A$1:$I$89,3,0)*0.475*44/12</f>
        <v>0</v>
      </c>
      <c r="FT109" s="24">
        <f t="shared" si="78"/>
        <v>0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66.813444690067854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5.2</v>
      </c>
      <c r="FZ109" s="13">
        <f>IF('Données projet'!$A$244&gt;35,FZ108+FY109-GH108,IF(A109&lt;'Données projet'!$A$244,$FW$205^A109,IF(A109='Données projet'!$A$244,'Données projet'!$B$244,FZ108+FY109-GH108)))</f>
        <v>337.19999999999982</v>
      </c>
      <c r="GA109" s="18">
        <f>FZ109*VLOOKUP('Données projet'!$B$17,Paramètres!$A$1:$I$89,3,0)*VLOOKUP('Données projet'!$B$17,Paramètres!$A$1:$I$89,5,0)</f>
        <v>326.13983999999982</v>
      </c>
      <c r="GB109" s="14">
        <f t="shared" si="103"/>
        <v>76.62945028727961</v>
      </c>
      <c r="GC109" s="22">
        <f t="shared" si="79"/>
        <v>701.48984725034495</v>
      </c>
      <c r="GD109" s="62">
        <f t="shared" si="80"/>
        <v>983.13914444726038</v>
      </c>
      <c r="GE109" s="62">
        <f ca="1">AVERAGE(OFFSET($GD$3,0,0,'Données projet'!$E$17+1,1))-AVERAGE(OFFSET($H$3,0,0,'Données projet'!$E$17+1,1))</f>
        <v>578.44111602076555</v>
      </c>
      <c r="GF109" s="62">
        <f t="shared" si="104"/>
        <v>368.08542661432784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>
        <f>EXP(-LN(2)/35)*GL108+(1-EXP(-LN(2)/35))/(LN(2)/35)*GH109*GI109*VLOOKUP('Données projet'!$B$17,Paramètres!$A$1:$I$89,3,0)*0.475*44/12</f>
        <v>0</v>
      </c>
      <c r="GM109" s="23">
        <f>EXP(-LN(2)/25)*GM108+(1-EXP(-LN(2)/25))/(LN(2)/25)*Calculateur!GH109*Calculateur!GJ109*VLOOKUP('Données projet'!$B$17,Paramètres!$A$1:$I$89,3,0)*0.475*44/12</f>
        <v>0</v>
      </c>
      <c r="GN109" s="23">
        <f>EXP(-LN(2)/2)*GN108+(1-EXP(-LN(2)/2))/(LN(2)/2)*GH109*GK109*VLOOKUP('Données projet'!$B$17,Paramètres!$A$1:$I$89,3,0)*0.475*44/12</f>
        <v>0</v>
      </c>
      <c r="GO109" s="23">
        <f t="shared" si="81"/>
        <v>0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66.813444690067854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4.0735000000000001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14.936166666666667</v>
      </c>
      <c r="H110" s="70">
        <f t="shared" si="56"/>
        <v>196.922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66.868724300624777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5.2</v>
      </c>
      <c r="N110" s="14">
        <f>IF('Données projet'!$A$36&gt;35,N109+M110-V109,IF(A110&lt;'Données projet'!$A$36,$K$205^A110,IF(A110='Données projet'!$A$36,'Données projet'!$B$36,N109+M110-V109)))</f>
        <v>342.39999999999981</v>
      </c>
      <c r="O110" s="14">
        <f>N110*VLOOKUP('Données projet'!$B$9,Paramètres!$A$1:$I$89,3,0)*VLOOKUP('Données projet'!$B$9,Paramètres!$A$1:$I$89,5,0)</f>
        <v>309.80351999999982</v>
      </c>
      <c r="P110" s="14">
        <f t="shared" si="87"/>
        <v>73.227795813703764</v>
      </c>
      <c r="Q110" s="22">
        <f t="shared" si="107"/>
        <v>667.11287504220047</v>
      </c>
      <c r="R110" s="62">
        <f t="shared" si="55"/>
        <v>948.96486414449123</v>
      </c>
      <c r="S110" s="62">
        <f ca="1">AVERAGE(OFFSET($R$3,0,0,'Données projet'!$E$9+1,1))-AVERAGE(OFFSET($H$3,0,0,'Données projet'!$E$9+1,1))</f>
        <v>546.11281471711925</v>
      </c>
      <c r="T110" s="62">
        <f t="shared" si="88"/>
        <v>348.18069831447099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66.868724300624777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7.2</v>
      </c>
      <c r="AI110" s="14">
        <f>IF('Données projet'!$A$62&gt;35,AI109+AH110-AQ109,IF(A110&lt;'Données projet'!$A$62,$AF$205^A110,IF(A110='Données projet'!$A$62,'Données projet'!$B$62,AI109+AH110-AQ109)))</f>
        <v>470.39999999999981</v>
      </c>
      <c r="AJ110" s="14">
        <f>AI110*VLOOKUP('Données projet'!$B$10,Paramètres!$A$1:$I$89,3,0)*VLOOKUP('Données projet'!$B$10,Paramètres!$A$1:$I$89,5,0)</f>
        <v>403.6031999999999</v>
      </c>
      <c r="AK110" s="14">
        <f t="shared" si="89"/>
        <v>92.506777029734693</v>
      </c>
      <c r="AL110" s="22">
        <f t="shared" si="58"/>
        <v>864.0582099934544</v>
      </c>
      <c r="AM110" s="62">
        <f t="shared" si="59"/>
        <v>1145.9101990957452</v>
      </c>
      <c r="AN110" s="62">
        <f ca="1">AVERAGE(OFFSET($AM$3,0,0,'Données projet'!$E$10+1,1))-AVERAGE(OFFSET($H$3,0,0,'Données projet'!$E$10+1,1))</f>
        <v>693.87994318348024</v>
      </c>
      <c r="AO110" s="62">
        <f t="shared" si="90"/>
        <v>327.71043739333641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66.868724300624777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5.2</v>
      </c>
      <c r="BD110" s="13">
        <f>IF('Données projet'!$A$88&gt;35,BD109+BC110-BL109,IF(A110&lt;'Données projet'!$A$88,$BA$205^A110,IF(A110='Données projet'!$A$88,'Données projet'!$B$88,BD109+BC110-BL109)))</f>
        <v>342.39999999999981</v>
      </c>
      <c r="BE110" s="14">
        <f>BD110*VLOOKUP('Données projet'!$B$11,Paramètres!$A$1:$I$89,3,0)*VLOOKUP('Données projet'!$B$11,Paramètres!$A$1:$I$89,5,0)</f>
        <v>288.43775999999986</v>
      </c>
      <c r="BF110" s="14">
        <f t="shared" si="91"/>
        <v>68.747057287972595</v>
      </c>
      <c r="BG110" s="22">
        <f t="shared" si="61"/>
        <v>622.09689010988529</v>
      </c>
      <c r="BH110" s="62">
        <f t="shared" si="62"/>
        <v>903.94887921217605</v>
      </c>
      <c r="BI110" s="62">
        <f ca="1">AVERAGE(OFFSET($BH$3,0,0,'Données projet'!$E$11+1,1))-AVERAGE(OFFSET($H$3,0,0,'Données projet'!$E$11+1,1))</f>
        <v>513.7388209355762</v>
      </c>
      <c r="BJ110" s="62">
        <f t="shared" si="92"/>
        <v>328.24603121433927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66.868724300624777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4.5474735088646412E-13</v>
      </c>
      <c r="BZ110" s="14">
        <f>BY110*VLOOKUP('Données projet'!$B$12,Paramètres!$A$1:$I$89,3,0)*VLOOKUP('Données projet'!$B$12,Paramètres!$A$1:$I$89,5,0)</f>
        <v>3.6179699236527089E-13</v>
      </c>
      <c r="CA110" s="14">
        <f t="shared" si="93"/>
        <v>4.6796319415916035E-12</v>
      </c>
      <c r="CB110" s="22">
        <f t="shared" si="64"/>
        <v>8.7804887266415556E-12</v>
      </c>
      <c r="CC110" s="62">
        <f t="shared" si="65"/>
        <v>281.85198910229957</v>
      </c>
      <c r="CD110" s="62">
        <f ca="1">AVERAGE(OFFSET($CC$3,0,0,'Données projet'!$E$12+1,1))-AVERAGE(OFFSET($H$3,0,0,'Données projet'!$E$12+1,1))</f>
        <v>447.25854887589878</v>
      </c>
      <c r="CE110" s="62">
        <f t="shared" si="94"/>
        <v>480.13390593590157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66.868724300624777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1.1368683772161603E-13</v>
      </c>
      <c r="CU110" s="18">
        <f>CT110*VLOOKUP('Données projet'!$B$13,Paramètres!$A$1:$I$89,3,0)*VLOOKUP('Données projet'!$B$13,Paramètres!$A$1:$I$89,5,0)</f>
        <v>8.8675733422860506E-14</v>
      </c>
      <c r="CV110" s="14">
        <f t="shared" si="95"/>
        <v>1.3509285393066301E-12</v>
      </c>
      <c r="CW110" s="22">
        <f t="shared" si="67"/>
        <v>2.5073107750038623E-12</v>
      </c>
      <c r="CX110" s="62">
        <f t="shared" si="68"/>
        <v>281.85198910229332</v>
      </c>
      <c r="CY110" s="62">
        <f ca="1">AVERAGE(OFFSET($CX$3,0,0,'Données projet'!$E$13+1,1))-AVERAGE(OFFSET($H$3,0,0,'Données projet'!$E$13+1,1))</f>
        <v>308.52515801950324</v>
      </c>
      <c r="CZ110" s="62">
        <f t="shared" si="96"/>
        <v>299.05420638408953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66.868724300624777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4.5474735088646412E-13</v>
      </c>
      <c r="DP110" s="18">
        <f>DO110*VLOOKUP('Données projet'!$B$14,Paramètres!$A$1:$I$89,3,0)*VLOOKUP('Données projet'!$B$14,Paramètres!$A$1:$I$89,5,0)</f>
        <v>3.3342075766995548E-13</v>
      </c>
      <c r="DQ110" s="14">
        <f t="shared" si="97"/>
        <v>4.3537988100583648E-12</v>
      </c>
      <c r="DR110" s="22">
        <f t="shared" si="70"/>
        <v>8.1635740804601579E-12</v>
      </c>
      <c r="DS110" s="62">
        <f t="shared" si="71"/>
        <v>281.851989102299</v>
      </c>
      <c r="DT110" s="62">
        <f ca="1">AVERAGE(OFFSET($DS$3,0,0,'Données projet'!$E$14+1,1))-AVERAGE(OFFSET($H$3,0,0,'Données projet'!$E$14+1,1))</f>
        <v>416.72317068678774</v>
      </c>
      <c r="DU110" s="62">
        <f t="shared" si="98"/>
        <v>447.32457429495537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66.868724300624777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3.5897435897435854</v>
      </c>
      <c r="EJ110" s="13">
        <f>IF('Données projet'!$A$192&gt;35,EJ109+EI110-ER109,IF(A110&lt;'Données projet'!$A$192,$EG$205^A110,IF(A110='Données projet'!$A$192,'Données projet'!$B$192,EJ109+EI110-ER109)))</f>
        <v>282.82051282051304</v>
      </c>
      <c r="EK110" s="18">
        <f>EJ110*VLOOKUP('Données projet'!$B$15,Paramètres!$A$1:$I$89,3,0)*VLOOKUP('Données projet'!$B$15,Paramètres!$A$1:$I$89,5,0)</f>
        <v>269.13200000000023</v>
      </c>
      <c r="EL110" s="14">
        <f t="shared" si="99"/>
        <v>64.665023273302722</v>
      </c>
      <c r="EM110" s="22">
        <f t="shared" si="73"/>
        <v>581.36314886766934</v>
      </c>
      <c r="EN110" s="62">
        <f t="shared" si="74"/>
        <v>863.2151379699601</v>
      </c>
      <c r="EO110" s="62">
        <f ca="1">AVERAGE(OFFSET($EN$3,0,0,'Données projet'!$E$15+1,1))-AVERAGE(OFFSET($H$3,0,0,'Données projet'!$E$15+1,1))</f>
        <v>454.78867027701426</v>
      </c>
      <c r="EP110" s="62">
        <f t="shared" si="100"/>
        <v>366.45346303927056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0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66.868724300624777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3.6538461538461489</v>
      </c>
      <c r="FE110" s="13">
        <f>IF('Données projet'!$A$218&gt;35,FE109+FD110-FM109,IF(A110&lt;'Données projet'!$A$218,$FB$205^A110,IF(A110='Données projet'!$A$218,'Données projet'!$B$218,FE109+FD110-FM109)))</f>
        <v>355.70512820512823</v>
      </c>
      <c r="FF110" s="18">
        <f>FE110*VLOOKUP('Données projet'!$B$16,Paramètres!$A$1:$I$89,3,0)*VLOOKUP('Données projet'!$B$16,Paramètres!$A$1:$I$89,5,0)</f>
        <v>238.607</v>
      </c>
      <c r="FG110" s="14">
        <f t="shared" si="101"/>
        <v>58.139718283978347</v>
      </c>
      <c r="FH110" s="22">
        <f t="shared" si="76"/>
        <v>516.83386767792888</v>
      </c>
      <c r="FI110" s="62">
        <f t="shared" si="77"/>
        <v>798.68585678021964</v>
      </c>
      <c r="FJ110" s="62">
        <f ca="1">AVERAGE(OFFSET($FI$3,0,0,'Données projet'!$E$16+1,1))-AVERAGE(OFFSET($H$3,0,0,'Données projet'!$E$16+1,1))</f>
        <v>390.05579539539576</v>
      </c>
      <c r="FK110" s="62">
        <f t="shared" si="102"/>
        <v>323.72278615226139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projet'!$B$16,Paramètres!$A$1:$I$89,3,0)*0.475*44/12</f>
        <v>0</v>
      </c>
      <c r="FR110" s="23">
        <f>EXP(-LN(2)/25)*FR109+(1-EXP(-LN(2)/25))/(LN(2)/25)*Calculateur!FM110*Calculateur!FO110*VLOOKUP('Données projet'!$B$16,Paramètres!$A$1:$I$89,3,0)*0.475*44/12</f>
        <v>0</v>
      </c>
      <c r="FS110" s="23">
        <f>EXP(-LN(2)/2)*FS109+(1-EXP(-LN(2)/2))/(LN(2)/2)*FM110*FP110*VLOOKUP('Données projet'!$B$16,Paramètres!$A$1:$I$89,3,0)*0.475*44/12</f>
        <v>0</v>
      </c>
      <c r="FT110" s="24">
        <f t="shared" si="78"/>
        <v>0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66.868724300624777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5.2</v>
      </c>
      <c r="FZ110" s="13">
        <f>IF('Données projet'!$A$244&gt;35,FZ109+FY110-GH109,IF(A110&lt;'Données projet'!$A$244,$FW$205^A110,IF(A110='Données projet'!$A$244,'Données projet'!$B$244,FZ109+FY110-GH109)))</f>
        <v>342.39999999999981</v>
      </c>
      <c r="GA110" s="18">
        <f>FZ110*VLOOKUP('Données projet'!$B$17,Paramètres!$A$1:$I$89,3,0)*VLOOKUP('Données projet'!$B$17,Paramètres!$A$1:$I$89,5,0)</f>
        <v>331.16927999999979</v>
      </c>
      <c r="GB110" s="14">
        <f t="shared" si="103"/>
        <v>77.672678822099698</v>
      </c>
      <c r="GC110" s="22">
        <f t="shared" si="79"/>
        <v>712.06641161515665</v>
      </c>
      <c r="GD110" s="62">
        <f t="shared" si="80"/>
        <v>993.91840071744741</v>
      </c>
      <c r="GE110" s="62">
        <f ca="1">AVERAGE(OFFSET($GD$3,0,0,'Données projet'!$E$17+1,1))-AVERAGE(OFFSET($H$3,0,0,'Données projet'!$E$17+1,1))</f>
        <v>578.44111602076555</v>
      </c>
      <c r="GF110" s="62">
        <f t="shared" si="104"/>
        <v>368.08542661432784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>
        <f>EXP(-LN(2)/35)*GL109+(1-EXP(-LN(2)/35))/(LN(2)/35)*GH110*GI110*VLOOKUP('Données projet'!$B$17,Paramètres!$A$1:$I$89,3,0)*0.475*44/12</f>
        <v>0</v>
      </c>
      <c r="GM110" s="23">
        <f>EXP(-LN(2)/25)*GM109+(1-EXP(-LN(2)/25))/(LN(2)/25)*Calculateur!GH110*Calculateur!GJ110*VLOOKUP('Données projet'!$B$17,Paramètres!$A$1:$I$89,3,0)*0.475*44/12</f>
        <v>0</v>
      </c>
      <c r="GN110" s="23">
        <f>EXP(-LN(2)/2)*GN109+(1-EXP(-LN(2)/2))/(LN(2)/2)*GH110*GK110*VLOOKUP('Données projet'!$B$17,Paramètres!$A$1:$I$89,3,0)*0.475*44/12</f>
        <v>0</v>
      </c>
      <c r="GO110" s="23">
        <f t="shared" si="81"/>
        <v>0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66.868724300624777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4.0735000000000001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14.936166666666667</v>
      </c>
      <c r="H111" s="70">
        <f t="shared" si="56"/>
        <v>196.922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66.923044933525219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5.2</v>
      </c>
      <c r="N111" s="14">
        <f>IF('Données projet'!$A$36&gt;35,N110+M111-V110,IF(A111&lt;'Données projet'!$A$36,$K$205^A111,IF(A111='Données projet'!$A$36,'Données projet'!$B$36,N110+M111-V110)))</f>
        <v>347.5999999999998</v>
      </c>
      <c r="O111" s="14">
        <f>N111*VLOOKUP('Données projet'!$B$9,Paramètres!$A$1:$I$89,3,0)*VLOOKUP('Données projet'!$B$9,Paramètres!$A$1:$I$89,5,0)</f>
        <v>314.50847999999979</v>
      </c>
      <c r="P111" s="14">
        <f t="shared" si="87"/>
        <v>74.209587561617383</v>
      </c>
      <c r="Q111" s="22">
        <f t="shared" si="107"/>
        <v>677.01730100315001</v>
      </c>
      <c r="R111" s="62">
        <f t="shared" si="55"/>
        <v>959.06846575940915</v>
      </c>
      <c r="S111" s="62">
        <f ca="1">AVERAGE(OFFSET($R$3,0,0,'Données projet'!$E$9+1,1))-AVERAGE(OFFSET($H$3,0,0,'Données projet'!$E$9+1,1))</f>
        <v>546.11281471711925</v>
      </c>
      <c r="T111" s="62">
        <f t="shared" si="88"/>
        <v>348.18069831447099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66.923044933525219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7.2</v>
      </c>
      <c r="AI111" s="14">
        <f>IF('Données projet'!$A$62&gt;35,AI110+AH111-AQ110,IF(A111&lt;'Données projet'!$A$62,$AF$205^A111,IF(A111='Données projet'!$A$62,'Données projet'!$B$62,AI110+AH111-AQ110)))</f>
        <v>477.5999999999998</v>
      </c>
      <c r="AJ111" s="14">
        <f>AI111*VLOOKUP('Données projet'!$B$10,Paramètres!$A$1:$I$89,3,0)*VLOOKUP('Données projet'!$B$10,Paramètres!$A$1:$I$89,5,0)</f>
        <v>409.78079999999983</v>
      </c>
      <c r="AK111" s="14">
        <f t="shared" si="89"/>
        <v>93.756775782431959</v>
      </c>
      <c r="AL111" s="22">
        <f t="shared" si="58"/>
        <v>876.99461115440192</v>
      </c>
      <c r="AM111" s="62">
        <f t="shared" si="59"/>
        <v>1159.0457759106612</v>
      </c>
      <c r="AN111" s="62">
        <f ca="1">AVERAGE(OFFSET($AM$3,0,0,'Données projet'!$E$10+1,1))-AVERAGE(OFFSET($H$3,0,0,'Données projet'!$E$10+1,1))</f>
        <v>693.87994318348024</v>
      </c>
      <c r="AO111" s="62">
        <f t="shared" si="90"/>
        <v>327.71043739333641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66.923044933525219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5.2</v>
      </c>
      <c r="BD111" s="13">
        <f>IF('Données projet'!$A$88&gt;35,BD110+BC111-BL110,IF(A111&lt;'Données projet'!$A$88,$BA$205^A111,IF(A111='Données projet'!$A$88,'Données projet'!$B$88,BD110+BC111-BL110)))</f>
        <v>347.5999999999998</v>
      </c>
      <c r="BE111" s="14">
        <f>BD111*VLOOKUP('Données projet'!$B$11,Paramètres!$A$1:$I$89,3,0)*VLOOKUP('Données projet'!$B$11,Paramètres!$A$1:$I$89,5,0)</f>
        <v>292.81823999999983</v>
      </c>
      <c r="BF111" s="14">
        <f t="shared" si="91"/>
        <v>69.668774141370633</v>
      </c>
      <c r="BG111" s="22">
        <f t="shared" si="61"/>
        <v>631.33154962955359</v>
      </c>
      <c r="BH111" s="62">
        <f t="shared" si="62"/>
        <v>913.38271438581273</v>
      </c>
      <c r="BI111" s="62">
        <f ca="1">AVERAGE(OFFSET($BH$3,0,0,'Données projet'!$E$11+1,1))-AVERAGE(OFFSET($H$3,0,0,'Données projet'!$E$11+1,1))</f>
        <v>513.7388209355762</v>
      </c>
      <c r="BJ111" s="62">
        <f t="shared" si="92"/>
        <v>328.24603121433927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66.923044933525219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4.5474735088646412E-13</v>
      </c>
      <c r="BZ111" s="14">
        <f>BY111*VLOOKUP('Données projet'!$B$12,Paramètres!$A$1:$I$89,3,0)*VLOOKUP('Données projet'!$B$12,Paramètres!$A$1:$I$89,5,0)</f>
        <v>3.6179699236527089E-13</v>
      </c>
      <c r="CA111" s="14">
        <f t="shared" si="93"/>
        <v>4.6796319415916035E-12</v>
      </c>
      <c r="CB111" s="22">
        <f t="shared" si="64"/>
        <v>8.7804887266415556E-12</v>
      </c>
      <c r="CC111" s="62">
        <f t="shared" si="65"/>
        <v>282.05116475626789</v>
      </c>
      <c r="CD111" s="62">
        <f ca="1">AVERAGE(OFFSET($CC$3,0,0,'Données projet'!$E$12+1,1))-AVERAGE(OFFSET($H$3,0,0,'Données projet'!$E$12+1,1))</f>
        <v>447.25854887589878</v>
      </c>
      <c r="CE111" s="62">
        <f t="shared" si="94"/>
        <v>480.13390593590157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66.923044933525219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1.1368683772161603E-13</v>
      </c>
      <c r="CU111" s="18">
        <f>CT111*VLOOKUP('Données projet'!$B$13,Paramètres!$A$1:$I$89,3,0)*VLOOKUP('Données projet'!$B$13,Paramètres!$A$1:$I$89,5,0)</f>
        <v>8.8675733422860506E-14</v>
      </c>
      <c r="CV111" s="14">
        <f t="shared" si="95"/>
        <v>1.3509285393066301E-12</v>
      </c>
      <c r="CW111" s="22">
        <f t="shared" si="67"/>
        <v>2.5073107750038623E-12</v>
      </c>
      <c r="CX111" s="62">
        <f t="shared" si="68"/>
        <v>282.05116475626164</v>
      </c>
      <c r="CY111" s="62">
        <f ca="1">AVERAGE(OFFSET($CX$3,0,0,'Données projet'!$E$13+1,1))-AVERAGE(OFFSET($H$3,0,0,'Données projet'!$E$13+1,1))</f>
        <v>308.52515801950324</v>
      </c>
      <c r="CZ111" s="62">
        <f t="shared" si="96"/>
        <v>299.05420638408953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66.923044933525219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4.5474735088646412E-13</v>
      </c>
      <c r="DP111" s="18">
        <f>DO111*VLOOKUP('Données projet'!$B$14,Paramètres!$A$1:$I$89,3,0)*VLOOKUP('Données projet'!$B$14,Paramètres!$A$1:$I$89,5,0)</f>
        <v>3.3342075766995548E-13</v>
      </c>
      <c r="DQ111" s="14">
        <f t="shared" si="97"/>
        <v>4.3537988100583648E-12</v>
      </c>
      <c r="DR111" s="22">
        <f t="shared" si="70"/>
        <v>8.1635740804601579E-12</v>
      </c>
      <c r="DS111" s="62">
        <f t="shared" si="71"/>
        <v>282.05116475626733</v>
      </c>
      <c r="DT111" s="62">
        <f ca="1">AVERAGE(OFFSET($DS$3,0,0,'Données projet'!$E$14+1,1))-AVERAGE(OFFSET($H$3,0,0,'Données projet'!$E$14+1,1))</f>
        <v>416.72317068678774</v>
      </c>
      <c r="DU111" s="62">
        <f t="shared" si="98"/>
        <v>447.32457429495537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66.923044933525219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3.5897435897435854</v>
      </c>
      <c r="EJ111" s="13">
        <f>IF('Données projet'!$A$192&gt;35,EJ110+EI111-ER110,IF(A111&lt;'Données projet'!$A$192,$EG$205^A111,IF(A111='Données projet'!$A$192,'Données projet'!$B$192,EJ110+EI111-ER110)))</f>
        <v>286.41025641025664</v>
      </c>
      <c r="EK111" s="18">
        <f>EJ111*VLOOKUP('Données projet'!$B$15,Paramètres!$A$1:$I$89,3,0)*VLOOKUP('Données projet'!$B$15,Paramètres!$A$1:$I$89,5,0)</f>
        <v>272.54800000000023</v>
      </c>
      <c r="EL111" s="14">
        <f t="shared" si="99"/>
        <v>65.389723233802428</v>
      </c>
      <c r="EM111" s="22">
        <f t="shared" si="73"/>
        <v>588.57486796553962</v>
      </c>
      <c r="EN111" s="62">
        <f t="shared" si="74"/>
        <v>870.62603272179877</v>
      </c>
      <c r="EO111" s="62">
        <f ca="1">AVERAGE(OFFSET($EN$3,0,0,'Données projet'!$E$15+1,1))-AVERAGE(OFFSET($H$3,0,0,'Données projet'!$E$15+1,1))</f>
        <v>454.78867027701426</v>
      </c>
      <c r="EP111" s="62">
        <f t="shared" si="100"/>
        <v>366.45346303927056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0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66.923044933525219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3.6538461538461489</v>
      </c>
      <c r="FE111" s="13">
        <f>IF('Données projet'!$A$218&gt;35,FE110+FD111-FM110,IF(A111&lt;'Données projet'!$A$218,$FB$205^A111,IF(A111='Données projet'!$A$218,'Données projet'!$B$218,FE110+FD111-FM110)))</f>
        <v>359.35897435897436</v>
      </c>
      <c r="FF111" s="18">
        <f>FE111*VLOOKUP('Données projet'!$B$16,Paramètres!$A$1:$I$89,3,0)*VLOOKUP('Données projet'!$B$16,Paramètres!$A$1:$I$89,5,0)</f>
        <v>241.05799999999999</v>
      </c>
      <c r="FG111" s="14">
        <f t="shared" si="101"/>
        <v>58.667106028853908</v>
      </c>
      <c r="FH111" s="22">
        <f t="shared" si="76"/>
        <v>522.02122633358715</v>
      </c>
      <c r="FI111" s="62">
        <f t="shared" si="77"/>
        <v>804.07239108984629</v>
      </c>
      <c r="FJ111" s="62">
        <f ca="1">AVERAGE(OFFSET($FI$3,0,0,'Données projet'!$E$16+1,1))-AVERAGE(OFFSET($H$3,0,0,'Données projet'!$E$16+1,1))</f>
        <v>390.05579539539576</v>
      </c>
      <c r="FK111" s="62">
        <f t="shared" si="102"/>
        <v>323.72278615226139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projet'!$B$16,Paramètres!$A$1:$I$89,3,0)*0.475*44/12</f>
        <v>0</v>
      </c>
      <c r="FR111" s="23">
        <f>EXP(-LN(2)/25)*FR110+(1-EXP(-LN(2)/25))/(LN(2)/25)*Calculateur!FM111*Calculateur!FO111*VLOOKUP('Données projet'!$B$16,Paramètres!$A$1:$I$89,3,0)*0.475*44/12</f>
        <v>0</v>
      </c>
      <c r="FS111" s="23">
        <f>EXP(-LN(2)/2)*FS110+(1-EXP(-LN(2)/2))/(LN(2)/2)*FM111*FP111*VLOOKUP('Données projet'!$B$16,Paramètres!$A$1:$I$89,3,0)*0.475*44/12</f>
        <v>0</v>
      </c>
      <c r="FT111" s="24">
        <f t="shared" si="78"/>
        <v>0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66.923044933525219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5.2</v>
      </c>
      <c r="FZ111" s="13">
        <f>IF('Données projet'!$A$244&gt;35,FZ110+FY111-GH110,IF(A111&lt;'Données projet'!$A$244,$FW$205^A111,IF(A111='Données projet'!$A$244,'Données projet'!$B$244,FZ110+FY111-GH110)))</f>
        <v>347.5999999999998</v>
      </c>
      <c r="GA111" s="18">
        <f>FZ111*VLOOKUP('Données projet'!$B$17,Paramètres!$A$1:$I$89,3,0)*VLOOKUP('Données projet'!$B$17,Paramètres!$A$1:$I$89,5,0)</f>
        <v>336.19871999999981</v>
      </c>
      <c r="GB111" s="14">
        <f t="shared" si="103"/>
        <v>78.71406473653974</v>
      </c>
      <c r="GC111" s="22">
        <f t="shared" si="79"/>
        <v>722.63976674947298</v>
      </c>
      <c r="GD111" s="62">
        <f t="shared" si="80"/>
        <v>1004.6909315057321</v>
      </c>
      <c r="GE111" s="62">
        <f ca="1">AVERAGE(OFFSET($GD$3,0,0,'Données projet'!$E$17+1,1))-AVERAGE(OFFSET($H$3,0,0,'Données projet'!$E$17+1,1))</f>
        <v>578.44111602076555</v>
      </c>
      <c r="GF111" s="62">
        <f t="shared" si="104"/>
        <v>368.08542661432784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>
        <f>EXP(-LN(2)/35)*GL110+(1-EXP(-LN(2)/35))/(LN(2)/35)*GH111*GI111*VLOOKUP('Données projet'!$B$17,Paramètres!$A$1:$I$89,3,0)*0.475*44/12</f>
        <v>0</v>
      </c>
      <c r="GM111" s="23">
        <f>EXP(-LN(2)/25)*GM110+(1-EXP(-LN(2)/25))/(LN(2)/25)*Calculateur!GH111*Calculateur!GJ111*VLOOKUP('Données projet'!$B$17,Paramètres!$A$1:$I$89,3,0)*0.475*44/12</f>
        <v>0</v>
      </c>
      <c r="GN111" s="23">
        <f>EXP(-LN(2)/2)*GN110+(1-EXP(-LN(2)/2))/(LN(2)/2)*GH111*GK111*VLOOKUP('Données projet'!$B$17,Paramètres!$A$1:$I$89,3,0)*0.475*44/12</f>
        <v>0</v>
      </c>
      <c r="GO111" s="23">
        <f t="shared" si="81"/>
        <v>0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66.923044933525219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4.0735000000000001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14.936166666666667</v>
      </c>
      <c r="H112" s="70">
        <f t="shared" si="56"/>
        <v>196.922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66.976423224887583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5.2</v>
      </c>
      <c r="N112" s="14">
        <f>IF('Données projet'!$A$36&gt;35,N111+M112-V111,IF(A112&lt;'Données projet'!$A$36,$K$205^A112,IF(A112='Données projet'!$A$36,'Données projet'!$B$36,N111+M112-V111)))</f>
        <v>352.79999999999978</v>
      </c>
      <c r="O112" s="14">
        <f>N112*VLOOKUP('Données projet'!$B$9,Paramètres!$A$1:$I$89,3,0)*VLOOKUP('Données projet'!$B$9,Paramètres!$A$1:$I$89,5,0)</f>
        <v>319.21343999999976</v>
      </c>
      <c r="P112" s="14">
        <f t="shared" si="87"/>
        <v>75.189671124171639</v>
      </c>
      <c r="Q112" s="22">
        <f t="shared" si="107"/>
        <v>686.91875187459846</v>
      </c>
      <c r="R112" s="62">
        <f t="shared" si="55"/>
        <v>969.1656370325195</v>
      </c>
      <c r="S112" s="62">
        <f ca="1">AVERAGE(OFFSET($R$3,0,0,'Données projet'!$E$9+1,1))-AVERAGE(OFFSET($H$3,0,0,'Données projet'!$E$9+1,1))</f>
        <v>546.11281471711925</v>
      </c>
      <c r="T112" s="62">
        <f t="shared" si="88"/>
        <v>348.18069831447099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66.976423224887583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7.2</v>
      </c>
      <c r="AI112" s="14">
        <f>IF('Données projet'!$A$62&gt;35,AI111+AH112-AQ111,IF(A112&lt;'Données projet'!$A$62,$AF$205^A112,IF(A112='Données projet'!$A$62,'Données projet'!$B$62,AI111+AH112-AQ111)))</f>
        <v>484.79999999999978</v>
      </c>
      <c r="AJ112" s="14">
        <f>AI112*VLOOKUP('Données projet'!$B$10,Paramètres!$A$1:$I$89,3,0)*VLOOKUP('Données projet'!$B$10,Paramètres!$A$1:$I$89,5,0)</f>
        <v>415.95839999999993</v>
      </c>
      <c r="AK112" s="14">
        <f t="shared" si="89"/>
        <v>95.00458290560033</v>
      </c>
      <c r="AL112" s="22">
        <f t="shared" si="58"/>
        <v>889.92719522725372</v>
      </c>
      <c r="AM112" s="62">
        <f t="shared" si="59"/>
        <v>1172.1740803851749</v>
      </c>
      <c r="AN112" s="62">
        <f ca="1">AVERAGE(OFFSET($AM$3,0,0,'Données projet'!$E$10+1,1))-AVERAGE(OFFSET($H$3,0,0,'Données projet'!$E$10+1,1))</f>
        <v>693.87994318348024</v>
      </c>
      <c r="AO112" s="62">
        <f t="shared" si="90"/>
        <v>327.71043739333641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66.976423224887583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5.2</v>
      </c>
      <c r="BD112" s="13">
        <f>IF('Données projet'!$A$88&gt;35,BD111+BC112-BL111,IF(A112&lt;'Données projet'!$A$88,$BA$205^A112,IF(A112='Données projet'!$A$88,'Données projet'!$B$88,BD111+BC112-BL111)))</f>
        <v>352.79999999999978</v>
      </c>
      <c r="BE112" s="14">
        <f>BD112*VLOOKUP('Données projet'!$B$11,Paramètres!$A$1:$I$89,3,0)*VLOOKUP('Données projet'!$B$11,Paramètres!$A$1:$I$89,5,0)</f>
        <v>297.19871999999981</v>
      </c>
      <c r="BF112" s="14">
        <f t="shared" si="91"/>
        <v>70.588887331631497</v>
      </c>
      <c r="BG112" s="22">
        <f t="shared" si="61"/>
        <v>640.56341610259119</v>
      </c>
      <c r="BH112" s="62">
        <f t="shared" si="62"/>
        <v>922.81030126051223</v>
      </c>
      <c r="BI112" s="62">
        <f ca="1">AVERAGE(OFFSET($BH$3,0,0,'Données projet'!$E$11+1,1))-AVERAGE(OFFSET($H$3,0,0,'Données projet'!$E$11+1,1))</f>
        <v>513.7388209355762</v>
      </c>
      <c r="BJ112" s="62">
        <f t="shared" si="92"/>
        <v>328.24603121433927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66.976423224887583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4.5474735088646412E-13</v>
      </c>
      <c r="BZ112" s="14">
        <f>BY112*VLOOKUP('Données projet'!$B$12,Paramètres!$A$1:$I$89,3,0)*VLOOKUP('Données projet'!$B$12,Paramètres!$A$1:$I$89,5,0)</f>
        <v>3.6179699236527089E-13</v>
      </c>
      <c r="CA112" s="14">
        <f t="shared" si="93"/>
        <v>4.6796319415916035E-12</v>
      </c>
      <c r="CB112" s="22">
        <f t="shared" si="64"/>
        <v>8.7804887266415556E-12</v>
      </c>
      <c r="CC112" s="62">
        <f t="shared" si="65"/>
        <v>282.24688515792985</v>
      </c>
      <c r="CD112" s="62">
        <f ca="1">AVERAGE(OFFSET($CC$3,0,0,'Données projet'!$E$12+1,1))-AVERAGE(OFFSET($H$3,0,0,'Données projet'!$E$12+1,1))</f>
        <v>447.25854887589878</v>
      </c>
      <c r="CE112" s="62">
        <f t="shared" si="94"/>
        <v>480.13390593590157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66.976423224887583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1.1368683772161603E-13</v>
      </c>
      <c r="CU112" s="18">
        <f>CT112*VLOOKUP('Données projet'!$B$13,Paramètres!$A$1:$I$89,3,0)*VLOOKUP('Données projet'!$B$13,Paramètres!$A$1:$I$89,5,0)</f>
        <v>8.8675733422860506E-14</v>
      </c>
      <c r="CV112" s="14">
        <f t="shared" si="95"/>
        <v>1.3509285393066301E-12</v>
      </c>
      <c r="CW112" s="22">
        <f t="shared" si="67"/>
        <v>2.5073107750038623E-12</v>
      </c>
      <c r="CX112" s="62">
        <f t="shared" si="68"/>
        <v>282.2468851579236</v>
      </c>
      <c r="CY112" s="62">
        <f ca="1">AVERAGE(OFFSET($CX$3,0,0,'Données projet'!$E$13+1,1))-AVERAGE(OFFSET($H$3,0,0,'Données projet'!$E$13+1,1))</f>
        <v>308.52515801950324</v>
      </c>
      <c r="CZ112" s="62">
        <f t="shared" si="96"/>
        <v>299.05420638408953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66.976423224887583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4.5474735088646412E-13</v>
      </c>
      <c r="DP112" s="18">
        <f>DO112*VLOOKUP('Données projet'!$B$14,Paramètres!$A$1:$I$89,3,0)*VLOOKUP('Données projet'!$B$14,Paramètres!$A$1:$I$89,5,0)</f>
        <v>3.3342075766995548E-13</v>
      </c>
      <c r="DQ112" s="14">
        <f t="shared" si="97"/>
        <v>4.3537988100583648E-12</v>
      </c>
      <c r="DR112" s="22">
        <f t="shared" si="70"/>
        <v>8.1635740804601579E-12</v>
      </c>
      <c r="DS112" s="62">
        <f t="shared" si="71"/>
        <v>282.24688515792928</v>
      </c>
      <c r="DT112" s="62">
        <f ca="1">AVERAGE(OFFSET($DS$3,0,0,'Données projet'!$E$14+1,1))-AVERAGE(OFFSET($H$3,0,0,'Données projet'!$E$14+1,1))</f>
        <v>416.72317068678774</v>
      </c>
      <c r="DU112" s="62">
        <f t="shared" si="98"/>
        <v>447.32457429495537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66.976423224887583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3.5897435897435854</v>
      </c>
      <c r="EJ112" s="13">
        <f>IF('Données projet'!$A$192&gt;35,EJ111+EI112-ER111,IF(A112&lt;'Données projet'!$A$192,$EG$205^A112,IF(A112='Données projet'!$A$192,'Données projet'!$B$192,EJ111+EI112-ER111)))</f>
        <v>290.00000000000023</v>
      </c>
      <c r="EK112" s="18">
        <f>EJ112*VLOOKUP('Données projet'!$B$15,Paramètres!$A$1:$I$89,3,0)*VLOOKUP('Données projet'!$B$15,Paramètres!$A$1:$I$89,5,0)</f>
        <v>275.96400000000023</v>
      </c>
      <c r="EL112" s="14">
        <f t="shared" si="99"/>
        <v>66.113366665488911</v>
      </c>
      <c r="EM112" s="22">
        <f t="shared" si="73"/>
        <v>595.78474694239355</v>
      </c>
      <c r="EN112" s="62">
        <f t="shared" si="74"/>
        <v>878.03163210031471</v>
      </c>
      <c r="EO112" s="62">
        <f ca="1">AVERAGE(OFFSET($EN$3,0,0,'Données projet'!$E$15+1,1))-AVERAGE(OFFSET($H$3,0,0,'Données projet'!$E$15+1,1))</f>
        <v>454.78867027701426</v>
      </c>
      <c r="EP112" s="62">
        <f t="shared" si="100"/>
        <v>366.45346303927056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0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66.976423224887583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3.6538461538461489</v>
      </c>
      <c r="FE112" s="13">
        <f>IF('Données projet'!$A$218&gt;35,FE111+FD112-FM111,IF(A112&lt;'Données projet'!$A$218,$FB$205^A112,IF(A112='Données projet'!$A$218,'Données projet'!$B$218,FE111+FD112-FM111)))</f>
        <v>363.0128205128205</v>
      </c>
      <c r="FF112" s="18">
        <f>FE112*VLOOKUP('Données projet'!$B$16,Paramètres!$A$1:$I$89,3,0)*VLOOKUP('Données projet'!$B$16,Paramètres!$A$1:$I$89,5,0)</f>
        <v>243.50900000000001</v>
      </c>
      <c r="FG112" s="14">
        <f t="shared" si="101"/>
        <v>59.193869958866358</v>
      </c>
      <c r="FH112" s="22">
        <f t="shared" si="76"/>
        <v>527.20749851169228</v>
      </c>
      <c r="FI112" s="62">
        <f t="shared" si="77"/>
        <v>809.45438366961343</v>
      </c>
      <c r="FJ112" s="62">
        <f ca="1">AVERAGE(OFFSET($FI$3,0,0,'Données projet'!$E$16+1,1))-AVERAGE(OFFSET($H$3,0,0,'Données projet'!$E$16+1,1))</f>
        <v>390.05579539539576</v>
      </c>
      <c r="FK112" s="62">
        <f t="shared" si="102"/>
        <v>323.72278615226139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projet'!$B$16,Paramètres!$A$1:$I$89,3,0)*0.475*44/12</f>
        <v>0</v>
      </c>
      <c r="FR112" s="23">
        <f>EXP(-LN(2)/25)*FR111+(1-EXP(-LN(2)/25))/(LN(2)/25)*Calculateur!FM112*Calculateur!FO112*VLOOKUP('Données projet'!$B$16,Paramètres!$A$1:$I$89,3,0)*0.475*44/12</f>
        <v>0</v>
      </c>
      <c r="FS112" s="23">
        <f>EXP(-LN(2)/2)*FS111+(1-EXP(-LN(2)/2))/(LN(2)/2)*FM112*FP112*VLOOKUP('Données projet'!$B$16,Paramètres!$A$1:$I$89,3,0)*0.475*44/12</f>
        <v>0</v>
      </c>
      <c r="FT112" s="24">
        <f t="shared" si="78"/>
        <v>0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66.976423224887583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5.2</v>
      </c>
      <c r="FZ112" s="13">
        <f>IF('Données projet'!$A$244&gt;35,FZ111+FY112-GH111,IF(A112&lt;'Données projet'!$A$244,$FW$205^A112,IF(A112='Données projet'!$A$244,'Données projet'!$B$244,FZ111+FY112-GH111)))</f>
        <v>352.79999999999978</v>
      </c>
      <c r="GA112" s="18">
        <f>FZ112*VLOOKUP('Données projet'!$B$17,Paramètres!$A$1:$I$89,3,0)*VLOOKUP('Données projet'!$B$17,Paramètres!$A$1:$I$89,5,0)</f>
        <v>341.22815999999983</v>
      </c>
      <c r="GB112" s="14">
        <f t="shared" si="103"/>
        <v>79.753638779800099</v>
      </c>
      <c r="GC112" s="22">
        <f t="shared" si="79"/>
        <v>733.20996620815151</v>
      </c>
      <c r="GD112" s="62">
        <f t="shared" si="80"/>
        <v>1015.4568513660727</v>
      </c>
      <c r="GE112" s="62">
        <f ca="1">AVERAGE(OFFSET($GD$3,0,0,'Données projet'!$E$17+1,1))-AVERAGE(OFFSET($H$3,0,0,'Données projet'!$E$17+1,1))</f>
        <v>578.44111602076555</v>
      </c>
      <c r="GF112" s="62">
        <f t="shared" si="104"/>
        <v>368.08542661432784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>
        <f>EXP(-LN(2)/35)*GL111+(1-EXP(-LN(2)/35))/(LN(2)/35)*GH112*GI112*VLOOKUP('Données projet'!$B$17,Paramètres!$A$1:$I$89,3,0)*0.475*44/12</f>
        <v>0</v>
      </c>
      <c r="GM112" s="23">
        <f>EXP(-LN(2)/25)*GM111+(1-EXP(-LN(2)/25))/(LN(2)/25)*Calculateur!GH112*Calculateur!GJ112*VLOOKUP('Données projet'!$B$17,Paramètres!$A$1:$I$89,3,0)*0.475*44/12</f>
        <v>0</v>
      </c>
      <c r="GN112" s="23">
        <f>EXP(-LN(2)/2)*GN111+(1-EXP(-LN(2)/2))/(LN(2)/2)*GH112*GK112*VLOOKUP('Données projet'!$B$17,Paramètres!$A$1:$I$89,3,0)*0.475*44/12</f>
        <v>0</v>
      </c>
      <c r="GO112" s="23">
        <f t="shared" si="81"/>
        <v>0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66.976423224887583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4.0735000000000001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14.936166666666667</v>
      </c>
      <c r="H113" s="70">
        <f t="shared" si="56"/>
        <v>196.922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67.028875522230791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358</v>
      </c>
      <c r="L113" s="13">
        <f>VLOOKUP(A113,'Données projet'!$A$35:$I$55,9,0)</f>
        <v>5.2</v>
      </c>
      <c r="M113" s="13">
        <f t="array" ref="M113">INDEX(L:L,MIN(IF(ISNUMBER(L113:L309),ROW(L113:L309),"")))</f>
        <v>5.2</v>
      </c>
      <c r="N113" s="14">
        <f>IF('Données projet'!$A$36&gt;35,N112+M113-V112,IF(A113&lt;'Données projet'!$A$36,$K$205^A113,IF(A113='Données projet'!$A$36,'Données projet'!$B$36,N112+M113-V112)))</f>
        <v>357.99999999999977</v>
      </c>
      <c r="O113" s="14">
        <f>N113*VLOOKUP('Données projet'!$B$9,Paramètres!$A$1:$I$89,3,0)*VLOOKUP('Données projet'!$B$9,Paramètres!$A$1:$I$89,5,0)</f>
        <v>323.91839999999979</v>
      </c>
      <c r="P113" s="14">
        <f t="shared" si="87"/>
        <v>76.168074587293034</v>
      </c>
      <c r="Q113" s="22">
        <f t="shared" si="107"/>
        <v>696.81727657286831</v>
      </c>
      <c r="R113" s="62">
        <f t="shared" si="55"/>
        <v>979.25648682104793</v>
      </c>
      <c r="S113" s="62">
        <f ca="1">AVERAGE(OFFSET($R$3,0,0,'Données projet'!$E$9+1,1))-AVERAGE(OFFSET($H$3,0,0,'Données projet'!$E$9+1,1))</f>
        <v>546.11281471711925</v>
      </c>
      <c r="T113" s="62">
        <f t="shared" si="88"/>
        <v>348.18069831447099</v>
      </c>
      <c r="U113" s="16">
        <f>IF(ISNA(VLOOKUP(A113,'Données projet'!$A$35:$I$55,3,0)),0,VLOOKUP(A113,'Données projet'!$A$35:$I$55,3,0))</f>
        <v>10</v>
      </c>
      <c r="V113" s="16">
        <f>IF(ISNA(VLOOKUP(A113,'Données projet'!$A$35:$I$55,4,0)),0,VLOOKUP(A113,'Données projet'!$A$35:$I$55,4,0))</f>
        <v>51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67.028875522230791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7.2</v>
      </c>
      <c r="AI113" s="14">
        <f>IF('Données projet'!$A$62&gt;35,AI112+AH113-AQ112,IF(A113&lt;'Données projet'!$A$62,$AF$205^A113,IF(A113='Données projet'!$A$62,'Données projet'!$B$62,AI112+AH113-AQ112)))</f>
        <v>491.99999999999977</v>
      </c>
      <c r="AJ113" s="14">
        <f>AI113*VLOOKUP('Données projet'!$B$10,Paramètres!$A$1:$I$89,3,0)*VLOOKUP('Données projet'!$B$10,Paramètres!$A$1:$I$89,5,0)</f>
        <v>422.13599999999985</v>
      </c>
      <c r="AK113" s="14">
        <f t="shared" si="89"/>
        <v>96.25023470818816</v>
      </c>
      <c r="AL113" s="22">
        <f t="shared" si="58"/>
        <v>902.85602545009397</v>
      </c>
      <c r="AM113" s="62">
        <f t="shared" si="59"/>
        <v>1185.2952356982735</v>
      </c>
      <c r="AN113" s="62">
        <f ca="1">AVERAGE(OFFSET($AM$3,0,0,'Données projet'!$E$10+1,1))-AVERAGE(OFFSET($H$3,0,0,'Données projet'!$E$10+1,1))</f>
        <v>693.87994318348024</v>
      </c>
      <c r="AO113" s="62">
        <f t="shared" si="90"/>
        <v>327.71043739333641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67.028875522230791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358</v>
      </c>
      <c r="BB113" s="13">
        <f>VLOOKUP(A113,'Données projet'!$A$87:$I$107,9,0)</f>
        <v>5.2</v>
      </c>
      <c r="BC113" s="13">
        <f t="array" ref="BC113">INDEX(BB:BB,MIN(IF(ISNUMBER(BB113:BB309),ROW(BB113:BB309),"")))</f>
        <v>5.2</v>
      </c>
      <c r="BD113" s="13">
        <f>IF('Données projet'!$A$88&gt;35,BD112+BC113-BL112,IF(A113&lt;'Données projet'!$A$88,$BA$205^A113,IF(A113='Données projet'!$A$88,'Données projet'!$B$88,BD112+BC113-BL112)))</f>
        <v>357.99999999999977</v>
      </c>
      <c r="BE113" s="14">
        <f>BD113*VLOOKUP('Données projet'!$B$11,Paramètres!$A$1:$I$89,3,0)*VLOOKUP('Données projet'!$B$11,Paramètres!$A$1:$I$89,5,0)</f>
        <v>301.57919999999984</v>
      </c>
      <c r="BF113" s="14">
        <f t="shared" si="91"/>
        <v>71.507423226130868</v>
      </c>
      <c r="BG113" s="22">
        <f t="shared" si="61"/>
        <v>649.79253545217762</v>
      </c>
      <c r="BH113" s="62">
        <f t="shared" si="62"/>
        <v>932.23174570035712</v>
      </c>
      <c r="BI113" s="62">
        <f ca="1">AVERAGE(OFFSET($BH$3,0,0,'Données projet'!$E$11+1,1))-AVERAGE(OFFSET($H$3,0,0,'Données projet'!$E$11+1,1))</f>
        <v>513.7388209355762</v>
      </c>
      <c r="BJ113" s="62">
        <f t="shared" si="92"/>
        <v>328.24603121433927</v>
      </c>
      <c r="BK113" s="16">
        <f>IF(ISNA(VLOOKUP(A113,'Données projet'!$A$87:$I$107,3,0)),0,VLOOKUP(A113,'Données projet'!$A$87:$I$107,3,0))</f>
        <v>10</v>
      </c>
      <c r="BL113" s="16">
        <f>IF(ISNA(VLOOKUP(A113,'Données projet'!$A$87:$I$107,4,0)),0,VLOOKUP(A113,'Données projet'!$A$87:$I$107,4,0))</f>
        <v>51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67.028875522230791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4.5474735088646412E-13</v>
      </c>
      <c r="BZ113" s="14">
        <f>BY113*VLOOKUP('Données projet'!$B$12,Paramètres!$A$1:$I$89,3,0)*VLOOKUP('Données projet'!$B$12,Paramètres!$A$1:$I$89,5,0)</f>
        <v>3.6179699236527089E-13</v>
      </c>
      <c r="CA113" s="14">
        <f t="shared" si="93"/>
        <v>4.6796319415916035E-12</v>
      </c>
      <c r="CB113" s="22">
        <f t="shared" si="64"/>
        <v>8.7804887266415556E-12</v>
      </c>
      <c r="CC113" s="62">
        <f t="shared" si="65"/>
        <v>282.43921024818832</v>
      </c>
      <c r="CD113" s="62">
        <f ca="1">AVERAGE(OFFSET($CC$3,0,0,'Données projet'!$E$12+1,1))-AVERAGE(OFFSET($H$3,0,0,'Données projet'!$E$12+1,1))</f>
        <v>447.25854887589878</v>
      </c>
      <c r="CE113" s="62">
        <f t="shared" si="94"/>
        <v>480.13390593590157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67.028875522230791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1.1368683772161603E-13</v>
      </c>
      <c r="CU113" s="18">
        <f>CT113*VLOOKUP('Données projet'!$B$13,Paramètres!$A$1:$I$89,3,0)*VLOOKUP('Données projet'!$B$13,Paramètres!$A$1:$I$89,5,0)</f>
        <v>8.8675733422860506E-14</v>
      </c>
      <c r="CV113" s="14">
        <f t="shared" si="95"/>
        <v>1.3509285393066301E-12</v>
      </c>
      <c r="CW113" s="22">
        <f t="shared" si="67"/>
        <v>2.5073107750038623E-12</v>
      </c>
      <c r="CX113" s="62">
        <f t="shared" si="68"/>
        <v>282.43921024818206</v>
      </c>
      <c r="CY113" s="62">
        <f ca="1">AVERAGE(OFFSET($CX$3,0,0,'Données projet'!$E$13+1,1))-AVERAGE(OFFSET($H$3,0,0,'Données projet'!$E$13+1,1))</f>
        <v>308.52515801950324</v>
      </c>
      <c r="CZ113" s="62">
        <f t="shared" si="96"/>
        <v>299.05420638408953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67.028875522230791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4.5474735088646412E-13</v>
      </c>
      <c r="DP113" s="18">
        <f>DO113*VLOOKUP('Données projet'!$B$14,Paramètres!$A$1:$I$89,3,0)*VLOOKUP('Données projet'!$B$14,Paramètres!$A$1:$I$89,5,0)</f>
        <v>3.3342075766995548E-13</v>
      </c>
      <c r="DQ113" s="14">
        <f t="shared" si="97"/>
        <v>4.3537988100583648E-12</v>
      </c>
      <c r="DR113" s="22">
        <f t="shared" si="70"/>
        <v>8.1635740804601579E-12</v>
      </c>
      <c r="DS113" s="62">
        <f t="shared" si="71"/>
        <v>282.43921024818775</v>
      </c>
      <c r="DT113" s="62">
        <f ca="1">AVERAGE(OFFSET($DS$3,0,0,'Données projet'!$E$14+1,1))-AVERAGE(OFFSET($H$3,0,0,'Données projet'!$E$14+1,1))</f>
        <v>416.72317068678774</v>
      </c>
      <c r="DU113" s="62">
        <f t="shared" si="98"/>
        <v>447.32457429495537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67.028875522230791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>
        <f>VLOOKUP(A113,'Données projet'!$A$191:$I$211,2,0)</f>
        <v>293.58974358974359</v>
      </c>
      <c r="EH113" s="13">
        <f>VLOOKUP(A113,'Données projet'!$A$191:$I$211,9,0)</f>
        <v>3.5897435897435854</v>
      </c>
      <c r="EI113" s="13">
        <f t="array" ref="EI113">INDEX(EH:EH,MIN(IF(ISNUMBER(EH113:EH309),ROW(EH113:EH309),"")))</f>
        <v>3.5897435897435854</v>
      </c>
      <c r="EJ113" s="13">
        <f>IF('Données projet'!$A$192&gt;35,EJ112+EI113-ER112,IF(A113&lt;'Données projet'!$A$192,$EG$205^A113,IF(A113='Données projet'!$A$192,'Données projet'!$B$192,EJ112+EI113-ER112)))</f>
        <v>293.58974358974382</v>
      </c>
      <c r="EK113" s="18">
        <f>EJ113*VLOOKUP('Données projet'!$B$15,Paramètres!$A$1:$I$89,3,0)*VLOOKUP('Données projet'!$B$15,Paramètres!$A$1:$I$89,5,0)</f>
        <v>279.38000000000022</v>
      </c>
      <c r="EL113" s="14">
        <f t="shared" si="99"/>
        <v>66.835968159060357</v>
      </c>
      <c r="EM113" s="22">
        <f t="shared" si="73"/>
        <v>602.99281121036381</v>
      </c>
      <c r="EN113" s="62">
        <f t="shared" si="74"/>
        <v>885.43202145854343</v>
      </c>
      <c r="EO113" s="62">
        <f ca="1">AVERAGE(OFFSET($EN$3,0,0,'Données projet'!$E$15+1,1))-AVERAGE(OFFSET($H$3,0,0,'Données projet'!$E$15+1,1))</f>
        <v>454.78867027701426</v>
      </c>
      <c r="EP113" s="62">
        <f t="shared" si="100"/>
        <v>366.45346303927056</v>
      </c>
      <c r="EQ113" s="16">
        <f>IF(ISNA(VLOOKUP(A113,'Données projet'!$A$191:$I$211,3,0)),0,VLOOKUP(A113,'Données projet'!$A$191:$I$211,3,0))</f>
        <v>10</v>
      </c>
      <c r="ER113" s="16">
        <f>IF(ISNA(VLOOKUP(A113,'Données projet'!$A$191:$I$211,4,0)),0,VLOOKUP(A113,'Données projet'!$A$191:$I$211,4,0))</f>
        <v>26.282051282051281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0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67.028875522230791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>
        <f>VLOOKUP(A113,'Données projet'!$A$217:$I$237,2,0)</f>
        <v>366.66666666666663</v>
      </c>
      <c r="FC113" s="13">
        <f>VLOOKUP(A113,'Données projet'!$A$217:$I$237,9,0)</f>
        <v>3.6538461538461489</v>
      </c>
      <c r="FD113" s="13">
        <f t="array" ref="FD113">INDEX(FC:FC,MIN(IF(ISNUMBER(FC113:FC309),ROW(FC113:FC309),"")))</f>
        <v>3.6538461538461489</v>
      </c>
      <c r="FE113" s="13">
        <f>IF('Données projet'!$A$218&gt;35,FE112+FD113-FM112,IF(A113&lt;'Données projet'!$A$218,$FB$205^A113,IF(A113='Données projet'!$A$218,'Données projet'!$B$218,FE112+FD113-FM112)))</f>
        <v>366.66666666666663</v>
      </c>
      <c r="FF113" s="18">
        <f>FE113*VLOOKUP('Données projet'!$B$16,Paramètres!$A$1:$I$89,3,0)*VLOOKUP('Données projet'!$B$16,Paramètres!$A$1:$I$89,5,0)</f>
        <v>245.95999999999998</v>
      </c>
      <c r="FG113" s="14">
        <f t="shared" si="101"/>
        <v>59.7200170799197</v>
      </c>
      <c r="FH113" s="22">
        <f t="shared" si="76"/>
        <v>532.39269641419344</v>
      </c>
      <c r="FI113" s="62">
        <f t="shared" si="77"/>
        <v>814.83190666237306</v>
      </c>
      <c r="FJ113" s="62">
        <f ca="1">AVERAGE(OFFSET($FI$3,0,0,'Données projet'!$E$16+1,1))-AVERAGE(OFFSET($H$3,0,0,'Données projet'!$E$16+1,1))</f>
        <v>390.05579539539576</v>
      </c>
      <c r="FK113" s="62">
        <f t="shared" si="102"/>
        <v>323.72278615226139</v>
      </c>
      <c r="FL113" s="16">
        <f>IF(ISNA(VLOOKUP(A113,'Données projet'!$A$217:$I$237,3,0)),0,VLOOKUP(A113,'Données projet'!$A$217:$I$237,3,0))</f>
        <v>10</v>
      </c>
      <c r="FM113" s="16">
        <f>IF(ISNA(VLOOKUP(A113,'Données projet'!$A$217:$I$237,4,0)),0,VLOOKUP(A113,'Données projet'!$A$217:$I$237,4,0))</f>
        <v>366.66666666666663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projet'!$B$16,Paramètres!$A$1:$I$89,3,0)*0.475*44/12</f>
        <v>0</v>
      </c>
      <c r="FR113" s="23">
        <f>EXP(-LN(2)/25)*FR112+(1-EXP(-LN(2)/25))/(LN(2)/25)*Calculateur!FM113*Calculateur!FO113*VLOOKUP('Données projet'!$B$16,Paramètres!$A$1:$I$89,3,0)*0.475*44/12</f>
        <v>0</v>
      </c>
      <c r="FS113" s="23">
        <f>EXP(-LN(2)/2)*FS112+(1-EXP(-LN(2)/2))/(LN(2)/2)*FM113*FP113*VLOOKUP('Données projet'!$B$16,Paramètres!$A$1:$I$89,3,0)*0.475*44/12</f>
        <v>0</v>
      </c>
      <c r="FT113" s="24">
        <f t="shared" si="78"/>
        <v>0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67.028875522230791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>
        <f>VLOOKUP(A113,'Données projet'!$A$243:$I$263,2,0)</f>
        <v>358</v>
      </c>
      <c r="FX113" s="13">
        <f>VLOOKUP(A113,'Données projet'!$A$243:$I$263,9,0)</f>
        <v>5.2</v>
      </c>
      <c r="FY113" s="13">
        <f t="array" ref="FY113">INDEX(FX:FX,MIN(IF(ISNUMBER(FX113:FX309),ROW(FX113:FX309),"")))</f>
        <v>5.2</v>
      </c>
      <c r="FZ113" s="13">
        <f>IF('Données projet'!$A$244&gt;35,FZ112+FY113-GH112,IF(A113&lt;'Données projet'!$A$244,$FW$205^A113,IF(A113='Données projet'!$A$244,'Données projet'!$B$244,FZ112+FY113-GH112)))</f>
        <v>357.99999999999977</v>
      </c>
      <c r="GA113" s="18">
        <f>FZ113*VLOOKUP('Données projet'!$B$17,Paramètres!$A$1:$I$89,3,0)*VLOOKUP('Données projet'!$B$17,Paramètres!$A$1:$I$89,5,0)</f>
        <v>346.2575999999998</v>
      </c>
      <c r="GB113" s="14">
        <f t="shared" si="103"/>
        <v>80.791430742606124</v>
      </c>
      <c r="GC113" s="22">
        <f t="shared" si="79"/>
        <v>743.77706187670526</v>
      </c>
      <c r="GD113" s="62">
        <f t="shared" si="80"/>
        <v>1026.2162721248849</v>
      </c>
      <c r="GE113" s="62">
        <f ca="1">AVERAGE(OFFSET($GD$3,0,0,'Données projet'!$E$17+1,1))-AVERAGE(OFFSET($H$3,0,0,'Données projet'!$E$17+1,1))</f>
        <v>578.44111602076555</v>
      </c>
      <c r="GF113" s="62">
        <f t="shared" si="104"/>
        <v>368.08542661432784</v>
      </c>
      <c r="GG113" s="16">
        <f>IF(ISNA(VLOOKUP(A113,'Données projet'!$A$243:$I$263,3,0)),0,VLOOKUP(A113,'Données projet'!$A$243:$I$263,3,0))</f>
        <v>10</v>
      </c>
      <c r="GH113" s="16">
        <f>IF(ISNA(VLOOKUP(A113,'Données projet'!$A$243:$I$263,4,0)),0,VLOOKUP(A113,'Données projet'!$A$243:$I$263,4,0))</f>
        <v>51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>
        <f>EXP(-LN(2)/35)*GL112+(1-EXP(-LN(2)/35))/(LN(2)/35)*GH113*GI113*VLOOKUP('Données projet'!$B$17,Paramètres!$A$1:$I$89,3,0)*0.475*44/12</f>
        <v>0</v>
      </c>
      <c r="GM113" s="23">
        <f>EXP(-LN(2)/25)*GM112+(1-EXP(-LN(2)/25))/(LN(2)/25)*Calculateur!GH113*Calculateur!GJ113*VLOOKUP('Données projet'!$B$17,Paramètres!$A$1:$I$89,3,0)*0.475*44/12</f>
        <v>0</v>
      </c>
      <c r="GN113" s="23">
        <f>EXP(-LN(2)/2)*GN112+(1-EXP(-LN(2)/2))/(LN(2)/2)*GH113*GK113*VLOOKUP('Données projet'!$B$17,Paramètres!$A$1:$I$89,3,0)*0.475*44/12</f>
        <v>0</v>
      </c>
      <c r="GO113" s="23">
        <f t="shared" si="81"/>
        <v>0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67.028875522230791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4.0735000000000001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14.936166666666667</v>
      </c>
      <c r="H114" s="70">
        <f t="shared" si="56"/>
        <v>196.922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67.080417889480856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4.5</v>
      </c>
      <c r="N114" s="14">
        <f>IF('Données projet'!$A$36&gt;35,N113+M114-V113,IF(A114&lt;'Données projet'!$A$36,$K$205^A114,IF(A114='Données projet'!$A$36,'Données projet'!$B$36,N113+M114-V113)))</f>
        <v>311.49999999999977</v>
      </c>
      <c r="O114" s="14">
        <f>N114*VLOOKUP('Données projet'!$B$9,Paramètres!$A$1:$I$89,3,0)*VLOOKUP('Données projet'!$B$9,Paramètres!$A$1:$I$89,5,0)</f>
        <v>281.84519999999975</v>
      </c>
      <c r="P114" s="14">
        <f t="shared" si="87"/>
        <v>67.356803491560427</v>
      </c>
      <c r="Q114" s="22">
        <f t="shared" si="107"/>
        <v>608.19348941446731</v>
      </c>
      <c r="R114" s="62">
        <f t="shared" si="55"/>
        <v>890.82168834256379</v>
      </c>
      <c r="S114" s="62">
        <f ca="1">AVERAGE(OFFSET($R$3,0,0,'Données projet'!$E$9+1,1))-AVERAGE(OFFSET($H$3,0,0,'Données projet'!$E$9+1,1))</f>
        <v>546.11281471711925</v>
      </c>
      <c r="T114" s="62">
        <f t="shared" si="88"/>
        <v>348.18069831447099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67.080417889480856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7.2</v>
      </c>
      <c r="AI114" s="14">
        <f>IF('Données projet'!$A$62&gt;35,AI113+AH114-AQ113,IF(A114&lt;'Données projet'!$A$62,$AF$205^A114,IF(A114='Données projet'!$A$62,'Données projet'!$B$62,AI113+AH114-AQ113)))</f>
        <v>499.19999999999976</v>
      </c>
      <c r="AJ114" s="14">
        <f>AI114*VLOOKUP('Données projet'!$B$10,Paramètres!$A$1:$I$89,3,0)*VLOOKUP('Données projet'!$B$10,Paramètres!$A$1:$I$89,5,0)</f>
        <v>428.31359999999984</v>
      </c>
      <c r="AK114" s="14">
        <f t="shared" si="89"/>
        <v>97.493766375431449</v>
      </c>
      <c r="AL114" s="22">
        <f t="shared" si="58"/>
        <v>915.78116310387611</v>
      </c>
      <c r="AM114" s="62">
        <f t="shared" si="59"/>
        <v>1198.4093620319727</v>
      </c>
      <c r="AN114" s="62">
        <f ca="1">AVERAGE(OFFSET($AM$3,0,0,'Données projet'!$E$10+1,1))-AVERAGE(OFFSET($H$3,0,0,'Données projet'!$E$10+1,1))</f>
        <v>693.87994318348024</v>
      </c>
      <c r="AO114" s="62">
        <f t="shared" si="90"/>
        <v>327.71043739333641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67.080417889480856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4.5</v>
      </c>
      <c r="BD114" s="13">
        <f>IF('Données projet'!$A$88&gt;35,BD113+BC114-BL113,IF(A114&lt;'Données projet'!$A$88,$BA$205^A114,IF(A114='Données projet'!$A$88,'Données projet'!$B$88,BD113+BC114-BL113)))</f>
        <v>311.49999999999977</v>
      </c>
      <c r="BE114" s="14">
        <f>BD114*VLOOKUP('Données projet'!$B$11,Paramètres!$A$1:$I$89,3,0)*VLOOKUP('Données projet'!$B$11,Paramètres!$A$1:$I$89,5,0)</f>
        <v>262.40759999999983</v>
      </c>
      <c r="BF114" s="14">
        <f t="shared" si="91"/>
        <v>63.235305349754363</v>
      </c>
      <c r="BG114" s="22">
        <f t="shared" si="61"/>
        <v>567.16139348415516</v>
      </c>
      <c r="BH114" s="62">
        <f t="shared" si="62"/>
        <v>849.78959241225164</v>
      </c>
      <c r="BI114" s="62">
        <f ca="1">AVERAGE(OFFSET($BH$3,0,0,'Données projet'!$E$11+1,1))-AVERAGE(OFFSET($H$3,0,0,'Données projet'!$E$11+1,1))</f>
        <v>513.7388209355762</v>
      </c>
      <c r="BJ114" s="62">
        <f t="shared" si="92"/>
        <v>328.24603121433927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67.080417889480856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4.5474735088646412E-13</v>
      </c>
      <c r="BZ114" s="14">
        <f>BY114*VLOOKUP('Données projet'!$B$12,Paramètres!$A$1:$I$89,3,0)*VLOOKUP('Données projet'!$B$12,Paramètres!$A$1:$I$89,5,0)</f>
        <v>3.6179699236527089E-13</v>
      </c>
      <c r="CA114" s="14">
        <f t="shared" si="93"/>
        <v>4.6796319415916035E-12</v>
      </c>
      <c r="CB114" s="22">
        <f t="shared" si="64"/>
        <v>8.7804887266415556E-12</v>
      </c>
      <c r="CC114" s="62">
        <f t="shared" si="65"/>
        <v>282.62819892810523</v>
      </c>
      <c r="CD114" s="62">
        <f ca="1">AVERAGE(OFFSET($CC$3,0,0,'Données projet'!$E$12+1,1))-AVERAGE(OFFSET($H$3,0,0,'Données projet'!$E$12+1,1))</f>
        <v>447.25854887589878</v>
      </c>
      <c r="CE114" s="62">
        <f t="shared" si="94"/>
        <v>480.13390593590157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67.080417889480856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1.1368683772161603E-13</v>
      </c>
      <c r="CU114" s="18">
        <f>CT114*VLOOKUP('Données projet'!$B$13,Paramètres!$A$1:$I$89,3,0)*VLOOKUP('Données projet'!$B$13,Paramètres!$A$1:$I$89,5,0)</f>
        <v>8.8675733422860506E-14</v>
      </c>
      <c r="CV114" s="14">
        <f t="shared" si="95"/>
        <v>1.3509285393066301E-12</v>
      </c>
      <c r="CW114" s="22">
        <f t="shared" si="67"/>
        <v>2.5073107750038623E-12</v>
      </c>
      <c r="CX114" s="62">
        <f t="shared" si="68"/>
        <v>282.62819892809898</v>
      </c>
      <c r="CY114" s="62">
        <f ca="1">AVERAGE(OFFSET($CX$3,0,0,'Données projet'!$E$13+1,1))-AVERAGE(OFFSET($H$3,0,0,'Données projet'!$E$13+1,1))</f>
        <v>308.52515801950324</v>
      </c>
      <c r="CZ114" s="62">
        <f t="shared" si="96"/>
        <v>299.05420638408953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67.080417889480856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4.5474735088646412E-13</v>
      </c>
      <c r="DP114" s="18">
        <f>DO114*VLOOKUP('Données projet'!$B$14,Paramètres!$A$1:$I$89,3,0)*VLOOKUP('Données projet'!$B$14,Paramètres!$A$1:$I$89,5,0)</f>
        <v>3.3342075766995548E-13</v>
      </c>
      <c r="DQ114" s="14">
        <f t="shared" si="97"/>
        <v>4.3537988100583648E-12</v>
      </c>
      <c r="DR114" s="22">
        <f t="shared" si="70"/>
        <v>8.1635740804601579E-12</v>
      </c>
      <c r="DS114" s="62">
        <f t="shared" si="71"/>
        <v>282.62819892810467</v>
      </c>
      <c r="DT114" s="62">
        <f ca="1">AVERAGE(OFFSET($DS$3,0,0,'Données projet'!$E$14+1,1))-AVERAGE(OFFSET($H$3,0,0,'Données projet'!$E$14+1,1))</f>
        <v>416.72317068678774</v>
      </c>
      <c r="DU114" s="62">
        <f t="shared" si="98"/>
        <v>447.32457429495537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67.080417889480856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3.3333333333333313</v>
      </c>
      <c r="EJ114" s="13">
        <f>IF('Données projet'!$A$192&gt;35,EJ113+EI114-ER113,IF(A114&lt;'Données projet'!$A$192,$EG$205^A114,IF(A114='Données projet'!$A$192,'Données projet'!$B$192,EJ113+EI114-ER113)))</f>
        <v>270.64102564102586</v>
      </c>
      <c r="EK114" s="18">
        <f>EJ114*VLOOKUP('Données projet'!$B$15,Paramètres!$A$1:$I$89,3,0)*VLOOKUP('Données projet'!$B$15,Paramètres!$A$1:$I$89,5,0)</f>
        <v>257.5420000000002</v>
      </c>
      <c r="EL114" s="14">
        <f t="shared" si="99"/>
        <v>62.198142384392476</v>
      </c>
      <c r="EM114" s="22">
        <f t="shared" si="73"/>
        <v>556.8807479861506</v>
      </c>
      <c r="EN114" s="62">
        <f t="shared" si="74"/>
        <v>839.50894691424708</v>
      </c>
      <c r="EO114" s="62">
        <f ca="1">AVERAGE(OFFSET($EN$3,0,0,'Données projet'!$E$15+1,1))-AVERAGE(OFFSET($H$3,0,0,'Données projet'!$E$15+1,1))</f>
        <v>454.78867027701426</v>
      </c>
      <c r="EP114" s="62">
        <f t="shared" si="100"/>
        <v>366.45346303927056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0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67.080417889480856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>
        <f>FE114*VLOOKUP('Données projet'!$B$16,Paramètres!$A$1:$I$89,3,0)*VLOOKUP('Données projet'!$B$16,Paramètres!$A$1:$I$89,5,0)</f>
        <v>0</v>
      </c>
      <c r="FG114" s="14" t="e">
        <f t="shared" si="101"/>
        <v>#NUM!</v>
      </c>
      <c r="FH114" s="22" t="e">
        <f t="shared" si="76"/>
        <v>#NUM!</v>
      </c>
      <c r="FI114" s="62" t="e">
        <f t="shared" si="77"/>
        <v>#NUM!</v>
      </c>
      <c r="FJ114" s="62">
        <f ca="1">AVERAGE(OFFSET($FI$3,0,0,'Données projet'!$E$16+1,1))-AVERAGE(OFFSET($H$3,0,0,'Données projet'!$E$16+1,1))</f>
        <v>390.05579539539576</v>
      </c>
      <c r="FK114" s="62">
        <f t="shared" si="102"/>
        <v>323.72278615226139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projet'!$B$16,Paramètres!$A$1:$I$89,3,0)*0.475*44/12</f>
        <v>0</v>
      </c>
      <c r="FR114" s="23">
        <f>EXP(-LN(2)/25)*FR113+(1-EXP(-LN(2)/25))/(LN(2)/25)*Calculateur!FM114*Calculateur!FO114*VLOOKUP('Données projet'!$B$16,Paramètres!$A$1:$I$89,3,0)*0.475*44/12</f>
        <v>0</v>
      </c>
      <c r="FS114" s="23">
        <f>EXP(-LN(2)/2)*FS113+(1-EXP(-LN(2)/2))/(LN(2)/2)*FM114*FP114*VLOOKUP('Données projet'!$B$16,Paramètres!$A$1:$I$89,3,0)*0.475*44/12</f>
        <v>0</v>
      </c>
      <c r="FT114" s="24">
        <f t="shared" si="78"/>
        <v>0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67.080417889480856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4.5</v>
      </c>
      <c r="FZ114" s="13">
        <f>IF('Données projet'!$A$244&gt;35,FZ113+FY114-GH113,IF(A114&lt;'Données projet'!$A$244,$FW$205^A114,IF(A114='Données projet'!$A$244,'Données projet'!$B$244,FZ113+FY114-GH113)))</f>
        <v>311.49999999999977</v>
      </c>
      <c r="GA114" s="18">
        <f>FZ114*VLOOKUP('Données projet'!$B$17,Paramètres!$A$1:$I$89,3,0)*VLOOKUP('Données projet'!$B$17,Paramètres!$A$1:$I$89,5,0)</f>
        <v>301.28279999999978</v>
      </c>
      <c r="GB114" s="14">
        <f t="shared" si="103"/>
        <v>71.445320809508672</v>
      </c>
      <c r="GC114" s="22">
        <f t="shared" si="79"/>
        <v>649.16814374322723</v>
      </c>
      <c r="GD114" s="62">
        <f t="shared" si="80"/>
        <v>931.79634267132371</v>
      </c>
      <c r="GE114" s="62">
        <f ca="1">AVERAGE(OFFSET($GD$3,0,0,'Données projet'!$E$17+1,1))-AVERAGE(OFFSET($H$3,0,0,'Données projet'!$E$17+1,1))</f>
        <v>578.44111602076555</v>
      </c>
      <c r="GF114" s="62">
        <f t="shared" si="104"/>
        <v>368.08542661432784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>
        <f>EXP(-LN(2)/35)*GL113+(1-EXP(-LN(2)/35))/(LN(2)/35)*GH114*GI114*VLOOKUP('Données projet'!$B$17,Paramètres!$A$1:$I$89,3,0)*0.475*44/12</f>
        <v>0</v>
      </c>
      <c r="GM114" s="23">
        <f>EXP(-LN(2)/25)*GM113+(1-EXP(-LN(2)/25))/(LN(2)/25)*Calculateur!GH114*Calculateur!GJ114*VLOOKUP('Données projet'!$B$17,Paramètres!$A$1:$I$89,3,0)*0.475*44/12</f>
        <v>0</v>
      </c>
      <c r="GN114" s="23">
        <f>EXP(-LN(2)/2)*GN113+(1-EXP(-LN(2)/2))/(LN(2)/2)*GH114*GK114*VLOOKUP('Données projet'!$B$17,Paramètres!$A$1:$I$89,3,0)*0.475*44/12</f>
        <v>0</v>
      </c>
      <c r="GO114" s="23">
        <f t="shared" si="81"/>
        <v>0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67.080417889480856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4.0735000000000001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14.936166666666667</v>
      </c>
      <c r="H115" s="70">
        <f t="shared" si="56"/>
        <v>196.922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67.131066111890618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4.5</v>
      </c>
      <c r="N115" s="14">
        <f>IF('Données projet'!$A$36&gt;35,N114+M115-V114,IF(A115&lt;'Données projet'!$A$36,$K$205^A115,IF(A115='Données projet'!$A$36,'Données projet'!$B$36,N114+M115-V114)))</f>
        <v>315.99999999999977</v>
      </c>
      <c r="O115" s="14">
        <f>N115*VLOOKUP('Données projet'!$B$9,Paramètres!$A$1:$I$89,3,0)*VLOOKUP('Données projet'!$B$9,Paramètres!$A$1:$I$89,5,0)</f>
        <v>285.9167999999998</v>
      </c>
      <c r="P115" s="14">
        <f t="shared" si="87"/>
        <v>68.215872977287475</v>
      </c>
      <c r="Q115" s="22">
        <f t="shared" si="107"/>
        <v>616.78107210210862</v>
      </c>
      <c r="R115" s="62">
        <f t="shared" si="55"/>
        <v>899.59498117904081</v>
      </c>
      <c r="S115" s="62">
        <f ca="1">AVERAGE(OFFSET($R$3,0,0,'Données projet'!$E$9+1,1))-AVERAGE(OFFSET($H$3,0,0,'Données projet'!$E$9+1,1))</f>
        <v>546.11281471711925</v>
      </c>
      <c r="T115" s="62">
        <f t="shared" si="88"/>
        <v>348.18069831447099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67.131066111890618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7.2</v>
      </c>
      <c r="AI115" s="14">
        <f>IF('Données projet'!$A$62&gt;35,AI114+AH115-AQ114,IF(A115&lt;'Données projet'!$A$62,$AF$205^A115,IF(A115='Données projet'!$A$62,'Données projet'!$B$62,AI114+AH115-AQ114)))</f>
        <v>506.39999999999975</v>
      </c>
      <c r="AJ115" s="14">
        <f>AI115*VLOOKUP('Données projet'!$B$10,Paramètres!$A$1:$I$89,3,0)*VLOOKUP('Données projet'!$B$10,Paramètres!$A$1:$I$89,5,0)</f>
        <v>434.49119999999982</v>
      </c>
      <c r="AK115" s="14">
        <f t="shared" si="89"/>
        <v>98.735212019326795</v>
      </c>
      <c r="AL115" s="22">
        <f t="shared" si="58"/>
        <v>928.70266760032712</v>
      </c>
      <c r="AM115" s="62">
        <f t="shared" si="59"/>
        <v>1211.5165766772593</v>
      </c>
      <c r="AN115" s="62">
        <f ca="1">AVERAGE(OFFSET($AM$3,0,0,'Données projet'!$E$10+1,1))-AVERAGE(OFFSET($H$3,0,0,'Données projet'!$E$10+1,1))</f>
        <v>693.87994318348024</v>
      </c>
      <c r="AO115" s="62">
        <f t="shared" si="90"/>
        <v>327.71043739333641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67.131066111890618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4.5</v>
      </c>
      <c r="BD115" s="13">
        <f>IF('Données projet'!$A$88&gt;35,BD114+BC115-BL114,IF(A115&lt;'Données projet'!$A$88,$BA$205^A115,IF(A115='Données projet'!$A$88,'Données projet'!$B$88,BD114+BC115-BL114)))</f>
        <v>315.99999999999977</v>
      </c>
      <c r="BE115" s="14">
        <f>BD115*VLOOKUP('Données projet'!$B$11,Paramètres!$A$1:$I$89,3,0)*VLOOKUP('Données projet'!$B$11,Paramètres!$A$1:$I$89,5,0)</f>
        <v>266.19839999999988</v>
      </c>
      <c r="BF115" s="14">
        <f t="shared" si="91"/>
        <v>64.041809198373215</v>
      </c>
      <c r="BG115" s="22">
        <f t="shared" si="61"/>
        <v>575.16836435383323</v>
      </c>
      <c r="BH115" s="62">
        <f t="shared" si="62"/>
        <v>857.98227343076542</v>
      </c>
      <c r="BI115" s="62">
        <f ca="1">AVERAGE(OFFSET($BH$3,0,0,'Données projet'!$E$11+1,1))-AVERAGE(OFFSET($H$3,0,0,'Données projet'!$E$11+1,1))</f>
        <v>513.7388209355762</v>
      </c>
      <c r="BJ115" s="62">
        <f t="shared" si="92"/>
        <v>328.24603121433927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67.131066111890618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4.5474735088646412E-13</v>
      </c>
      <c r="BZ115" s="14">
        <f>BY115*VLOOKUP('Données projet'!$B$12,Paramètres!$A$1:$I$89,3,0)*VLOOKUP('Données projet'!$B$12,Paramètres!$A$1:$I$89,5,0)</f>
        <v>3.6179699236527089E-13</v>
      </c>
      <c r="CA115" s="14">
        <f t="shared" si="93"/>
        <v>4.6796319415916035E-12</v>
      </c>
      <c r="CB115" s="22">
        <f t="shared" si="64"/>
        <v>8.7804887266415556E-12</v>
      </c>
      <c r="CC115" s="62">
        <f t="shared" si="65"/>
        <v>282.813909076941</v>
      </c>
      <c r="CD115" s="62">
        <f ca="1">AVERAGE(OFFSET($CC$3,0,0,'Données projet'!$E$12+1,1))-AVERAGE(OFFSET($H$3,0,0,'Données projet'!$E$12+1,1))</f>
        <v>447.25854887589878</v>
      </c>
      <c r="CE115" s="62">
        <f t="shared" si="94"/>
        <v>480.13390593590157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67.131066111890618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1.1368683772161603E-13</v>
      </c>
      <c r="CU115" s="18">
        <f>CT115*VLOOKUP('Données projet'!$B$13,Paramètres!$A$1:$I$89,3,0)*VLOOKUP('Données projet'!$B$13,Paramètres!$A$1:$I$89,5,0)</f>
        <v>8.8675733422860506E-14</v>
      </c>
      <c r="CV115" s="14">
        <f t="shared" si="95"/>
        <v>1.3509285393066301E-12</v>
      </c>
      <c r="CW115" s="22">
        <f t="shared" si="67"/>
        <v>2.5073107750038623E-12</v>
      </c>
      <c r="CX115" s="62">
        <f t="shared" si="68"/>
        <v>282.81390907693475</v>
      </c>
      <c r="CY115" s="62">
        <f ca="1">AVERAGE(OFFSET($CX$3,0,0,'Données projet'!$E$13+1,1))-AVERAGE(OFFSET($H$3,0,0,'Données projet'!$E$13+1,1))</f>
        <v>308.52515801950324</v>
      </c>
      <c r="CZ115" s="62">
        <f t="shared" si="96"/>
        <v>299.05420638408953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67.131066111890618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4.5474735088646412E-13</v>
      </c>
      <c r="DP115" s="18">
        <f>DO115*VLOOKUP('Données projet'!$B$14,Paramètres!$A$1:$I$89,3,0)*VLOOKUP('Données projet'!$B$14,Paramètres!$A$1:$I$89,5,0)</f>
        <v>3.3342075766995548E-13</v>
      </c>
      <c r="DQ115" s="14">
        <f t="shared" si="97"/>
        <v>4.3537988100583648E-12</v>
      </c>
      <c r="DR115" s="22">
        <f t="shared" si="70"/>
        <v>8.1635740804601579E-12</v>
      </c>
      <c r="DS115" s="62">
        <f t="shared" si="71"/>
        <v>282.81390907694043</v>
      </c>
      <c r="DT115" s="62">
        <f ca="1">AVERAGE(OFFSET($DS$3,0,0,'Données projet'!$E$14+1,1))-AVERAGE(OFFSET($H$3,0,0,'Données projet'!$E$14+1,1))</f>
        <v>416.72317068678774</v>
      </c>
      <c r="DU115" s="62">
        <f t="shared" si="98"/>
        <v>447.32457429495537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67.131066111890618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3.3333333333333313</v>
      </c>
      <c r="EJ115" s="13">
        <f>IF('Données projet'!$A$192&gt;35,EJ114+EI115-ER114,IF(A115&lt;'Données projet'!$A$192,$EG$205^A115,IF(A115='Données projet'!$A$192,'Données projet'!$B$192,EJ114+EI115-ER114)))</f>
        <v>273.97435897435918</v>
      </c>
      <c r="EK115" s="18">
        <f>EJ115*VLOOKUP('Données projet'!$B$15,Paramètres!$A$1:$I$89,3,0)*VLOOKUP('Données projet'!$B$15,Paramètres!$A$1:$I$89,5,0)</f>
        <v>260.71400000000023</v>
      </c>
      <c r="EL115" s="14">
        <f t="shared" si="99"/>
        <v>62.874549602698941</v>
      </c>
      <c r="EM115" s="22">
        <f t="shared" si="73"/>
        <v>563.58339055803435</v>
      </c>
      <c r="EN115" s="62">
        <f t="shared" si="74"/>
        <v>846.39729963496666</v>
      </c>
      <c r="EO115" s="62">
        <f ca="1">AVERAGE(OFFSET($EN$3,0,0,'Données projet'!$E$15+1,1))-AVERAGE(OFFSET($H$3,0,0,'Données projet'!$E$15+1,1))</f>
        <v>454.78867027701426</v>
      </c>
      <c r="EP115" s="62">
        <f t="shared" si="100"/>
        <v>366.45346303927056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0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67.131066111890618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>
        <f>FE115*VLOOKUP('Données projet'!$B$16,Paramètres!$A$1:$I$89,3,0)*VLOOKUP('Données projet'!$B$16,Paramètres!$A$1:$I$89,5,0)</f>
        <v>0</v>
      </c>
      <c r="FG115" s="14" t="e">
        <f t="shared" si="101"/>
        <v>#NUM!</v>
      </c>
      <c r="FH115" s="22" t="e">
        <f t="shared" si="76"/>
        <v>#NUM!</v>
      </c>
      <c r="FI115" s="62" t="e">
        <f t="shared" si="77"/>
        <v>#NUM!</v>
      </c>
      <c r="FJ115" s="62">
        <f ca="1">AVERAGE(OFFSET($FI$3,0,0,'Données projet'!$E$16+1,1))-AVERAGE(OFFSET($H$3,0,0,'Données projet'!$E$16+1,1))</f>
        <v>390.05579539539576</v>
      </c>
      <c r="FK115" s="62">
        <f t="shared" si="102"/>
        <v>323.72278615226139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projet'!$B$16,Paramètres!$A$1:$I$89,3,0)*0.475*44/12</f>
        <v>0</v>
      </c>
      <c r="FR115" s="23">
        <f>EXP(-LN(2)/25)*FR114+(1-EXP(-LN(2)/25))/(LN(2)/25)*Calculateur!FM115*Calculateur!FO115*VLOOKUP('Données projet'!$B$16,Paramètres!$A$1:$I$89,3,0)*0.475*44/12</f>
        <v>0</v>
      </c>
      <c r="FS115" s="23">
        <f>EXP(-LN(2)/2)*FS114+(1-EXP(-LN(2)/2))/(LN(2)/2)*FM115*FP115*VLOOKUP('Données projet'!$B$16,Paramètres!$A$1:$I$89,3,0)*0.475*44/12</f>
        <v>0</v>
      </c>
      <c r="FT115" s="24">
        <f t="shared" si="78"/>
        <v>0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67.131066111890618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4.5</v>
      </c>
      <c r="FZ115" s="13">
        <f>IF('Données projet'!$A$244&gt;35,FZ114+FY115-GH114,IF(A115&lt;'Données projet'!$A$244,$FW$205^A115,IF(A115='Données projet'!$A$244,'Données projet'!$B$244,FZ114+FY115-GH114)))</f>
        <v>315.99999999999977</v>
      </c>
      <c r="GA115" s="18">
        <f>FZ115*VLOOKUP('Données projet'!$B$17,Paramètres!$A$1:$I$89,3,0)*VLOOKUP('Données projet'!$B$17,Paramètres!$A$1:$I$89,5,0)</f>
        <v>305.63519999999977</v>
      </c>
      <c r="GB115" s="14">
        <f t="shared" si="103"/>
        <v>72.356535294517812</v>
      </c>
      <c r="GC115" s="22">
        <f t="shared" si="79"/>
        <v>658.33560563795152</v>
      </c>
      <c r="GD115" s="62">
        <f t="shared" si="80"/>
        <v>941.14951471488371</v>
      </c>
      <c r="GE115" s="62">
        <f ca="1">AVERAGE(OFFSET($GD$3,0,0,'Données projet'!$E$17+1,1))-AVERAGE(OFFSET($H$3,0,0,'Données projet'!$E$17+1,1))</f>
        <v>578.44111602076555</v>
      </c>
      <c r="GF115" s="62">
        <f t="shared" si="104"/>
        <v>368.08542661432784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>
        <f>EXP(-LN(2)/35)*GL114+(1-EXP(-LN(2)/35))/(LN(2)/35)*GH115*GI115*VLOOKUP('Données projet'!$B$17,Paramètres!$A$1:$I$89,3,0)*0.475*44/12</f>
        <v>0</v>
      </c>
      <c r="GM115" s="23">
        <f>EXP(-LN(2)/25)*GM114+(1-EXP(-LN(2)/25))/(LN(2)/25)*Calculateur!GH115*Calculateur!GJ115*VLOOKUP('Données projet'!$B$17,Paramètres!$A$1:$I$89,3,0)*0.475*44/12</f>
        <v>0</v>
      </c>
      <c r="GN115" s="23">
        <f>EXP(-LN(2)/2)*GN114+(1-EXP(-LN(2)/2))/(LN(2)/2)*GH115*GK115*VLOOKUP('Données projet'!$B$17,Paramètres!$A$1:$I$89,3,0)*0.475*44/12</f>
        <v>0</v>
      </c>
      <c r="GO115" s="23">
        <f t="shared" si="81"/>
        <v>0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67.131066111890618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4.0735000000000001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14.936166666666667</v>
      </c>
      <c r="H116" s="70">
        <f t="shared" si="56"/>
        <v>196.922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67.180835700874027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4.5</v>
      </c>
      <c r="N116" s="14">
        <f>IF('Données projet'!$A$36&gt;35,N115+M116-V115,IF(A116&lt;'Données projet'!$A$36,$K$205^A116,IF(A116='Données projet'!$A$36,'Données projet'!$B$36,N115+M116-V115)))</f>
        <v>320.49999999999977</v>
      </c>
      <c r="O116" s="14">
        <f>N116*VLOOKUP('Données projet'!$B$9,Paramètres!$A$1:$I$89,3,0)*VLOOKUP('Données projet'!$B$9,Paramètres!$A$1:$I$89,5,0)</f>
        <v>289.98839999999979</v>
      </c>
      <c r="P116" s="14">
        <f t="shared" si="87"/>
        <v>69.073519602481525</v>
      </c>
      <c r="Q116" s="22">
        <f t="shared" si="107"/>
        <v>625.36617664098833</v>
      </c>
      <c r="R116" s="62">
        <f t="shared" si="55"/>
        <v>908.36257421085975</v>
      </c>
      <c r="S116" s="62">
        <f ca="1">AVERAGE(OFFSET($R$3,0,0,'Données projet'!$E$9+1,1))-AVERAGE(OFFSET($H$3,0,0,'Données projet'!$E$9+1,1))</f>
        <v>546.11281471711925</v>
      </c>
      <c r="T116" s="62">
        <f t="shared" si="88"/>
        <v>348.18069831447099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67.180835700874027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7.2</v>
      </c>
      <c r="AI116" s="14">
        <f>IF('Données projet'!$A$62&gt;35,AI115+AH116-AQ115,IF(A116&lt;'Données projet'!$A$62,$AF$205^A116,IF(A116='Données projet'!$A$62,'Données projet'!$B$62,AI115+AH116-AQ115)))</f>
        <v>513.5999999999998</v>
      </c>
      <c r="AJ116" s="14">
        <f>AI116*VLOOKUP('Données projet'!$B$10,Paramètres!$A$1:$I$89,3,0)*VLOOKUP('Données projet'!$B$10,Paramètres!$A$1:$I$89,5,0)</f>
        <v>440.66879999999986</v>
      </c>
      <c r="AK116" s="14">
        <f t="shared" si="89"/>
        <v>99.97460472615262</v>
      </c>
      <c r="AL116" s="22">
        <f t="shared" si="58"/>
        <v>941.62059656471547</v>
      </c>
      <c r="AM116" s="62">
        <f t="shared" si="59"/>
        <v>1224.616994134587</v>
      </c>
      <c r="AN116" s="62">
        <f ca="1">AVERAGE(OFFSET($AM$3,0,0,'Données projet'!$E$10+1,1))-AVERAGE(OFFSET($H$3,0,0,'Données projet'!$E$10+1,1))</f>
        <v>693.87994318348024</v>
      </c>
      <c r="AO116" s="62">
        <f t="shared" si="90"/>
        <v>327.71043739333641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67.180835700874027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4.5</v>
      </c>
      <c r="BD116" s="13">
        <f>IF('Données projet'!$A$88&gt;35,BD115+BC116-BL115,IF(A116&lt;'Données projet'!$A$88,$BA$205^A116,IF(A116='Données projet'!$A$88,'Données projet'!$B$88,BD115+BC116-BL115)))</f>
        <v>320.49999999999977</v>
      </c>
      <c r="BE116" s="14">
        <f>BD116*VLOOKUP('Données projet'!$B$11,Paramètres!$A$1:$I$89,3,0)*VLOOKUP('Données projet'!$B$11,Paramètres!$A$1:$I$89,5,0)</f>
        <v>269.98919999999981</v>
      </c>
      <c r="BF116" s="14">
        <f t="shared" si="91"/>
        <v>64.846977249929026</v>
      </c>
      <c r="BG116" s="22">
        <f t="shared" si="61"/>
        <v>583.17300871029272</v>
      </c>
      <c r="BH116" s="62">
        <f t="shared" si="62"/>
        <v>866.16940628016414</v>
      </c>
      <c r="BI116" s="62">
        <f ca="1">AVERAGE(OFFSET($BH$3,0,0,'Données projet'!$E$11+1,1))-AVERAGE(OFFSET($H$3,0,0,'Données projet'!$E$11+1,1))</f>
        <v>513.7388209355762</v>
      </c>
      <c r="BJ116" s="62">
        <f t="shared" si="92"/>
        <v>328.24603121433927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67.180835700874027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4.5474735088646412E-13</v>
      </c>
      <c r="BZ116" s="14">
        <f>BY116*VLOOKUP('Données projet'!$B$12,Paramètres!$A$1:$I$89,3,0)*VLOOKUP('Données projet'!$B$12,Paramètres!$A$1:$I$89,5,0)</f>
        <v>3.6179699236527089E-13</v>
      </c>
      <c r="CA116" s="14">
        <f t="shared" si="93"/>
        <v>4.6796319415916035E-12</v>
      </c>
      <c r="CB116" s="22">
        <f t="shared" si="64"/>
        <v>8.7804887266415556E-12</v>
      </c>
      <c r="CC116" s="62">
        <f t="shared" si="65"/>
        <v>282.99639756988017</v>
      </c>
      <c r="CD116" s="62">
        <f ca="1">AVERAGE(OFFSET($CC$3,0,0,'Données projet'!$E$12+1,1))-AVERAGE(OFFSET($H$3,0,0,'Données projet'!$E$12+1,1))</f>
        <v>447.25854887589878</v>
      </c>
      <c r="CE116" s="62">
        <f t="shared" si="94"/>
        <v>480.13390593590157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67.180835700874027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1.1368683772161603E-13</v>
      </c>
      <c r="CU116" s="18">
        <f>CT116*VLOOKUP('Données projet'!$B$13,Paramètres!$A$1:$I$89,3,0)*VLOOKUP('Données projet'!$B$13,Paramètres!$A$1:$I$89,5,0)</f>
        <v>8.8675733422860506E-14</v>
      </c>
      <c r="CV116" s="14">
        <f t="shared" si="95"/>
        <v>1.3509285393066301E-12</v>
      </c>
      <c r="CW116" s="22">
        <f t="shared" si="67"/>
        <v>2.5073107750038623E-12</v>
      </c>
      <c r="CX116" s="62">
        <f t="shared" si="68"/>
        <v>282.99639756987392</v>
      </c>
      <c r="CY116" s="62">
        <f ca="1">AVERAGE(OFFSET($CX$3,0,0,'Données projet'!$E$13+1,1))-AVERAGE(OFFSET($H$3,0,0,'Données projet'!$E$13+1,1))</f>
        <v>308.52515801950324</v>
      </c>
      <c r="CZ116" s="62">
        <f t="shared" si="96"/>
        <v>299.05420638408953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67.180835700874027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4.5474735088646412E-13</v>
      </c>
      <c r="DP116" s="18">
        <f>DO116*VLOOKUP('Données projet'!$B$14,Paramètres!$A$1:$I$89,3,0)*VLOOKUP('Données projet'!$B$14,Paramètres!$A$1:$I$89,5,0)</f>
        <v>3.3342075766995548E-13</v>
      </c>
      <c r="DQ116" s="14">
        <f t="shared" si="97"/>
        <v>4.3537988100583648E-12</v>
      </c>
      <c r="DR116" s="22">
        <f t="shared" si="70"/>
        <v>8.1635740804601579E-12</v>
      </c>
      <c r="DS116" s="62">
        <f t="shared" si="71"/>
        <v>282.9963975698796</v>
      </c>
      <c r="DT116" s="62">
        <f ca="1">AVERAGE(OFFSET($DS$3,0,0,'Données projet'!$E$14+1,1))-AVERAGE(OFFSET($H$3,0,0,'Données projet'!$E$14+1,1))</f>
        <v>416.72317068678774</v>
      </c>
      <c r="DU116" s="62">
        <f t="shared" si="98"/>
        <v>447.32457429495537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67.180835700874027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3.3333333333333313</v>
      </c>
      <c r="EJ116" s="13">
        <f>IF('Données projet'!$A$192&gt;35,EJ115+EI116-ER115,IF(A116&lt;'Données projet'!$A$192,$EG$205^A116,IF(A116='Données projet'!$A$192,'Données projet'!$B$192,EJ115+EI116-ER115)))</f>
        <v>277.30769230769249</v>
      </c>
      <c r="EK116" s="18">
        <f>EJ116*VLOOKUP('Données projet'!$B$15,Paramètres!$A$1:$I$89,3,0)*VLOOKUP('Données projet'!$B$15,Paramètres!$A$1:$I$89,5,0)</f>
        <v>263.88600000000019</v>
      </c>
      <c r="EL116" s="14">
        <f t="shared" si="99"/>
        <v>63.54999955224892</v>
      </c>
      <c r="EM116" s="22">
        <f t="shared" si="73"/>
        <v>570.28436588683383</v>
      </c>
      <c r="EN116" s="62">
        <f t="shared" si="74"/>
        <v>853.28076345670524</v>
      </c>
      <c r="EO116" s="62">
        <f ca="1">AVERAGE(OFFSET($EN$3,0,0,'Données projet'!$E$15+1,1))-AVERAGE(OFFSET($H$3,0,0,'Données projet'!$E$15+1,1))</f>
        <v>454.78867027701426</v>
      </c>
      <c r="EP116" s="62">
        <f t="shared" si="100"/>
        <v>366.45346303927056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0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67.180835700874027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>
        <f>FE116*VLOOKUP('Données projet'!$B$16,Paramètres!$A$1:$I$89,3,0)*VLOOKUP('Données projet'!$B$16,Paramètres!$A$1:$I$89,5,0)</f>
        <v>0</v>
      </c>
      <c r="FG116" s="14" t="e">
        <f t="shared" si="101"/>
        <v>#NUM!</v>
      </c>
      <c r="FH116" s="22" t="e">
        <f t="shared" si="76"/>
        <v>#NUM!</v>
      </c>
      <c r="FI116" s="62" t="e">
        <f t="shared" si="77"/>
        <v>#NUM!</v>
      </c>
      <c r="FJ116" s="62">
        <f ca="1">AVERAGE(OFFSET($FI$3,0,0,'Données projet'!$E$16+1,1))-AVERAGE(OFFSET($H$3,0,0,'Données projet'!$E$16+1,1))</f>
        <v>390.05579539539576</v>
      </c>
      <c r="FK116" s="62">
        <f t="shared" si="102"/>
        <v>323.72278615226139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projet'!$B$16,Paramètres!$A$1:$I$89,3,0)*0.475*44/12</f>
        <v>0</v>
      </c>
      <c r="FR116" s="23">
        <f>EXP(-LN(2)/25)*FR115+(1-EXP(-LN(2)/25))/(LN(2)/25)*Calculateur!FM116*Calculateur!FO116*VLOOKUP('Données projet'!$B$16,Paramètres!$A$1:$I$89,3,0)*0.475*44/12</f>
        <v>0</v>
      </c>
      <c r="FS116" s="23">
        <f>EXP(-LN(2)/2)*FS115+(1-EXP(-LN(2)/2))/(LN(2)/2)*FM116*FP116*VLOOKUP('Données projet'!$B$16,Paramètres!$A$1:$I$89,3,0)*0.475*44/12</f>
        <v>0</v>
      </c>
      <c r="FT116" s="24">
        <f t="shared" si="78"/>
        <v>0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67.180835700874027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4.5</v>
      </c>
      <c r="FZ116" s="13">
        <f>IF('Données projet'!$A$244&gt;35,FZ115+FY116-GH115,IF(A116&lt;'Données projet'!$A$244,$FW$205^A116,IF(A116='Données projet'!$A$244,'Données projet'!$B$244,FZ115+FY116-GH115)))</f>
        <v>320.49999999999977</v>
      </c>
      <c r="GA116" s="18">
        <f>FZ116*VLOOKUP('Données projet'!$B$17,Paramètres!$A$1:$I$89,3,0)*VLOOKUP('Données projet'!$B$17,Paramètres!$A$1:$I$89,5,0)</f>
        <v>309.98759999999982</v>
      </c>
      <c r="GB116" s="14">
        <f t="shared" si="103"/>
        <v>73.266240552218378</v>
      </c>
      <c r="GC116" s="22">
        <f t="shared" si="79"/>
        <v>667.50043896177999</v>
      </c>
      <c r="GD116" s="62">
        <f t="shared" si="80"/>
        <v>950.49683653165141</v>
      </c>
      <c r="GE116" s="62">
        <f ca="1">AVERAGE(OFFSET($GD$3,0,0,'Données projet'!$E$17+1,1))-AVERAGE(OFFSET($H$3,0,0,'Données projet'!$E$17+1,1))</f>
        <v>578.44111602076555</v>
      </c>
      <c r="GF116" s="62">
        <f t="shared" si="104"/>
        <v>368.08542661432784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>
        <f>EXP(-LN(2)/35)*GL115+(1-EXP(-LN(2)/35))/(LN(2)/35)*GH116*GI116*VLOOKUP('Données projet'!$B$17,Paramètres!$A$1:$I$89,3,0)*0.475*44/12</f>
        <v>0</v>
      </c>
      <c r="GM116" s="23">
        <f>EXP(-LN(2)/25)*GM115+(1-EXP(-LN(2)/25))/(LN(2)/25)*Calculateur!GH116*Calculateur!GJ116*VLOOKUP('Données projet'!$B$17,Paramètres!$A$1:$I$89,3,0)*0.475*44/12</f>
        <v>0</v>
      </c>
      <c r="GN116" s="23">
        <f>EXP(-LN(2)/2)*GN115+(1-EXP(-LN(2)/2))/(LN(2)/2)*GH116*GK116*VLOOKUP('Données projet'!$B$17,Paramètres!$A$1:$I$89,3,0)*0.475*44/12</f>
        <v>0</v>
      </c>
      <c r="GO116" s="23">
        <f t="shared" si="81"/>
        <v>0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67.180835700874027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4.0735000000000001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14.936166666666667</v>
      </c>
      <c r="H117" s="70">
        <f t="shared" si="56"/>
        <v>196.922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67.2297418987567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4.5</v>
      </c>
      <c r="N117" s="14">
        <f>IF('Données projet'!$A$36&gt;35,N116+M117-V116,IF(A117&lt;'Données projet'!$A$36,$K$205^A117,IF(A117='Données projet'!$A$36,'Données projet'!$B$36,N116+M117-V116)))</f>
        <v>324.99999999999977</v>
      </c>
      <c r="O117" s="14">
        <f>N117*VLOOKUP('Données projet'!$B$9,Paramètres!$A$1:$I$89,3,0)*VLOOKUP('Données projet'!$B$9,Paramètres!$A$1:$I$89,5,0)</f>
        <v>294.05999999999977</v>
      </c>
      <c r="P117" s="14">
        <f t="shared" si="87"/>
        <v>69.929765653573313</v>
      </c>
      <c r="Q117" s="22">
        <f t="shared" si="107"/>
        <v>633.94884184663977</v>
      </c>
      <c r="R117" s="62">
        <f t="shared" si="55"/>
        <v>917.124562142081</v>
      </c>
      <c r="S117" s="62">
        <f ca="1">AVERAGE(OFFSET($R$3,0,0,'Données projet'!$E$9+1,1))-AVERAGE(OFFSET($H$3,0,0,'Données projet'!$E$9+1,1))</f>
        <v>546.11281471711925</v>
      </c>
      <c r="T117" s="62">
        <f t="shared" si="88"/>
        <v>348.18069831447099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67.2297418987567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7.2</v>
      </c>
      <c r="AI117" s="14">
        <f>IF('Données projet'!$A$62&gt;35,AI116+AH117-AQ116,IF(A117&lt;'Données projet'!$A$62,$AF$205^A117,IF(A117='Données projet'!$A$62,'Données projet'!$B$62,AI116+AH117-AQ116)))</f>
        <v>520.79999999999984</v>
      </c>
      <c r="AJ117" s="14">
        <f>AI117*VLOOKUP('Données projet'!$B$10,Paramètres!$A$1:$I$89,3,0)*VLOOKUP('Données projet'!$B$10,Paramètres!$A$1:$I$89,5,0)</f>
        <v>446.8463999999999</v>
      </c>
      <c r="AK117" s="14">
        <f t="shared" si="89"/>
        <v>101.21197660125036</v>
      </c>
      <c r="AL117" s="22">
        <f t="shared" si="58"/>
        <v>954.5350059138442</v>
      </c>
      <c r="AM117" s="62">
        <f t="shared" si="59"/>
        <v>1237.7107262092854</v>
      </c>
      <c r="AN117" s="62">
        <f ca="1">AVERAGE(OFFSET($AM$3,0,0,'Données projet'!$E$10+1,1))-AVERAGE(OFFSET($H$3,0,0,'Données projet'!$E$10+1,1))</f>
        <v>693.87994318348024</v>
      </c>
      <c r="AO117" s="62">
        <f t="shared" si="90"/>
        <v>327.71043739333641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67.2297418987567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4.5</v>
      </c>
      <c r="BD117" s="13">
        <f>IF('Données projet'!$A$88&gt;35,BD116+BC117-BL116,IF(A117&lt;'Données projet'!$A$88,$BA$205^A117,IF(A117='Données projet'!$A$88,'Données projet'!$B$88,BD116+BC117-BL116)))</f>
        <v>324.99999999999977</v>
      </c>
      <c r="BE117" s="14">
        <f>BD117*VLOOKUP('Données projet'!$B$11,Paramètres!$A$1:$I$89,3,0)*VLOOKUP('Données projet'!$B$11,Paramètres!$A$1:$I$89,5,0)</f>
        <v>273.77999999999986</v>
      </c>
      <c r="BF117" s="14">
        <f t="shared" si="91"/>
        <v>65.650830427167435</v>
      </c>
      <c r="BG117" s="22">
        <f t="shared" si="61"/>
        <v>591.17536299398296</v>
      </c>
      <c r="BH117" s="62">
        <f t="shared" si="62"/>
        <v>874.3510832894242</v>
      </c>
      <c r="BI117" s="62">
        <f ca="1">AVERAGE(OFFSET($BH$3,0,0,'Données projet'!$E$11+1,1))-AVERAGE(OFFSET($H$3,0,0,'Données projet'!$E$11+1,1))</f>
        <v>513.7388209355762</v>
      </c>
      <c r="BJ117" s="62">
        <f t="shared" si="92"/>
        <v>328.24603121433927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67.2297418987567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4.5474735088646412E-13</v>
      </c>
      <c r="BZ117" s="14">
        <f>BY117*VLOOKUP('Données projet'!$B$12,Paramètres!$A$1:$I$89,3,0)*VLOOKUP('Données projet'!$B$12,Paramètres!$A$1:$I$89,5,0)</f>
        <v>3.6179699236527089E-13</v>
      </c>
      <c r="CA117" s="14">
        <f t="shared" si="93"/>
        <v>4.6796319415916035E-12</v>
      </c>
      <c r="CB117" s="22">
        <f t="shared" si="64"/>
        <v>8.7804887266415556E-12</v>
      </c>
      <c r="CC117" s="62">
        <f t="shared" si="65"/>
        <v>283.17572029544999</v>
      </c>
      <c r="CD117" s="62">
        <f ca="1">AVERAGE(OFFSET($CC$3,0,0,'Données projet'!$E$12+1,1))-AVERAGE(OFFSET($H$3,0,0,'Données projet'!$E$12+1,1))</f>
        <v>447.25854887589878</v>
      </c>
      <c r="CE117" s="62">
        <f t="shared" si="94"/>
        <v>480.13390593590157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67.2297418987567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1.1368683772161603E-13</v>
      </c>
      <c r="CU117" s="18">
        <f>CT117*VLOOKUP('Données projet'!$B$13,Paramètres!$A$1:$I$89,3,0)*VLOOKUP('Données projet'!$B$13,Paramètres!$A$1:$I$89,5,0)</f>
        <v>8.8675733422860506E-14</v>
      </c>
      <c r="CV117" s="14">
        <f t="shared" si="95"/>
        <v>1.3509285393066301E-12</v>
      </c>
      <c r="CW117" s="22">
        <f t="shared" si="67"/>
        <v>2.5073107750038623E-12</v>
      </c>
      <c r="CX117" s="62">
        <f t="shared" si="68"/>
        <v>283.17572029544374</v>
      </c>
      <c r="CY117" s="62">
        <f ca="1">AVERAGE(OFFSET($CX$3,0,0,'Données projet'!$E$13+1,1))-AVERAGE(OFFSET($H$3,0,0,'Données projet'!$E$13+1,1))</f>
        <v>308.52515801950324</v>
      </c>
      <c r="CZ117" s="62">
        <f t="shared" si="96"/>
        <v>299.05420638408953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67.2297418987567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4.5474735088646412E-13</v>
      </c>
      <c r="DP117" s="18">
        <f>DO117*VLOOKUP('Données projet'!$B$14,Paramètres!$A$1:$I$89,3,0)*VLOOKUP('Données projet'!$B$14,Paramètres!$A$1:$I$89,5,0)</f>
        <v>3.3342075766995548E-13</v>
      </c>
      <c r="DQ117" s="14">
        <f t="shared" si="97"/>
        <v>4.3537988100583648E-12</v>
      </c>
      <c r="DR117" s="22">
        <f t="shared" si="70"/>
        <v>8.1635740804601579E-12</v>
      </c>
      <c r="DS117" s="62">
        <f t="shared" si="71"/>
        <v>283.17572029544942</v>
      </c>
      <c r="DT117" s="62">
        <f ca="1">AVERAGE(OFFSET($DS$3,0,0,'Données projet'!$E$14+1,1))-AVERAGE(OFFSET($H$3,0,0,'Données projet'!$E$14+1,1))</f>
        <v>416.72317068678774</v>
      </c>
      <c r="DU117" s="62">
        <f t="shared" si="98"/>
        <v>447.32457429495537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67.2297418987567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3.3333333333333313</v>
      </c>
      <c r="EJ117" s="13">
        <f>IF('Données projet'!$A$192&gt;35,EJ116+EI117-ER116,IF(A117&lt;'Données projet'!$A$192,$EG$205^A117,IF(A117='Données projet'!$A$192,'Données projet'!$B$192,EJ116+EI117-ER116)))</f>
        <v>280.64102564102581</v>
      </c>
      <c r="EK117" s="18">
        <f>EJ117*VLOOKUP('Données projet'!$B$15,Paramètres!$A$1:$I$89,3,0)*VLOOKUP('Données projet'!$B$15,Paramètres!$A$1:$I$89,5,0)</f>
        <v>267.05800000000016</v>
      </c>
      <c r="EL117" s="14">
        <f t="shared" si="99"/>
        <v>64.22450507075888</v>
      </c>
      <c r="EM117" s="22">
        <f t="shared" si="73"/>
        <v>576.98369633157199</v>
      </c>
      <c r="EN117" s="62">
        <f t="shared" si="74"/>
        <v>860.15941662701323</v>
      </c>
      <c r="EO117" s="62">
        <f ca="1">AVERAGE(OFFSET($EN$3,0,0,'Données projet'!$E$15+1,1))-AVERAGE(OFFSET($H$3,0,0,'Données projet'!$E$15+1,1))</f>
        <v>454.78867027701426</v>
      </c>
      <c r="EP117" s="62">
        <f t="shared" si="100"/>
        <v>366.45346303927056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0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67.2297418987567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>
        <f>FE117*VLOOKUP('Données projet'!$B$16,Paramètres!$A$1:$I$89,3,0)*VLOOKUP('Données projet'!$B$16,Paramètres!$A$1:$I$89,5,0)</f>
        <v>0</v>
      </c>
      <c r="FG117" s="14" t="e">
        <f t="shared" si="101"/>
        <v>#NUM!</v>
      </c>
      <c r="FH117" s="22" t="e">
        <f t="shared" si="76"/>
        <v>#NUM!</v>
      </c>
      <c r="FI117" s="62" t="e">
        <f t="shared" si="77"/>
        <v>#NUM!</v>
      </c>
      <c r="FJ117" s="62">
        <f ca="1">AVERAGE(OFFSET($FI$3,0,0,'Données projet'!$E$16+1,1))-AVERAGE(OFFSET($H$3,0,0,'Données projet'!$E$16+1,1))</f>
        <v>390.05579539539576</v>
      </c>
      <c r="FK117" s="62">
        <f t="shared" si="102"/>
        <v>323.72278615226139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projet'!$B$16,Paramètres!$A$1:$I$89,3,0)*0.475*44/12</f>
        <v>0</v>
      </c>
      <c r="FR117" s="23">
        <f>EXP(-LN(2)/25)*FR116+(1-EXP(-LN(2)/25))/(LN(2)/25)*Calculateur!FM117*Calculateur!FO117*VLOOKUP('Données projet'!$B$16,Paramètres!$A$1:$I$89,3,0)*0.475*44/12</f>
        <v>0</v>
      </c>
      <c r="FS117" s="23">
        <f>EXP(-LN(2)/2)*FS116+(1-EXP(-LN(2)/2))/(LN(2)/2)*FM117*FP117*VLOOKUP('Données projet'!$B$16,Paramètres!$A$1:$I$89,3,0)*0.475*44/12</f>
        <v>0</v>
      </c>
      <c r="FT117" s="24">
        <f t="shared" si="78"/>
        <v>0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67.2297418987567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4.5</v>
      </c>
      <c r="FZ117" s="13">
        <f>IF('Données projet'!$A$244&gt;35,FZ116+FY117-GH116,IF(A117&lt;'Données projet'!$A$244,$FW$205^A117,IF(A117='Données projet'!$A$244,'Données projet'!$B$244,FZ116+FY117-GH116)))</f>
        <v>324.99999999999977</v>
      </c>
      <c r="GA117" s="18">
        <f>FZ117*VLOOKUP('Données projet'!$B$17,Paramètres!$A$1:$I$89,3,0)*VLOOKUP('Données projet'!$B$17,Paramètres!$A$1:$I$89,5,0)</f>
        <v>314.3399999999998</v>
      </c>
      <c r="GB117" s="14">
        <f t="shared" si="103"/>
        <v>74.174460221814144</v>
      </c>
      <c r="GC117" s="22">
        <f t="shared" si="79"/>
        <v>676.66268488632579</v>
      </c>
      <c r="GD117" s="62">
        <f t="shared" si="80"/>
        <v>959.83840518176703</v>
      </c>
      <c r="GE117" s="62">
        <f ca="1">AVERAGE(OFFSET($GD$3,0,0,'Données projet'!$E$17+1,1))-AVERAGE(OFFSET($H$3,0,0,'Données projet'!$E$17+1,1))</f>
        <v>578.44111602076555</v>
      </c>
      <c r="GF117" s="62">
        <f t="shared" si="104"/>
        <v>368.08542661432784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>
        <f>EXP(-LN(2)/35)*GL116+(1-EXP(-LN(2)/35))/(LN(2)/35)*GH117*GI117*VLOOKUP('Données projet'!$B$17,Paramètres!$A$1:$I$89,3,0)*0.475*44/12</f>
        <v>0</v>
      </c>
      <c r="GM117" s="23">
        <f>EXP(-LN(2)/25)*GM116+(1-EXP(-LN(2)/25))/(LN(2)/25)*Calculateur!GH117*Calculateur!GJ117*VLOOKUP('Données projet'!$B$17,Paramètres!$A$1:$I$89,3,0)*0.475*44/12</f>
        <v>0</v>
      </c>
      <c r="GN117" s="23">
        <f>EXP(-LN(2)/2)*GN116+(1-EXP(-LN(2)/2))/(LN(2)/2)*GH117*GK117*VLOOKUP('Données projet'!$B$17,Paramètres!$A$1:$I$89,3,0)*0.475*44/12</f>
        <v>0</v>
      </c>
      <c r="GO117" s="23">
        <f t="shared" si="81"/>
        <v>0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67.2297418987567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4.0735000000000001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14.936166666666667</v>
      </c>
      <c r="H118" s="70">
        <f t="shared" si="56"/>
        <v>196.922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67.277799683443988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4.5</v>
      </c>
      <c r="N118" s="14">
        <f>IF('Données projet'!$A$36&gt;35,N117+M118-V117,IF(A118&lt;'Données projet'!$A$36,$K$205^A118,IF(A118='Données projet'!$A$36,'Données projet'!$B$36,N117+M118-V117)))</f>
        <v>329.49999999999977</v>
      </c>
      <c r="O118" s="14">
        <f>N118*VLOOKUP('Données projet'!$B$9,Paramètres!$A$1:$I$89,3,0)*VLOOKUP('Données projet'!$B$9,Paramètres!$A$1:$I$89,5,0)</f>
        <v>298.13159999999976</v>
      </c>
      <c r="P118" s="14">
        <f t="shared" si="87"/>
        <v>70.784632764375971</v>
      </c>
      <c r="Q118" s="22">
        <f t="shared" si="107"/>
        <v>642.52910539795437</v>
      </c>
      <c r="R118" s="62">
        <f t="shared" si="55"/>
        <v>925.88103757058229</v>
      </c>
      <c r="S118" s="62">
        <f ca="1">AVERAGE(OFFSET($R$3,0,0,'Données projet'!$E$9+1,1))-AVERAGE(OFFSET($H$3,0,0,'Données projet'!$E$9+1,1))</f>
        <v>546.11281471711925</v>
      </c>
      <c r="T118" s="62">
        <f t="shared" si="88"/>
        <v>348.18069831447099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67.277799683443988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528</v>
      </c>
      <c r="AG118" s="13">
        <f>VLOOKUP(A118,'Données projet'!$A$61:$I$81,9,0)</f>
        <v>7.2</v>
      </c>
      <c r="AH118" s="13">
        <f t="array" ref="AH118">INDEX(AG:AG,MIN(IF(ISNUMBER(AG118:AG314),ROW(AG118:AG314),"")))</f>
        <v>7.2</v>
      </c>
      <c r="AI118" s="14">
        <f>IF('Données projet'!$A$62&gt;35,AI117+AH118-AQ117,IF(A118&lt;'Données projet'!$A$62,$AF$205^A118,IF(A118='Données projet'!$A$62,'Données projet'!$B$62,AI117+AH118-AQ117)))</f>
        <v>527.99999999999989</v>
      </c>
      <c r="AJ118" s="14">
        <f>AI118*VLOOKUP('Données projet'!$B$10,Paramètres!$A$1:$I$89,3,0)*VLOOKUP('Données projet'!$B$10,Paramètres!$A$1:$I$89,5,0)</f>
        <v>453.024</v>
      </c>
      <c r="AK118" s="14">
        <f t="shared" si="89"/>
        <v>102.44735881125743</v>
      </c>
      <c r="AL118" s="22">
        <f t="shared" si="58"/>
        <v>967.44594992960674</v>
      </c>
      <c r="AM118" s="62">
        <f t="shared" si="59"/>
        <v>1250.7978821022348</v>
      </c>
      <c r="AN118" s="62">
        <f ca="1">AVERAGE(OFFSET($AM$3,0,0,'Données projet'!$E$10+1,1))-AVERAGE(OFFSET($H$3,0,0,'Données projet'!$E$10+1,1))</f>
        <v>693.87994318348024</v>
      </c>
      <c r="AO118" s="62">
        <f t="shared" si="90"/>
        <v>327.71043739333641</v>
      </c>
      <c r="AP118" s="16">
        <f>IF(ISNA(VLOOKUP(A118,'Données projet'!$A$61:$I$81,3,0)),0,VLOOKUP(A118,'Données projet'!$A$61:$I$81,3,0))</f>
        <v>10</v>
      </c>
      <c r="AQ118" s="16">
        <f>IF(ISNA(VLOOKUP(A118,'Données projet'!$A$61:$I$81,4,0)),0,VLOOKUP(A118,'Données projet'!$A$61:$I$81,4,0))</f>
        <v>53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67.277799683443988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4.5</v>
      </c>
      <c r="BD118" s="13">
        <f>IF('Données projet'!$A$88&gt;35,BD117+BC118-BL117,IF(A118&lt;'Données projet'!$A$88,$BA$205^A118,IF(A118='Données projet'!$A$88,'Données projet'!$B$88,BD117+BC118-BL117)))</f>
        <v>329.49999999999977</v>
      </c>
      <c r="BE118" s="14">
        <f>BD118*VLOOKUP('Données projet'!$B$11,Paramètres!$A$1:$I$89,3,0)*VLOOKUP('Données projet'!$B$11,Paramètres!$A$1:$I$89,5,0)</f>
        <v>277.57079999999985</v>
      </c>
      <c r="BF118" s="14">
        <f t="shared" si="91"/>
        <v>66.453389040149148</v>
      </c>
      <c r="BG118" s="22">
        <f t="shared" si="61"/>
        <v>599.1754625782595</v>
      </c>
      <c r="BH118" s="62">
        <f t="shared" si="62"/>
        <v>882.52739475088742</v>
      </c>
      <c r="BI118" s="62">
        <f ca="1">AVERAGE(OFFSET($BH$3,0,0,'Données projet'!$E$11+1,1))-AVERAGE(OFFSET($H$3,0,0,'Données projet'!$E$11+1,1))</f>
        <v>513.7388209355762</v>
      </c>
      <c r="BJ118" s="62">
        <f t="shared" si="92"/>
        <v>328.24603121433927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67.277799683443988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4.5474735088646412E-13</v>
      </c>
      <c r="BZ118" s="14">
        <f>BY118*VLOOKUP('Données projet'!$B$12,Paramètres!$A$1:$I$89,3,0)*VLOOKUP('Données projet'!$B$12,Paramètres!$A$1:$I$89,5,0)</f>
        <v>3.6179699236527089E-13</v>
      </c>
      <c r="CA118" s="14">
        <f t="shared" si="93"/>
        <v>4.6796319415916035E-12</v>
      </c>
      <c r="CB118" s="22">
        <f t="shared" si="64"/>
        <v>8.7804887266415556E-12</v>
      </c>
      <c r="CC118" s="62">
        <f t="shared" si="65"/>
        <v>283.35193217263674</v>
      </c>
      <c r="CD118" s="62">
        <f ca="1">AVERAGE(OFFSET($CC$3,0,0,'Données projet'!$E$12+1,1))-AVERAGE(OFFSET($H$3,0,0,'Données projet'!$E$12+1,1))</f>
        <v>447.25854887589878</v>
      </c>
      <c r="CE118" s="62">
        <f t="shared" si="94"/>
        <v>480.13390593590157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67.277799683443988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1.1368683772161603E-13</v>
      </c>
      <c r="CU118" s="18">
        <f>CT118*VLOOKUP('Données projet'!$B$13,Paramètres!$A$1:$I$89,3,0)*VLOOKUP('Données projet'!$B$13,Paramètres!$A$1:$I$89,5,0)</f>
        <v>8.8675733422860506E-14</v>
      </c>
      <c r="CV118" s="14">
        <f t="shared" si="95"/>
        <v>1.3509285393066301E-12</v>
      </c>
      <c r="CW118" s="22">
        <f t="shared" si="67"/>
        <v>2.5073107750038623E-12</v>
      </c>
      <c r="CX118" s="62">
        <f t="shared" si="68"/>
        <v>283.35193217263048</v>
      </c>
      <c r="CY118" s="62">
        <f ca="1">AVERAGE(OFFSET($CX$3,0,0,'Données projet'!$E$13+1,1))-AVERAGE(OFFSET($H$3,0,0,'Données projet'!$E$13+1,1))</f>
        <v>308.52515801950324</v>
      </c>
      <c r="CZ118" s="62">
        <f t="shared" si="96"/>
        <v>299.05420638408953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67.277799683443988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4.5474735088646412E-13</v>
      </c>
      <c r="DP118" s="18">
        <f>DO118*VLOOKUP('Données projet'!$B$14,Paramètres!$A$1:$I$89,3,0)*VLOOKUP('Données projet'!$B$14,Paramètres!$A$1:$I$89,5,0)</f>
        <v>3.3342075766995548E-13</v>
      </c>
      <c r="DQ118" s="14">
        <f t="shared" si="97"/>
        <v>4.3537988100583648E-12</v>
      </c>
      <c r="DR118" s="22">
        <f t="shared" si="70"/>
        <v>8.1635740804601579E-12</v>
      </c>
      <c r="DS118" s="62">
        <f t="shared" si="71"/>
        <v>283.35193217263617</v>
      </c>
      <c r="DT118" s="62">
        <f ca="1">AVERAGE(OFFSET($DS$3,0,0,'Données projet'!$E$14+1,1))-AVERAGE(OFFSET($H$3,0,0,'Données projet'!$E$14+1,1))</f>
        <v>416.72317068678774</v>
      </c>
      <c r="DU118" s="62">
        <f t="shared" si="98"/>
        <v>447.32457429495537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67.277799683443988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3.3333333333333313</v>
      </c>
      <c r="EJ118" s="13">
        <f>IF('Données projet'!$A$192&gt;35,EJ117+EI118-ER117,IF(A118&lt;'Données projet'!$A$192,$EG$205^A118,IF(A118='Données projet'!$A$192,'Données projet'!$B$192,EJ117+EI118-ER117)))</f>
        <v>283.97435897435912</v>
      </c>
      <c r="EK118" s="18">
        <f>EJ118*VLOOKUP('Données projet'!$B$15,Paramètres!$A$1:$I$89,3,0)*VLOOKUP('Données projet'!$B$15,Paramètres!$A$1:$I$89,5,0)</f>
        <v>270.23000000000013</v>
      </c>
      <c r="EL118" s="14">
        <f t="shared" si="99"/>
        <v>64.898078673435194</v>
      </c>
      <c r="EM118" s="22">
        <f t="shared" si="73"/>
        <v>583.68140368956654</v>
      </c>
      <c r="EN118" s="62">
        <f t="shared" si="74"/>
        <v>867.03333586219446</v>
      </c>
      <c r="EO118" s="62">
        <f ca="1">AVERAGE(OFFSET($EN$3,0,0,'Données projet'!$E$15+1,1))-AVERAGE(OFFSET($H$3,0,0,'Données projet'!$E$15+1,1))</f>
        <v>454.78867027701426</v>
      </c>
      <c r="EP118" s="62">
        <f t="shared" si="100"/>
        <v>366.45346303927056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0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67.277799683443988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>
        <f>FE118*VLOOKUP('Données projet'!$B$16,Paramètres!$A$1:$I$89,3,0)*VLOOKUP('Données projet'!$B$16,Paramètres!$A$1:$I$89,5,0)</f>
        <v>0</v>
      </c>
      <c r="FG118" s="14" t="e">
        <f t="shared" si="101"/>
        <v>#NUM!</v>
      </c>
      <c r="FH118" s="22" t="e">
        <f t="shared" si="76"/>
        <v>#NUM!</v>
      </c>
      <c r="FI118" s="62" t="e">
        <f t="shared" si="77"/>
        <v>#NUM!</v>
      </c>
      <c r="FJ118" s="62">
        <f ca="1">AVERAGE(OFFSET($FI$3,0,0,'Données projet'!$E$16+1,1))-AVERAGE(OFFSET($H$3,0,0,'Données projet'!$E$16+1,1))</f>
        <v>390.05579539539576</v>
      </c>
      <c r="FK118" s="62">
        <f t="shared" si="102"/>
        <v>323.72278615226139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projet'!$B$16,Paramètres!$A$1:$I$89,3,0)*0.475*44/12</f>
        <v>0</v>
      </c>
      <c r="FR118" s="23">
        <f>EXP(-LN(2)/25)*FR117+(1-EXP(-LN(2)/25))/(LN(2)/25)*Calculateur!FM118*Calculateur!FO118*VLOOKUP('Données projet'!$B$16,Paramètres!$A$1:$I$89,3,0)*0.475*44/12</f>
        <v>0</v>
      </c>
      <c r="FS118" s="23">
        <f>EXP(-LN(2)/2)*FS117+(1-EXP(-LN(2)/2))/(LN(2)/2)*FM118*FP118*VLOOKUP('Données projet'!$B$16,Paramètres!$A$1:$I$89,3,0)*0.475*44/12</f>
        <v>0</v>
      </c>
      <c r="FT118" s="24">
        <f t="shared" si="78"/>
        <v>0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67.277799683443988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4.5</v>
      </c>
      <c r="FZ118" s="13">
        <f>IF('Données projet'!$A$244&gt;35,FZ117+FY118-GH117,IF(A118&lt;'Données projet'!$A$244,$FW$205^A118,IF(A118='Données projet'!$A$244,'Données projet'!$B$244,FZ117+FY118-GH117)))</f>
        <v>329.49999999999977</v>
      </c>
      <c r="GA118" s="18">
        <f>FZ118*VLOOKUP('Données projet'!$B$17,Paramètres!$A$1:$I$89,3,0)*VLOOKUP('Données projet'!$B$17,Paramètres!$A$1:$I$89,5,0)</f>
        <v>318.69239999999979</v>
      </c>
      <c r="GB118" s="14">
        <f t="shared" si="103"/>
        <v>75.081217250277518</v>
      </c>
      <c r="GC118" s="22">
        <f t="shared" si="79"/>
        <v>685.82238337756633</v>
      </c>
      <c r="GD118" s="62">
        <f t="shared" si="80"/>
        <v>969.17431555019425</v>
      </c>
      <c r="GE118" s="62">
        <f ca="1">AVERAGE(OFFSET($GD$3,0,0,'Données projet'!$E$17+1,1))-AVERAGE(OFFSET($H$3,0,0,'Données projet'!$E$17+1,1))</f>
        <v>578.44111602076555</v>
      </c>
      <c r="GF118" s="62">
        <f t="shared" si="104"/>
        <v>368.08542661432784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>
        <f>EXP(-LN(2)/35)*GL117+(1-EXP(-LN(2)/35))/(LN(2)/35)*GH118*GI118*VLOOKUP('Données projet'!$B$17,Paramètres!$A$1:$I$89,3,0)*0.475*44/12</f>
        <v>0</v>
      </c>
      <c r="GM118" s="23">
        <f>EXP(-LN(2)/25)*GM117+(1-EXP(-LN(2)/25))/(LN(2)/25)*Calculateur!GH118*Calculateur!GJ118*VLOOKUP('Données projet'!$B$17,Paramètres!$A$1:$I$89,3,0)*0.475*44/12</f>
        <v>0</v>
      </c>
      <c r="GN118" s="23">
        <f>EXP(-LN(2)/2)*GN117+(1-EXP(-LN(2)/2))/(LN(2)/2)*GH118*GK118*VLOOKUP('Données projet'!$B$17,Paramètres!$A$1:$I$89,3,0)*0.475*44/12</f>
        <v>0</v>
      </c>
      <c r="GO118" s="23">
        <f t="shared" si="81"/>
        <v>0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67.277799683443988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4.0735000000000001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14.936166666666667</v>
      </c>
      <c r="H119" s="70">
        <f t="shared" si="56"/>
        <v>196.922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67.32502377300807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4.5</v>
      </c>
      <c r="N119" s="14">
        <f>IF('Données projet'!$A$36&gt;35,N118+M119-V118,IF(A119&lt;'Données projet'!$A$36,$K$205^A119,IF(A119='Données projet'!$A$36,'Données projet'!$B$36,N118+M119-V118)))</f>
        <v>333.99999999999977</v>
      </c>
      <c r="O119" s="14">
        <f>N119*VLOOKUP('Données projet'!$B$9,Paramètres!$A$1:$I$89,3,0)*VLOOKUP('Données projet'!$B$9,Paramètres!$A$1:$I$89,5,0)</f>
        <v>302.20319999999981</v>
      </c>
      <c r="P119" s="14">
        <f t="shared" si="87"/>
        <v>71.638141943842228</v>
      </c>
      <c r="Q119" s="22">
        <f t="shared" si="107"/>
        <v>651.10700388552482</v>
      </c>
      <c r="R119" s="62">
        <f t="shared" si="55"/>
        <v>934.63209105322107</v>
      </c>
      <c r="S119" s="62">
        <f ca="1">AVERAGE(OFFSET($R$3,0,0,'Données projet'!$E$9+1,1))-AVERAGE(OFFSET($H$3,0,0,'Données projet'!$E$9+1,1))</f>
        <v>546.11281471711925</v>
      </c>
      <c r="T119" s="62">
        <f t="shared" si="88"/>
        <v>348.18069831447099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67.32502377300807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6.4</v>
      </c>
      <c r="AI119" s="14">
        <f>IF('Données projet'!$A$62&gt;35,AI118+AH119-AQ118,IF(A119&lt;'Données projet'!$A$62,$AF$205^A119,IF(A119='Données projet'!$A$62,'Données projet'!$B$62,AI118+AH119-AQ118)))</f>
        <v>481.39999999999986</v>
      </c>
      <c r="AJ119" s="14">
        <f>AI119*VLOOKUP('Données projet'!$B$10,Paramètres!$A$1:$I$89,3,0)*VLOOKUP('Données projet'!$B$10,Paramètres!$A$1:$I$89,5,0)</f>
        <v>413.04119999999989</v>
      </c>
      <c r="AK119" s="14">
        <f t="shared" si="89"/>
        <v>94.415611430097925</v>
      </c>
      <c r="AL119" s="22">
        <f t="shared" si="58"/>
        <v>883.82061324075357</v>
      </c>
      <c r="AM119" s="62">
        <f t="shared" si="59"/>
        <v>1167.3457004084498</v>
      </c>
      <c r="AN119" s="62">
        <f ca="1">AVERAGE(OFFSET($AM$3,0,0,'Données projet'!$E$10+1,1))-AVERAGE(OFFSET($H$3,0,0,'Données projet'!$E$10+1,1))</f>
        <v>693.87994318348024</v>
      </c>
      <c r="AO119" s="62">
        <f t="shared" si="90"/>
        <v>327.71043739333641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67.32502377300807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4.5</v>
      </c>
      <c r="BD119" s="13">
        <f>IF('Données projet'!$A$88&gt;35,BD118+BC119-BL118,IF(A119&lt;'Données projet'!$A$88,$BA$205^A119,IF(A119='Données projet'!$A$88,'Données projet'!$B$88,BD118+BC119-BL118)))</f>
        <v>333.99999999999977</v>
      </c>
      <c r="BE119" s="14">
        <f>BD119*VLOOKUP('Données projet'!$B$11,Paramètres!$A$1:$I$89,3,0)*VLOOKUP('Données projet'!$B$11,Paramètres!$A$1:$I$89,5,0)</f>
        <v>281.36159999999984</v>
      </c>
      <c r="BF119" s="14">
        <f t="shared" si="91"/>
        <v>67.254672812309309</v>
      </c>
      <c r="BG119" s="22">
        <f t="shared" si="61"/>
        <v>607.17334181477167</v>
      </c>
      <c r="BH119" s="62">
        <f t="shared" si="62"/>
        <v>890.69842898246793</v>
      </c>
      <c r="BI119" s="62">
        <f ca="1">AVERAGE(OFFSET($BH$3,0,0,'Données projet'!$E$11+1,1))-AVERAGE(OFFSET($H$3,0,0,'Données projet'!$E$11+1,1))</f>
        <v>513.7388209355762</v>
      </c>
      <c r="BJ119" s="62">
        <f t="shared" si="92"/>
        <v>328.24603121433927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67.32502377300807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4.5474735088646412E-13</v>
      </c>
      <c r="BZ119" s="14">
        <f>BY119*VLOOKUP('Données projet'!$B$12,Paramètres!$A$1:$I$89,3,0)*VLOOKUP('Données projet'!$B$12,Paramètres!$A$1:$I$89,5,0)</f>
        <v>3.6179699236527089E-13</v>
      </c>
      <c r="CA119" s="14">
        <f t="shared" si="93"/>
        <v>4.6796319415916035E-12</v>
      </c>
      <c r="CB119" s="22">
        <f t="shared" si="64"/>
        <v>8.7804887266415556E-12</v>
      </c>
      <c r="CC119" s="62">
        <f t="shared" si="65"/>
        <v>283.52508716770501</v>
      </c>
      <c r="CD119" s="62">
        <f ca="1">AVERAGE(OFFSET($CC$3,0,0,'Données projet'!$E$12+1,1))-AVERAGE(OFFSET($H$3,0,0,'Données projet'!$E$12+1,1))</f>
        <v>447.25854887589878</v>
      </c>
      <c r="CE119" s="62">
        <f t="shared" si="94"/>
        <v>480.13390593590157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67.32502377300807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1.1368683772161603E-13</v>
      </c>
      <c r="CU119" s="18">
        <f>CT119*VLOOKUP('Données projet'!$B$13,Paramètres!$A$1:$I$89,3,0)*VLOOKUP('Données projet'!$B$13,Paramètres!$A$1:$I$89,5,0)</f>
        <v>8.8675733422860506E-14</v>
      </c>
      <c r="CV119" s="14">
        <f t="shared" si="95"/>
        <v>1.3509285393066301E-12</v>
      </c>
      <c r="CW119" s="22">
        <f t="shared" si="67"/>
        <v>2.5073107750038623E-12</v>
      </c>
      <c r="CX119" s="62">
        <f t="shared" si="68"/>
        <v>283.52508716769876</v>
      </c>
      <c r="CY119" s="62">
        <f ca="1">AVERAGE(OFFSET($CX$3,0,0,'Données projet'!$E$13+1,1))-AVERAGE(OFFSET($H$3,0,0,'Données projet'!$E$13+1,1))</f>
        <v>308.52515801950324</v>
      </c>
      <c r="CZ119" s="62">
        <f t="shared" si="96"/>
        <v>299.05420638408953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67.32502377300807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4.5474735088646412E-13</v>
      </c>
      <c r="DP119" s="18">
        <f>DO119*VLOOKUP('Données projet'!$B$14,Paramètres!$A$1:$I$89,3,0)*VLOOKUP('Données projet'!$B$14,Paramètres!$A$1:$I$89,5,0)</f>
        <v>3.3342075766995548E-13</v>
      </c>
      <c r="DQ119" s="14">
        <f t="shared" si="97"/>
        <v>4.3537988100583648E-12</v>
      </c>
      <c r="DR119" s="22">
        <f t="shared" si="70"/>
        <v>8.1635740804601579E-12</v>
      </c>
      <c r="DS119" s="62">
        <f t="shared" si="71"/>
        <v>283.52508716770444</v>
      </c>
      <c r="DT119" s="62">
        <f ca="1">AVERAGE(OFFSET($DS$3,0,0,'Données projet'!$E$14+1,1))-AVERAGE(OFFSET($H$3,0,0,'Données projet'!$E$14+1,1))</f>
        <v>416.72317068678774</v>
      </c>
      <c r="DU119" s="62">
        <f t="shared" si="98"/>
        <v>447.32457429495537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67.32502377300807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3.3333333333333313</v>
      </c>
      <c r="EJ119" s="13">
        <f>IF('Données projet'!$A$192&gt;35,EJ118+EI119-ER118,IF(A119&lt;'Données projet'!$A$192,$EG$205^A119,IF(A119='Données projet'!$A$192,'Données projet'!$B$192,EJ118+EI119-ER118)))</f>
        <v>287.30769230769243</v>
      </c>
      <c r="EK119" s="18">
        <f>EJ119*VLOOKUP('Données projet'!$B$15,Paramètres!$A$1:$I$89,3,0)*VLOOKUP('Données projet'!$B$15,Paramètres!$A$1:$I$89,5,0)</f>
        <v>273.40200000000016</v>
      </c>
      <c r="EL119" s="14">
        <f t="shared" si="99"/>
        <v>65.570732564764924</v>
      </c>
      <c r="EM119" s="22">
        <f t="shared" si="73"/>
        <v>590.37750921696579</v>
      </c>
      <c r="EN119" s="62">
        <f t="shared" si="74"/>
        <v>873.90259638466205</v>
      </c>
      <c r="EO119" s="62">
        <f ca="1">AVERAGE(OFFSET($EN$3,0,0,'Données projet'!$E$15+1,1))-AVERAGE(OFFSET($H$3,0,0,'Données projet'!$E$15+1,1))</f>
        <v>454.78867027701426</v>
      </c>
      <c r="EP119" s="62">
        <f t="shared" si="100"/>
        <v>366.45346303927056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0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67.32502377300807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>
        <f>FE119*VLOOKUP('Données projet'!$B$16,Paramètres!$A$1:$I$89,3,0)*VLOOKUP('Données projet'!$B$16,Paramètres!$A$1:$I$89,5,0)</f>
        <v>0</v>
      </c>
      <c r="FG119" s="14" t="e">
        <f t="shared" si="101"/>
        <v>#NUM!</v>
      </c>
      <c r="FH119" s="22" t="e">
        <f t="shared" si="76"/>
        <v>#NUM!</v>
      </c>
      <c r="FI119" s="62" t="e">
        <f t="shared" si="77"/>
        <v>#NUM!</v>
      </c>
      <c r="FJ119" s="62">
        <f ca="1">AVERAGE(OFFSET($FI$3,0,0,'Données projet'!$E$16+1,1))-AVERAGE(OFFSET($H$3,0,0,'Données projet'!$E$16+1,1))</f>
        <v>390.05579539539576</v>
      </c>
      <c r="FK119" s="62">
        <f t="shared" si="102"/>
        <v>323.72278615226139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projet'!$B$16,Paramètres!$A$1:$I$89,3,0)*0.475*44/12</f>
        <v>0</v>
      </c>
      <c r="FR119" s="23">
        <f>EXP(-LN(2)/25)*FR118+(1-EXP(-LN(2)/25))/(LN(2)/25)*Calculateur!FM119*Calculateur!FO119*VLOOKUP('Données projet'!$B$16,Paramètres!$A$1:$I$89,3,0)*0.475*44/12</f>
        <v>0</v>
      </c>
      <c r="FS119" s="23">
        <f>EXP(-LN(2)/2)*FS118+(1-EXP(-LN(2)/2))/(LN(2)/2)*FM119*FP119*VLOOKUP('Données projet'!$B$16,Paramètres!$A$1:$I$89,3,0)*0.475*44/12</f>
        <v>0</v>
      </c>
      <c r="FT119" s="24">
        <f t="shared" si="78"/>
        <v>0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67.32502377300807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4.5</v>
      </c>
      <c r="FZ119" s="13">
        <f>IF('Données projet'!$A$244&gt;35,FZ118+FY119-GH118,IF(A119&lt;'Données projet'!$A$244,$FW$205^A119,IF(A119='Données projet'!$A$244,'Données projet'!$B$244,FZ118+FY119-GH118)))</f>
        <v>333.99999999999977</v>
      </c>
      <c r="GA119" s="18">
        <f>FZ119*VLOOKUP('Données projet'!$B$17,Paramètres!$A$1:$I$89,3,0)*VLOOKUP('Données projet'!$B$17,Paramètres!$A$1:$I$89,5,0)</f>
        <v>323.04479999999978</v>
      </c>
      <c r="GB119" s="14">
        <f t="shared" si="103"/>
        <v>75.986533921791832</v>
      </c>
      <c r="GC119" s="22">
        <f t="shared" si="79"/>
        <v>694.97957324712036</v>
      </c>
      <c r="GD119" s="62">
        <f t="shared" si="80"/>
        <v>978.50466041481661</v>
      </c>
      <c r="GE119" s="62">
        <f ca="1">AVERAGE(OFFSET($GD$3,0,0,'Données projet'!$E$17+1,1))-AVERAGE(OFFSET($H$3,0,0,'Données projet'!$E$17+1,1))</f>
        <v>578.44111602076555</v>
      </c>
      <c r="GF119" s="62">
        <f t="shared" si="104"/>
        <v>368.08542661432784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>
        <f>EXP(-LN(2)/35)*GL118+(1-EXP(-LN(2)/35))/(LN(2)/35)*GH119*GI119*VLOOKUP('Données projet'!$B$17,Paramètres!$A$1:$I$89,3,0)*0.475*44/12</f>
        <v>0</v>
      </c>
      <c r="GM119" s="23">
        <f>EXP(-LN(2)/25)*GM118+(1-EXP(-LN(2)/25))/(LN(2)/25)*Calculateur!GH119*Calculateur!GJ119*VLOOKUP('Données projet'!$B$17,Paramètres!$A$1:$I$89,3,0)*0.475*44/12</f>
        <v>0</v>
      </c>
      <c r="GN119" s="23">
        <f>EXP(-LN(2)/2)*GN118+(1-EXP(-LN(2)/2))/(LN(2)/2)*GH119*GK119*VLOOKUP('Données projet'!$B$17,Paramètres!$A$1:$I$89,3,0)*0.475*44/12</f>
        <v>0</v>
      </c>
      <c r="GO119" s="23">
        <f t="shared" si="81"/>
        <v>0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67.32502377300807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4.0735000000000001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14.936166666666667</v>
      </c>
      <c r="H120" s="70">
        <f t="shared" si="56"/>
        <v>196.922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67.371428630195453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4.5</v>
      </c>
      <c r="N120" s="14">
        <f>IF('Données projet'!$A$36&gt;35,N119+M120-V119,IF(A120&lt;'Données projet'!$A$36,$K$205^A120,IF(A120='Données projet'!$A$36,'Données projet'!$B$36,N119+M120-V119)))</f>
        <v>338.49999999999977</v>
      </c>
      <c r="O120" s="14">
        <f>N120*VLOOKUP('Données projet'!$B$9,Paramètres!$A$1:$I$89,3,0)*VLOOKUP('Données projet'!$B$9,Paramètres!$A$1:$I$89,5,0)</f>
        <v>306.27479999999974</v>
      </c>
      <c r="P120" s="14">
        <f t="shared" si="87"/>
        <v>72.490313602282981</v>
      </c>
      <c r="Q120" s="22">
        <f t="shared" si="107"/>
        <v>659.68257285730908</v>
      </c>
      <c r="R120" s="62">
        <f t="shared" si="55"/>
        <v>943.3778111680258</v>
      </c>
      <c r="S120" s="62">
        <f ca="1">AVERAGE(OFFSET($R$3,0,0,'Données projet'!$E$9+1,1))-AVERAGE(OFFSET($H$3,0,0,'Données projet'!$E$9+1,1))</f>
        <v>546.11281471711925</v>
      </c>
      <c r="T120" s="62">
        <f t="shared" si="88"/>
        <v>348.18069831447099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67.371428630195453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6.4</v>
      </c>
      <c r="AI120" s="14">
        <f>IF('Données projet'!$A$62&gt;35,AI119+AH120-AQ119,IF(A120&lt;'Données projet'!$A$62,$AF$205^A120,IF(A120='Données projet'!$A$62,'Données projet'!$B$62,AI119+AH120-AQ119)))</f>
        <v>487.79999999999984</v>
      </c>
      <c r="AJ120" s="14">
        <f>AI120*VLOOKUP('Données projet'!$B$10,Paramètres!$A$1:$I$89,3,0)*VLOOKUP('Données projet'!$B$10,Paramètres!$A$1:$I$89,5,0)</f>
        <v>418.53239999999988</v>
      </c>
      <c r="AK120" s="14">
        <f t="shared" si="89"/>
        <v>95.52386437716028</v>
      </c>
      <c r="AL120" s="22">
        <f t="shared" si="58"/>
        <v>895.31466045688728</v>
      </c>
      <c r="AM120" s="62">
        <f t="shared" si="59"/>
        <v>1179.009898767604</v>
      </c>
      <c r="AN120" s="62">
        <f ca="1">AVERAGE(OFFSET($AM$3,0,0,'Données projet'!$E$10+1,1))-AVERAGE(OFFSET($H$3,0,0,'Données projet'!$E$10+1,1))</f>
        <v>693.87994318348024</v>
      </c>
      <c r="AO120" s="62">
        <f t="shared" si="90"/>
        <v>327.71043739333641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67.371428630195453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4.5</v>
      </c>
      <c r="BD120" s="13">
        <f>IF('Données projet'!$A$88&gt;35,BD119+BC120-BL119,IF(A120&lt;'Données projet'!$A$88,$BA$205^A120,IF(A120='Données projet'!$A$88,'Données projet'!$B$88,BD119+BC120-BL119)))</f>
        <v>338.49999999999977</v>
      </c>
      <c r="BE120" s="14">
        <f>BD120*VLOOKUP('Données projet'!$B$11,Paramètres!$A$1:$I$89,3,0)*VLOOKUP('Données projet'!$B$11,Paramètres!$A$1:$I$89,5,0)</f>
        <v>285.15239999999983</v>
      </c>
      <c r="BF120" s="14">
        <f t="shared" si="91"/>
        <v>68.054700905071442</v>
      </c>
      <c r="BG120" s="22">
        <f t="shared" si="61"/>
        <v>615.16903407633242</v>
      </c>
      <c r="BH120" s="62">
        <f t="shared" si="62"/>
        <v>898.86427238704914</v>
      </c>
      <c r="BI120" s="62">
        <f ca="1">AVERAGE(OFFSET($BH$3,0,0,'Données projet'!$E$11+1,1))-AVERAGE(OFFSET($H$3,0,0,'Données projet'!$E$11+1,1))</f>
        <v>513.7388209355762</v>
      </c>
      <c r="BJ120" s="62">
        <f t="shared" si="92"/>
        <v>328.24603121433927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67.371428630195453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4.5474735088646412E-13</v>
      </c>
      <c r="BZ120" s="14">
        <f>BY120*VLOOKUP('Données projet'!$B$12,Paramètres!$A$1:$I$89,3,0)*VLOOKUP('Données projet'!$B$12,Paramètres!$A$1:$I$89,5,0)</f>
        <v>3.6179699236527089E-13</v>
      </c>
      <c r="CA120" s="14">
        <f t="shared" si="93"/>
        <v>4.6796319415916035E-12</v>
      </c>
      <c r="CB120" s="22">
        <f t="shared" si="64"/>
        <v>8.7804887266415556E-12</v>
      </c>
      <c r="CC120" s="62">
        <f t="shared" si="65"/>
        <v>283.69523831072541</v>
      </c>
      <c r="CD120" s="62">
        <f ca="1">AVERAGE(OFFSET($CC$3,0,0,'Données projet'!$E$12+1,1))-AVERAGE(OFFSET($H$3,0,0,'Données projet'!$E$12+1,1))</f>
        <v>447.25854887589878</v>
      </c>
      <c r="CE120" s="62">
        <f t="shared" si="94"/>
        <v>480.13390593590157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67.371428630195453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1.1368683772161603E-13</v>
      </c>
      <c r="CU120" s="18">
        <f>CT120*VLOOKUP('Données projet'!$B$13,Paramètres!$A$1:$I$89,3,0)*VLOOKUP('Données projet'!$B$13,Paramètres!$A$1:$I$89,5,0)</f>
        <v>8.8675733422860506E-14</v>
      </c>
      <c r="CV120" s="14">
        <f t="shared" si="95"/>
        <v>1.3509285393066301E-12</v>
      </c>
      <c r="CW120" s="22">
        <f t="shared" si="67"/>
        <v>2.5073107750038623E-12</v>
      </c>
      <c r="CX120" s="62">
        <f t="shared" si="68"/>
        <v>283.69523831071916</v>
      </c>
      <c r="CY120" s="62">
        <f ca="1">AVERAGE(OFFSET($CX$3,0,0,'Données projet'!$E$13+1,1))-AVERAGE(OFFSET($H$3,0,0,'Données projet'!$E$13+1,1))</f>
        <v>308.52515801950324</v>
      </c>
      <c r="CZ120" s="62">
        <f t="shared" si="96"/>
        <v>299.05420638408953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67.371428630195453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4.5474735088646412E-13</v>
      </c>
      <c r="DP120" s="18">
        <f>DO120*VLOOKUP('Données projet'!$B$14,Paramètres!$A$1:$I$89,3,0)*VLOOKUP('Données projet'!$B$14,Paramètres!$A$1:$I$89,5,0)</f>
        <v>3.3342075766995548E-13</v>
      </c>
      <c r="DQ120" s="14">
        <f t="shared" si="97"/>
        <v>4.3537988100583648E-12</v>
      </c>
      <c r="DR120" s="22">
        <f t="shared" si="70"/>
        <v>8.1635740804601579E-12</v>
      </c>
      <c r="DS120" s="62">
        <f t="shared" si="71"/>
        <v>283.69523831072485</v>
      </c>
      <c r="DT120" s="62">
        <f ca="1">AVERAGE(OFFSET($DS$3,0,0,'Données projet'!$E$14+1,1))-AVERAGE(OFFSET($H$3,0,0,'Données projet'!$E$14+1,1))</f>
        <v>416.72317068678774</v>
      </c>
      <c r="DU120" s="62">
        <f t="shared" si="98"/>
        <v>447.32457429495537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67.371428630195453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3.3333333333333313</v>
      </c>
      <c r="EJ120" s="13">
        <f>IF('Données projet'!$A$192&gt;35,EJ119+EI120-ER119,IF(A120&lt;'Données projet'!$A$192,$EG$205^A120,IF(A120='Données projet'!$A$192,'Données projet'!$B$192,EJ119+EI120-ER119)))</f>
        <v>290.64102564102575</v>
      </c>
      <c r="EK120" s="18">
        <f>EJ120*VLOOKUP('Données projet'!$B$15,Paramètres!$A$1:$I$89,3,0)*VLOOKUP('Données projet'!$B$15,Paramètres!$A$1:$I$89,5,0)</f>
        <v>276.57400000000013</v>
      </c>
      <c r="EL120" s="14">
        <f t="shared" si="99"/>
        <v>66.242478649743532</v>
      </c>
      <c r="EM120" s="22">
        <f t="shared" si="73"/>
        <v>597.07203364830355</v>
      </c>
      <c r="EN120" s="62">
        <f t="shared" si="74"/>
        <v>880.76727195902026</v>
      </c>
      <c r="EO120" s="62">
        <f ca="1">AVERAGE(OFFSET($EN$3,0,0,'Données projet'!$E$15+1,1))-AVERAGE(OFFSET($H$3,0,0,'Données projet'!$E$15+1,1))</f>
        <v>454.78867027701426</v>
      </c>
      <c r="EP120" s="62">
        <f t="shared" si="100"/>
        <v>366.45346303927056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0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67.371428630195453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>
        <f>FE120*VLOOKUP('Données projet'!$B$16,Paramètres!$A$1:$I$89,3,0)*VLOOKUP('Données projet'!$B$16,Paramètres!$A$1:$I$89,5,0)</f>
        <v>0</v>
      </c>
      <c r="FG120" s="14" t="e">
        <f t="shared" si="101"/>
        <v>#NUM!</v>
      </c>
      <c r="FH120" s="22" t="e">
        <f t="shared" si="76"/>
        <v>#NUM!</v>
      </c>
      <c r="FI120" s="62" t="e">
        <f t="shared" si="77"/>
        <v>#NUM!</v>
      </c>
      <c r="FJ120" s="62">
        <f ca="1">AVERAGE(OFFSET($FI$3,0,0,'Données projet'!$E$16+1,1))-AVERAGE(OFFSET($H$3,0,0,'Données projet'!$E$16+1,1))</f>
        <v>390.05579539539576</v>
      </c>
      <c r="FK120" s="62">
        <f t="shared" si="102"/>
        <v>323.72278615226139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projet'!$B$16,Paramètres!$A$1:$I$89,3,0)*0.475*44/12</f>
        <v>0</v>
      </c>
      <c r="FR120" s="23">
        <f>EXP(-LN(2)/25)*FR119+(1-EXP(-LN(2)/25))/(LN(2)/25)*Calculateur!FM120*Calculateur!FO120*VLOOKUP('Données projet'!$B$16,Paramètres!$A$1:$I$89,3,0)*0.475*44/12</f>
        <v>0</v>
      </c>
      <c r="FS120" s="23">
        <f>EXP(-LN(2)/2)*FS119+(1-EXP(-LN(2)/2))/(LN(2)/2)*FM120*FP120*VLOOKUP('Données projet'!$B$16,Paramètres!$A$1:$I$89,3,0)*0.475*44/12</f>
        <v>0</v>
      </c>
      <c r="FT120" s="24">
        <f t="shared" si="78"/>
        <v>0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67.371428630195453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4.5</v>
      </c>
      <c r="FZ120" s="13">
        <f>IF('Données projet'!$A$244&gt;35,FZ119+FY120-GH119,IF(A120&lt;'Données projet'!$A$244,$FW$205^A120,IF(A120='Données projet'!$A$244,'Données projet'!$B$244,FZ119+FY120-GH119)))</f>
        <v>338.49999999999977</v>
      </c>
      <c r="GA120" s="18">
        <f>FZ120*VLOOKUP('Données projet'!$B$17,Paramètres!$A$1:$I$89,3,0)*VLOOKUP('Données projet'!$B$17,Paramètres!$A$1:$I$89,5,0)</f>
        <v>327.39719999999977</v>
      </c>
      <c r="GB120" s="14">
        <f t="shared" si="103"/>
        <v>76.890431885561796</v>
      </c>
      <c r="GC120" s="22">
        <f t="shared" si="79"/>
        <v>704.13429220068622</v>
      </c>
      <c r="GD120" s="62">
        <f t="shared" si="80"/>
        <v>987.82953051140294</v>
      </c>
      <c r="GE120" s="62">
        <f ca="1">AVERAGE(OFFSET($GD$3,0,0,'Données projet'!$E$17+1,1))-AVERAGE(OFFSET($H$3,0,0,'Données projet'!$E$17+1,1))</f>
        <v>578.44111602076555</v>
      </c>
      <c r="GF120" s="62">
        <f t="shared" si="104"/>
        <v>368.08542661432784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>
        <f>EXP(-LN(2)/35)*GL119+(1-EXP(-LN(2)/35))/(LN(2)/35)*GH120*GI120*VLOOKUP('Données projet'!$B$17,Paramètres!$A$1:$I$89,3,0)*0.475*44/12</f>
        <v>0</v>
      </c>
      <c r="GM120" s="23">
        <f>EXP(-LN(2)/25)*GM119+(1-EXP(-LN(2)/25))/(LN(2)/25)*Calculateur!GH120*Calculateur!GJ120*VLOOKUP('Données projet'!$B$17,Paramètres!$A$1:$I$89,3,0)*0.475*44/12</f>
        <v>0</v>
      </c>
      <c r="GN120" s="23">
        <f>EXP(-LN(2)/2)*GN119+(1-EXP(-LN(2)/2))/(LN(2)/2)*GH120*GK120*VLOOKUP('Données projet'!$B$17,Paramètres!$A$1:$I$89,3,0)*0.475*44/12</f>
        <v>0</v>
      </c>
      <c r="GO120" s="23">
        <f t="shared" si="81"/>
        <v>0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67.371428630195453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4.0735000000000001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14.936166666666667</v>
      </c>
      <c r="H121" s="70">
        <f t="shared" si="56"/>
        <v>196.922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67.417028466856351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4.5</v>
      </c>
      <c r="N121" s="14">
        <f>IF('Données projet'!$A$36&gt;35,N120+M121-V120,IF(A121&lt;'Données projet'!$A$36,$K$205^A121,IF(A121='Données projet'!$A$36,'Données projet'!$B$36,N120+M121-V120)))</f>
        <v>342.99999999999977</v>
      </c>
      <c r="O121" s="14">
        <f>N121*VLOOKUP('Données projet'!$B$9,Paramètres!$A$1:$I$89,3,0)*VLOOKUP('Données projet'!$B$9,Paramètres!$A$1:$I$89,5,0)</f>
        <v>310.34639999999979</v>
      </c>
      <c r="P121" s="14">
        <f t="shared" si="87"/>
        <v>73.341167576152998</v>
      </c>
      <c r="Q121" s="22">
        <f t="shared" si="107"/>
        <v>668.25584686179945</v>
      </c>
      <c r="R121" s="62">
        <f t="shared" si="55"/>
        <v>952.11828457360616</v>
      </c>
      <c r="S121" s="62">
        <f ca="1">AVERAGE(OFFSET($R$3,0,0,'Données projet'!$E$9+1,1))-AVERAGE(OFFSET($H$3,0,0,'Données projet'!$E$9+1,1))</f>
        <v>546.11281471711925</v>
      </c>
      <c r="T121" s="62">
        <f t="shared" si="88"/>
        <v>348.18069831447099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67.417028466856351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6.4</v>
      </c>
      <c r="AI121" s="14">
        <f>IF('Données projet'!$A$62&gt;35,AI120+AH121-AQ120,IF(A121&lt;'Données projet'!$A$62,$AF$205^A121,IF(A121='Données projet'!$A$62,'Données projet'!$B$62,AI120+AH121-AQ120)))</f>
        <v>494.19999999999982</v>
      </c>
      <c r="AJ121" s="14">
        <f>AI121*VLOOKUP('Données projet'!$B$10,Paramètres!$A$1:$I$89,3,0)*VLOOKUP('Données projet'!$B$10,Paramètres!$A$1:$I$89,5,0)</f>
        <v>424.02359999999993</v>
      </c>
      <c r="AK121" s="14">
        <f t="shared" si="89"/>
        <v>96.630426059277468</v>
      </c>
      <c r="AL121" s="22">
        <f t="shared" si="58"/>
        <v>906.80576205324132</v>
      </c>
      <c r="AM121" s="62">
        <f t="shared" si="59"/>
        <v>1190.668199765048</v>
      </c>
      <c r="AN121" s="62">
        <f ca="1">AVERAGE(OFFSET($AM$3,0,0,'Données projet'!$E$10+1,1))-AVERAGE(OFFSET($H$3,0,0,'Données projet'!$E$10+1,1))</f>
        <v>693.87994318348024</v>
      </c>
      <c r="AO121" s="62">
        <f t="shared" si="90"/>
        <v>327.71043739333641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67.417028466856351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4.5</v>
      </c>
      <c r="BD121" s="13">
        <f>IF('Données projet'!$A$88&gt;35,BD120+BC121-BL120,IF(A121&lt;'Données projet'!$A$88,$BA$205^A121,IF(A121='Données projet'!$A$88,'Données projet'!$B$88,BD120+BC121-BL120)))</f>
        <v>342.99999999999977</v>
      </c>
      <c r="BE121" s="14">
        <f>BD121*VLOOKUP('Données projet'!$B$11,Paramètres!$A$1:$I$89,3,0)*VLOOKUP('Données projet'!$B$11,Paramètres!$A$1:$I$89,5,0)</f>
        <v>288.94319999999982</v>
      </c>
      <c r="BF121" s="14">
        <f t="shared" si="91"/>
        <v>68.853491941116729</v>
      </c>
      <c r="BG121" s="22">
        <f t="shared" si="61"/>
        <v>623.16257179744468</v>
      </c>
      <c r="BH121" s="62">
        <f t="shared" si="62"/>
        <v>907.02500950925128</v>
      </c>
      <c r="BI121" s="62">
        <f ca="1">AVERAGE(OFFSET($BH$3,0,0,'Données projet'!$E$11+1,1))-AVERAGE(OFFSET($H$3,0,0,'Données projet'!$E$11+1,1))</f>
        <v>513.7388209355762</v>
      </c>
      <c r="BJ121" s="62">
        <f t="shared" si="92"/>
        <v>328.24603121433927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67.417028466856351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4.5474735088646412E-13</v>
      </c>
      <c r="BZ121" s="14">
        <f>BY121*VLOOKUP('Données projet'!$B$12,Paramètres!$A$1:$I$89,3,0)*VLOOKUP('Données projet'!$B$12,Paramètres!$A$1:$I$89,5,0)</f>
        <v>3.6179699236527089E-13</v>
      </c>
      <c r="CA121" s="14">
        <f t="shared" si="93"/>
        <v>4.6796319415916035E-12</v>
      </c>
      <c r="CB121" s="22">
        <f t="shared" si="64"/>
        <v>8.7804887266415556E-12</v>
      </c>
      <c r="CC121" s="62">
        <f t="shared" si="65"/>
        <v>283.8624377118154</v>
      </c>
      <c r="CD121" s="62">
        <f ca="1">AVERAGE(OFFSET($CC$3,0,0,'Données projet'!$E$12+1,1))-AVERAGE(OFFSET($H$3,0,0,'Données projet'!$E$12+1,1))</f>
        <v>447.25854887589878</v>
      </c>
      <c r="CE121" s="62">
        <f t="shared" si="94"/>
        <v>480.13390593590157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67.417028466856351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1.1368683772161603E-13</v>
      </c>
      <c r="CU121" s="18">
        <f>CT121*VLOOKUP('Données projet'!$B$13,Paramètres!$A$1:$I$89,3,0)*VLOOKUP('Données projet'!$B$13,Paramètres!$A$1:$I$89,5,0)</f>
        <v>8.8675733422860506E-14</v>
      </c>
      <c r="CV121" s="14">
        <f t="shared" si="95"/>
        <v>1.3509285393066301E-12</v>
      </c>
      <c r="CW121" s="22">
        <f t="shared" si="67"/>
        <v>2.5073107750038623E-12</v>
      </c>
      <c r="CX121" s="62">
        <f t="shared" si="68"/>
        <v>283.86243771180915</v>
      </c>
      <c r="CY121" s="62">
        <f ca="1">AVERAGE(OFFSET($CX$3,0,0,'Données projet'!$E$13+1,1))-AVERAGE(OFFSET($H$3,0,0,'Données projet'!$E$13+1,1))</f>
        <v>308.52515801950324</v>
      </c>
      <c r="CZ121" s="62">
        <f t="shared" si="96"/>
        <v>299.05420638408953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67.417028466856351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4.5474735088646412E-13</v>
      </c>
      <c r="DP121" s="18">
        <f>DO121*VLOOKUP('Données projet'!$B$14,Paramètres!$A$1:$I$89,3,0)*VLOOKUP('Données projet'!$B$14,Paramètres!$A$1:$I$89,5,0)</f>
        <v>3.3342075766995548E-13</v>
      </c>
      <c r="DQ121" s="14">
        <f t="shared" si="97"/>
        <v>4.3537988100583648E-12</v>
      </c>
      <c r="DR121" s="22">
        <f t="shared" si="70"/>
        <v>8.1635740804601579E-12</v>
      </c>
      <c r="DS121" s="62">
        <f t="shared" si="71"/>
        <v>283.86243771181483</v>
      </c>
      <c r="DT121" s="62">
        <f ca="1">AVERAGE(OFFSET($DS$3,0,0,'Données projet'!$E$14+1,1))-AVERAGE(OFFSET($H$3,0,0,'Données projet'!$E$14+1,1))</f>
        <v>416.72317068678774</v>
      </c>
      <c r="DU121" s="62">
        <f t="shared" si="98"/>
        <v>447.32457429495537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67.417028466856351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3.3333333333333313</v>
      </c>
      <c r="EJ121" s="13">
        <f>IF('Données projet'!$A$192&gt;35,EJ120+EI121-ER120,IF(A121&lt;'Données projet'!$A$192,$EG$205^A121,IF(A121='Données projet'!$A$192,'Données projet'!$B$192,EJ120+EI121-ER120)))</f>
        <v>293.97435897435906</v>
      </c>
      <c r="EK121" s="18">
        <f>EJ121*VLOOKUP('Données projet'!$B$15,Paramètres!$A$1:$I$89,3,0)*VLOOKUP('Données projet'!$B$15,Paramètres!$A$1:$I$89,5,0)</f>
        <v>279.74600000000009</v>
      </c>
      <c r="EL121" s="14">
        <f t="shared" si="99"/>
        <v>66.913328544573034</v>
      </c>
      <c r="EM121" s="22">
        <f t="shared" si="73"/>
        <v>603.76499721513153</v>
      </c>
      <c r="EN121" s="62">
        <f t="shared" si="74"/>
        <v>887.62743492693812</v>
      </c>
      <c r="EO121" s="62">
        <f ca="1">AVERAGE(OFFSET($EN$3,0,0,'Données projet'!$E$15+1,1))-AVERAGE(OFFSET($H$3,0,0,'Données projet'!$E$15+1,1))</f>
        <v>454.78867027701426</v>
      </c>
      <c r="EP121" s="62">
        <f t="shared" si="100"/>
        <v>366.45346303927056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0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67.417028466856351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>
        <f>FE121*VLOOKUP('Données projet'!$B$16,Paramètres!$A$1:$I$89,3,0)*VLOOKUP('Données projet'!$B$16,Paramètres!$A$1:$I$89,5,0)</f>
        <v>0</v>
      </c>
      <c r="FG121" s="14" t="e">
        <f t="shared" si="101"/>
        <v>#NUM!</v>
      </c>
      <c r="FH121" s="22" t="e">
        <f t="shared" si="76"/>
        <v>#NUM!</v>
      </c>
      <c r="FI121" s="62" t="e">
        <f t="shared" si="77"/>
        <v>#NUM!</v>
      </c>
      <c r="FJ121" s="62">
        <f ca="1">AVERAGE(OFFSET($FI$3,0,0,'Données projet'!$E$16+1,1))-AVERAGE(OFFSET($H$3,0,0,'Données projet'!$E$16+1,1))</f>
        <v>390.05579539539576</v>
      </c>
      <c r="FK121" s="62">
        <f t="shared" si="102"/>
        <v>323.72278615226139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projet'!$B$16,Paramètres!$A$1:$I$89,3,0)*0.475*44/12</f>
        <v>0</v>
      </c>
      <c r="FR121" s="23">
        <f>EXP(-LN(2)/25)*FR120+(1-EXP(-LN(2)/25))/(LN(2)/25)*Calculateur!FM121*Calculateur!FO121*VLOOKUP('Données projet'!$B$16,Paramètres!$A$1:$I$89,3,0)*0.475*44/12</f>
        <v>0</v>
      </c>
      <c r="FS121" s="23">
        <f>EXP(-LN(2)/2)*FS120+(1-EXP(-LN(2)/2))/(LN(2)/2)*FM121*FP121*VLOOKUP('Données projet'!$B$16,Paramètres!$A$1:$I$89,3,0)*0.475*44/12</f>
        <v>0</v>
      </c>
      <c r="FT121" s="24">
        <f t="shared" si="78"/>
        <v>0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67.417028466856351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4.5</v>
      </c>
      <c r="FZ121" s="13">
        <f>IF('Données projet'!$A$244&gt;35,FZ120+FY121-GH120,IF(A121&lt;'Données projet'!$A$244,$FW$205^A121,IF(A121='Données projet'!$A$244,'Données projet'!$B$244,FZ120+FY121-GH120)))</f>
        <v>342.99999999999977</v>
      </c>
      <c r="GA121" s="18">
        <f>FZ121*VLOOKUP('Données projet'!$B$17,Paramètres!$A$1:$I$89,3,0)*VLOOKUP('Données projet'!$B$17,Paramètres!$A$1:$I$89,5,0)</f>
        <v>331.74959999999976</v>
      </c>
      <c r="GB121" s="14">
        <f t="shared" si="103"/>
        <v>77.792932182102746</v>
      </c>
      <c r="GC121" s="22">
        <f t="shared" si="79"/>
        <v>713.28657688382839</v>
      </c>
      <c r="GD121" s="62">
        <f t="shared" si="80"/>
        <v>997.14901459563498</v>
      </c>
      <c r="GE121" s="62">
        <f ca="1">AVERAGE(OFFSET($GD$3,0,0,'Données projet'!$E$17+1,1))-AVERAGE(OFFSET($H$3,0,0,'Données projet'!$E$17+1,1))</f>
        <v>578.44111602076555</v>
      </c>
      <c r="GF121" s="62">
        <f t="shared" si="104"/>
        <v>368.08542661432784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>
        <f>EXP(-LN(2)/35)*GL120+(1-EXP(-LN(2)/35))/(LN(2)/35)*GH121*GI121*VLOOKUP('Données projet'!$B$17,Paramètres!$A$1:$I$89,3,0)*0.475*44/12</f>
        <v>0</v>
      </c>
      <c r="GM121" s="23">
        <f>EXP(-LN(2)/25)*GM120+(1-EXP(-LN(2)/25))/(LN(2)/25)*Calculateur!GH121*Calculateur!GJ121*VLOOKUP('Données projet'!$B$17,Paramètres!$A$1:$I$89,3,0)*0.475*44/12</f>
        <v>0</v>
      </c>
      <c r="GN121" s="23">
        <f>EXP(-LN(2)/2)*GN120+(1-EXP(-LN(2)/2))/(LN(2)/2)*GH121*GK121*VLOOKUP('Données projet'!$B$17,Paramètres!$A$1:$I$89,3,0)*0.475*44/12</f>
        <v>0</v>
      </c>
      <c r="GO121" s="23">
        <f t="shared" si="81"/>
        <v>0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67.417028466856351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4.0735000000000001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14.936166666666667</v>
      </c>
      <c r="H122" s="70">
        <f t="shared" si="56"/>
        <v>196.922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67.461837248297158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4.5</v>
      </c>
      <c r="N122" s="14">
        <f>IF('Données projet'!$A$36&gt;35,N121+M122-V121,IF(A122&lt;'Données projet'!$A$36,$K$205^A122,IF(A122='Données projet'!$A$36,'Données projet'!$B$36,N121+M122-V121)))</f>
        <v>347.49999999999977</v>
      </c>
      <c r="O122" s="14">
        <f>N122*VLOOKUP('Données projet'!$B$9,Paramètres!$A$1:$I$89,3,0)*VLOOKUP('Données projet'!$B$9,Paramètres!$A$1:$I$89,5,0)</f>
        <v>314.41799999999978</v>
      </c>
      <c r="P122" s="14">
        <f t="shared" si="87"/>
        <v>74.190723151497338</v>
      </c>
      <c r="Q122" s="22">
        <f t="shared" si="107"/>
        <v>676.82685948885739</v>
      </c>
      <c r="R122" s="62">
        <f t="shared" si="55"/>
        <v>960.85359606594693</v>
      </c>
      <c r="S122" s="62">
        <f ca="1">AVERAGE(OFFSET($R$3,0,0,'Données projet'!$E$9+1,1))-AVERAGE(OFFSET($H$3,0,0,'Données projet'!$E$9+1,1))</f>
        <v>546.11281471711925</v>
      </c>
      <c r="T122" s="62">
        <f t="shared" si="88"/>
        <v>348.18069831447099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67.461837248297158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6.4</v>
      </c>
      <c r="AI122" s="14">
        <f>IF('Données projet'!$A$62&gt;35,AI121+AH122-AQ121,IF(A122&lt;'Données projet'!$A$62,$AF$205^A122,IF(A122='Données projet'!$A$62,'Données projet'!$B$62,AI121+AH122-AQ121)))</f>
        <v>500.5999999999998</v>
      </c>
      <c r="AJ122" s="14">
        <f>AI122*VLOOKUP('Données projet'!$B$10,Paramètres!$A$1:$I$89,3,0)*VLOOKUP('Données projet'!$B$10,Paramètres!$A$1:$I$89,5,0)</f>
        <v>429.51479999999992</v>
      </c>
      <c r="AK122" s="14">
        <f t="shared" si="89"/>
        <v>97.735320911083633</v>
      </c>
      <c r="AL122" s="22">
        <f t="shared" si="58"/>
        <v>918.29396058680368</v>
      </c>
      <c r="AM122" s="62">
        <f t="shared" si="59"/>
        <v>1202.3206971638933</v>
      </c>
      <c r="AN122" s="62">
        <f ca="1">AVERAGE(OFFSET($AM$3,0,0,'Données projet'!$E$10+1,1))-AVERAGE(OFFSET($H$3,0,0,'Données projet'!$E$10+1,1))</f>
        <v>693.87994318348024</v>
      </c>
      <c r="AO122" s="62">
        <f t="shared" si="90"/>
        <v>327.71043739333641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67.461837248297158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4.5</v>
      </c>
      <c r="BD122" s="13">
        <f>IF('Données projet'!$A$88&gt;35,BD121+BC122-BL121,IF(A122&lt;'Données projet'!$A$88,$BA$205^A122,IF(A122='Données projet'!$A$88,'Données projet'!$B$88,BD121+BC122-BL121)))</f>
        <v>347.49999999999977</v>
      </c>
      <c r="BE122" s="14">
        <f>BD122*VLOOKUP('Données projet'!$B$11,Paramètres!$A$1:$I$89,3,0)*VLOOKUP('Données projet'!$B$11,Paramètres!$A$1:$I$89,5,0)</f>
        <v>292.73399999999987</v>
      </c>
      <c r="BF122" s="14">
        <f t="shared" si="91"/>
        <v>69.651064026395645</v>
      </c>
      <c r="BG122" s="22">
        <f t="shared" si="61"/>
        <v>631.15398651263888</v>
      </c>
      <c r="BH122" s="62">
        <f t="shared" si="62"/>
        <v>915.18072308972842</v>
      </c>
      <c r="BI122" s="62">
        <f ca="1">AVERAGE(OFFSET($BH$3,0,0,'Données projet'!$E$11+1,1))-AVERAGE(OFFSET($H$3,0,0,'Données projet'!$E$11+1,1))</f>
        <v>513.7388209355762</v>
      </c>
      <c r="BJ122" s="62">
        <f t="shared" si="92"/>
        <v>328.24603121433927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67.461837248297158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4.5474735088646412E-13</v>
      </c>
      <c r="BZ122" s="14">
        <f>BY122*VLOOKUP('Données projet'!$B$12,Paramètres!$A$1:$I$89,3,0)*VLOOKUP('Données projet'!$B$12,Paramètres!$A$1:$I$89,5,0)</f>
        <v>3.6179699236527089E-13</v>
      </c>
      <c r="CA122" s="14">
        <f t="shared" si="93"/>
        <v>4.6796319415916035E-12</v>
      </c>
      <c r="CB122" s="22">
        <f t="shared" si="64"/>
        <v>8.7804887266415556E-12</v>
      </c>
      <c r="CC122" s="62">
        <f t="shared" si="65"/>
        <v>284.02673657709835</v>
      </c>
      <c r="CD122" s="62">
        <f ca="1">AVERAGE(OFFSET($CC$3,0,0,'Données projet'!$E$12+1,1))-AVERAGE(OFFSET($H$3,0,0,'Données projet'!$E$12+1,1))</f>
        <v>447.25854887589878</v>
      </c>
      <c r="CE122" s="62">
        <f t="shared" si="94"/>
        <v>480.13390593590157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67.461837248297158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1.1368683772161603E-13</v>
      </c>
      <c r="CU122" s="18">
        <f>CT122*VLOOKUP('Données projet'!$B$13,Paramètres!$A$1:$I$89,3,0)*VLOOKUP('Données projet'!$B$13,Paramètres!$A$1:$I$89,5,0)</f>
        <v>8.8675733422860506E-14</v>
      </c>
      <c r="CV122" s="14">
        <f t="shared" si="95"/>
        <v>1.3509285393066301E-12</v>
      </c>
      <c r="CW122" s="22">
        <f t="shared" si="67"/>
        <v>2.5073107750038623E-12</v>
      </c>
      <c r="CX122" s="62">
        <f t="shared" si="68"/>
        <v>284.02673657709209</v>
      </c>
      <c r="CY122" s="62">
        <f ca="1">AVERAGE(OFFSET($CX$3,0,0,'Données projet'!$E$13+1,1))-AVERAGE(OFFSET($H$3,0,0,'Données projet'!$E$13+1,1))</f>
        <v>308.52515801950324</v>
      </c>
      <c r="CZ122" s="62">
        <f t="shared" si="96"/>
        <v>299.05420638408953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67.461837248297158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4.5474735088646412E-13</v>
      </c>
      <c r="DP122" s="18">
        <f>DO122*VLOOKUP('Données projet'!$B$14,Paramètres!$A$1:$I$89,3,0)*VLOOKUP('Données projet'!$B$14,Paramètres!$A$1:$I$89,5,0)</f>
        <v>3.3342075766995548E-13</v>
      </c>
      <c r="DQ122" s="14">
        <f t="shared" si="97"/>
        <v>4.3537988100583648E-12</v>
      </c>
      <c r="DR122" s="22">
        <f t="shared" si="70"/>
        <v>8.1635740804601579E-12</v>
      </c>
      <c r="DS122" s="62">
        <f t="shared" si="71"/>
        <v>284.02673657709778</v>
      </c>
      <c r="DT122" s="62">
        <f ca="1">AVERAGE(OFFSET($DS$3,0,0,'Données projet'!$E$14+1,1))-AVERAGE(OFFSET($H$3,0,0,'Données projet'!$E$14+1,1))</f>
        <v>416.72317068678774</v>
      </c>
      <c r="DU122" s="62">
        <f t="shared" si="98"/>
        <v>447.32457429495537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67.461837248297158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3.3333333333333313</v>
      </c>
      <c r="EJ122" s="13">
        <f>IF('Données projet'!$A$192&gt;35,EJ121+EI122-ER121,IF(A122&lt;'Données projet'!$A$192,$EG$205^A122,IF(A122='Données projet'!$A$192,'Données projet'!$B$192,EJ121+EI122-ER121)))</f>
        <v>297.30769230769238</v>
      </c>
      <c r="EK122" s="18">
        <f>EJ122*VLOOKUP('Données projet'!$B$15,Paramètres!$A$1:$I$89,3,0)*VLOOKUP('Données projet'!$B$15,Paramètres!$A$1:$I$89,5,0)</f>
        <v>282.91800000000012</v>
      </c>
      <c r="EL122" s="14">
        <f t="shared" si="99"/>
        <v>67.583293586861146</v>
      </c>
      <c r="EM122" s="22">
        <f t="shared" si="73"/>
        <v>610.45641966378332</v>
      </c>
      <c r="EN122" s="62">
        <f t="shared" si="74"/>
        <v>894.48315624087286</v>
      </c>
      <c r="EO122" s="62">
        <f ca="1">AVERAGE(OFFSET($EN$3,0,0,'Données projet'!$E$15+1,1))-AVERAGE(OFFSET($H$3,0,0,'Données projet'!$E$15+1,1))</f>
        <v>454.78867027701426</v>
      </c>
      <c r="EP122" s="62">
        <f t="shared" si="100"/>
        <v>366.45346303927056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0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67.461837248297158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>
        <f>FE122*VLOOKUP('Données projet'!$B$16,Paramètres!$A$1:$I$89,3,0)*VLOOKUP('Données projet'!$B$16,Paramètres!$A$1:$I$89,5,0)</f>
        <v>0</v>
      </c>
      <c r="FG122" s="14" t="e">
        <f t="shared" si="101"/>
        <v>#NUM!</v>
      </c>
      <c r="FH122" s="22" t="e">
        <f t="shared" si="76"/>
        <v>#NUM!</v>
      </c>
      <c r="FI122" s="62" t="e">
        <f t="shared" si="77"/>
        <v>#NUM!</v>
      </c>
      <c r="FJ122" s="62">
        <f ca="1">AVERAGE(OFFSET($FI$3,0,0,'Données projet'!$E$16+1,1))-AVERAGE(OFFSET($H$3,0,0,'Données projet'!$E$16+1,1))</f>
        <v>390.05579539539576</v>
      </c>
      <c r="FK122" s="62">
        <f t="shared" si="102"/>
        <v>323.72278615226139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projet'!$B$16,Paramètres!$A$1:$I$89,3,0)*0.475*44/12</f>
        <v>0</v>
      </c>
      <c r="FR122" s="23">
        <f>EXP(-LN(2)/25)*FR121+(1-EXP(-LN(2)/25))/(LN(2)/25)*Calculateur!FM122*Calculateur!FO122*VLOOKUP('Données projet'!$B$16,Paramètres!$A$1:$I$89,3,0)*0.475*44/12</f>
        <v>0</v>
      </c>
      <c r="FS122" s="23">
        <f>EXP(-LN(2)/2)*FS121+(1-EXP(-LN(2)/2))/(LN(2)/2)*FM122*FP122*VLOOKUP('Données projet'!$B$16,Paramètres!$A$1:$I$89,3,0)*0.475*44/12</f>
        <v>0</v>
      </c>
      <c r="FT122" s="24">
        <f t="shared" si="78"/>
        <v>0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67.461837248297158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4.5</v>
      </c>
      <c r="FZ122" s="13">
        <f>IF('Données projet'!$A$244&gt;35,FZ121+FY122-GH121,IF(A122&lt;'Données projet'!$A$244,$FW$205^A122,IF(A122='Données projet'!$A$244,'Données projet'!$B$244,FZ121+FY122-GH121)))</f>
        <v>347.49999999999977</v>
      </c>
      <c r="GA122" s="18">
        <f>FZ122*VLOOKUP('Données projet'!$B$17,Paramètres!$A$1:$I$89,3,0)*VLOOKUP('Données projet'!$B$17,Paramètres!$A$1:$I$89,5,0)</f>
        <v>336.10199999999975</v>
      </c>
      <c r="GB122" s="14">
        <f t="shared" si="103"/>
        <v>78.694055268111242</v>
      </c>
      <c r="GC122" s="22">
        <f t="shared" si="79"/>
        <v>722.4364629252932</v>
      </c>
      <c r="GD122" s="62">
        <f t="shared" si="80"/>
        <v>1006.4631995023828</v>
      </c>
      <c r="GE122" s="62">
        <f ca="1">AVERAGE(OFFSET($GD$3,0,0,'Données projet'!$E$17+1,1))-AVERAGE(OFFSET($H$3,0,0,'Données projet'!$E$17+1,1))</f>
        <v>578.44111602076555</v>
      </c>
      <c r="GF122" s="62">
        <f t="shared" si="104"/>
        <v>368.08542661432784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>
        <f>EXP(-LN(2)/35)*GL121+(1-EXP(-LN(2)/35))/(LN(2)/35)*GH122*GI122*VLOOKUP('Données projet'!$B$17,Paramètres!$A$1:$I$89,3,0)*0.475*44/12</f>
        <v>0</v>
      </c>
      <c r="GM122" s="23">
        <f>EXP(-LN(2)/25)*GM121+(1-EXP(-LN(2)/25))/(LN(2)/25)*Calculateur!GH122*Calculateur!GJ122*VLOOKUP('Données projet'!$B$17,Paramètres!$A$1:$I$89,3,0)*0.475*44/12</f>
        <v>0</v>
      </c>
      <c r="GN122" s="23">
        <f>EXP(-LN(2)/2)*GN121+(1-EXP(-LN(2)/2))/(LN(2)/2)*GH122*GK122*VLOOKUP('Données projet'!$B$17,Paramètres!$A$1:$I$89,3,0)*0.475*44/12</f>
        <v>0</v>
      </c>
      <c r="GO122" s="23">
        <f t="shared" si="81"/>
        <v>0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67.461837248297158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4.0735000000000001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14.936166666666667</v>
      </c>
      <c r="H123" s="70">
        <f t="shared" si="56"/>
        <v>196.922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67.505868697557389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352</v>
      </c>
      <c r="L123" s="13">
        <f>VLOOKUP(A123,'Données projet'!$A$35:$I$55,9,0)</f>
        <v>4.5</v>
      </c>
      <c r="M123" s="13">
        <f t="array" ref="M123">INDEX(L:L,MIN(IF(ISNUMBER(L123:L319),ROW(L123:L319),"")))</f>
        <v>4.5</v>
      </c>
      <c r="N123" s="14">
        <f>IF('Données projet'!$A$36&gt;35,N122+M123-V122,IF(A123&lt;'Données projet'!$A$36,$K$205^A123,IF(A123='Données projet'!$A$36,'Données projet'!$B$36,N122+M123-V122)))</f>
        <v>351.99999999999977</v>
      </c>
      <c r="O123" s="14">
        <f>N123*VLOOKUP('Données projet'!$B$9,Paramètres!$A$1:$I$89,3,0)*VLOOKUP('Données projet'!$B$9,Paramètres!$A$1:$I$89,5,0)</f>
        <v>318.48959999999977</v>
      </c>
      <c r="P123" s="14">
        <f t="shared" si="87"/>
        <v>75.038999086150227</v>
      </c>
      <c r="Q123" s="22">
        <f t="shared" si="107"/>
        <v>685.39564340837785</v>
      </c>
      <c r="R123" s="62">
        <f t="shared" si="55"/>
        <v>969.58382863275494</v>
      </c>
      <c r="S123" s="62">
        <f ca="1">AVERAGE(OFFSET($R$3,0,0,'Données projet'!$E$9+1,1))-AVERAGE(OFFSET($H$3,0,0,'Données projet'!$E$9+1,1))</f>
        <v>546.11281471711925</v>
      </c>
      <c r="T123" s="62">
        <f t="shared" si="88"/>
        <v>348.18069831447099</v>
      </c>
      <c r="U123" s="16">
        <f>IF(ISNA(VLOOKUP(A123,'Données projet'!$A$35:$I$55,3,0)),0,VLOOKUP(A123,'Données projet'!$A$35:$I$55,3,0))</f>
        <v>11</v>
      </c>
      <c r="V123" s="16">
        <f>IF(ISNA(VLOOKUP(A123,'Données projet'!$A$35:$I$55,4,0)),0,VLOOKUP(A123,'Données projet'!$A$35:$I$55,4,0))</f>
        <v>47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67.505868697557389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6.4</v>
      </c>
      <c r="AI123" s="14">
        <f>IF('Données projet'!$A$62&gt;35,AI122+AH123-AQ122,IF(A123&lt;'Données projet'!$A$62,$AF$205^A123,IF(A123='Données projet'!$A$62,'Données projet'!$B$62,AI122+AH123-AQ122)))</f>
        <v>506.99999999999977</v>
      </c>
      <c r="AJ123" s="14">
        <f>AI123*VLOOKUP('Données projet'!$B$10,Paramètres!$A$1:$I$89,3,0)*VLOOKUP('Données projet'!$B$10,Paramètres!$A$1:$I$89,5,0)</f>
        <v>435.00599999999986</v>
      </c>
      <c r="AK123" s="14">
        <f t="shared" si="89"/>
        <v>98.838572706512238</v>
      </c>
      <c r="AL123" s="22">
        <f t="shared" si="58"/>
        <v>929.77929746384177</v>
      </c>
      <c r="AM123" s="62">
        <f t="shared" si="59"/>
        <v>1213.9674826882188</v>
      </c>
      <c r="AN123" s="62">
        <f ca="1">AVERAGE(OFFSET($AM$3,0,0,'Données projet'!$E$10+1,1))-AVERAGE(OFFSET($H$3,0,0,'Données projet'!$E$10+1,1))</f>
        <v>693.87994318348024</v>
      </c>
      <c r="AO123" s="62">
        <f t="shared" si="90"/>
        <v>327.71043739333641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67.505868697557389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352</v>
      </c>
      <c r="BB123" s="13">
        <f>VLOOKUP(A123,'Données projet'!$A$87:$I$107,9,0)</f>
        <v>4.5</v>
      </c>
      <c r="BC123" s="13">
        <f t="array" ref="BC123">INDEX(BB:BB,MIN(IF(ISNUMBER(BB123:BB319),ROW(BB123:BB319),"")))</f>
        <v>4.5</v>
      </c>
      <c r="BD123" s="13">
        <f>IF('Données projet'!$A$88&gt;35,BD122+BC123-BL122,IF(A123&lt;'Données projet'!$A$88,$BA$205^A123,IF(A123='Données projet'!$A$88,'Données projet'!$B$88,BD122+BC123-BL122)))</f>
        <v>351.99999999999977</v>
      </c>
      <c r="BE123" s="14">
        <f>BD123*VLOOKUP('Données projet'!$B$11,Paramètres!$A$1:$I$89,3,0)*VLOOKUP('Données projet'!$B$11,Paramètres!$A$1:$I$89,5,0)</f>
        <v>296.52479999999986</v>
      </c>
      <c r="BF123" s="14">
        <f t="shared" si="91"/>
        <v>70.447434770968528</v>
      </c>
      <c r="BG123" s="22">
        <f t="shared" si="61"/>
        <v>639.14330889276994</v>
      </c>
      <c r="BH123" s="62">
        <f t="shared" si="62"/>
        <v>923.33149411714703</v>
      </c>
      <c r="BI123" s="62">
        <f ca="1">AVERAGE(OFFSET($BH$3,0,0,'Données projet'!$E$11+1,1))-AVERAGE(OFFSET($H$3,0,0,'Données projet'!$E$11+1,1))</f>
        <v>513.7388209355762</v>
      </c>
      <c r="BJ123" s="62">
        <f t="shared" si="92"/>
        <v>328.24603121433927</v>
      </c>
      <c r="BK123" s="16">
        <f>IF(ISNA(VLOOKUP(A123,'Données projet'!$A$87:$I$107,3,0)),0,VLOOKUP(A123,'Données projet'!$A$87:$I$107,3,0))</f>
        <v>11</v>
      </c>
      <c r="BL123" s="16">
        <f>IF(ISNA(VLOOKUP(A123,'Données projet'!$A$87:$I$107,4,0)),0,VLOOKUP(A123,'Données projet'!$A$87:$I$107,4,0))</f>
        <v>47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67.505868697557389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4.5474735088646412E-13</v>
      </c>
      <c r="BZ123" s="14">
        <f>BY123*VLOOKUP('Données projet'!$B$12,Paramètres!$A$1:$I$89,3,0)*VLOOKUP('Données projet'!$B$12,Paramètres!$A$1:$I$89,5,0)</f>
        <v>3.6179699236527089E-13</v>
      </c>
      <c r="CA123" s="14">
        <f t="shared" si="93"/>
        <v>4.6796319415916035E-12</v>
      </c>
      <c r="CB123" s="22">
        <f t="shared" si="64"/>
        <v>8.7804887266415556E-12</v>
      </c>
      <c r="CC123" s="62">
        <f t="shared" si="65"/>
        <v>284.18818522438585</v>
      </c>
      <c r="CD123" s="62">
        <f ca="1">AVERAGE(OFFSET($CC$3,0,0,'Données projet'!$E$12+1,1))-AVERAGE(OFFSET($H$3,0,0,'Données projet'!$E$12+1,1))</f>
        <v>447.25854887589878</v>
      </c>
      <c r="CE123" s="62">
        <f t="shared" si="94"/>
        <v>480.13390593590157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67.505868697557389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1.1368683772161603E-13</v>
      </c>
      <c r="CU123" s="18">
        <f>CT123*VLOOKUP('Données projet'!$B$13,Paramètres!$A$1:$I$89,3,0)*VLOOKUP('Données projet'!$B$13,Paramètres!$A$1:$I$89,5,0)</f>
        <v>8.8675733422860506E-14</v>
      </c>
      <c r="CV123" s="14">
        <f t="shared" si="95"/>
        <v>1.3509285393066301E-12</v>
      </c>
      <c r="CW123" s="22">
        <f t="shared" si="67"/>
        <v>2.5073107750038623E-12</v>
      </c>
      <c r="CX123" s="62">
        <f t="shared" si="68"/>
        <v>284.18818522437959</v>
      </c>
      <c r="CY123" s="62">
        <f ca="1">AVERAGE(OFFSET($CX$3,0,0,'Données projet'!$E$13+1,1))-AVERAGE(OFFSET($H$3,0,0,'Données projet'!$E$13+1,1))</f>
        <v>308.52515801950324</v>
      </c>
      <c r="CZ123" s="62">
        <f t="shared" si="96"/>
        <v>299.05420638408953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67.505868697557389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4.5474735088646412E-13</v>
      </c>
      <c r="DP123" s="18">
        <f>DO123*VLOOKUP('Données projet'!$B$14,Paramètres!$A$1:$I$89,3,0)*VLOOKUP('Données projet'!$B$14,Paramètres!$A$1:$I$89,5,0)</f>
        <v>3.3342075766995548E-13</v>
      </c>
      <c r="DQ123" s="14">
        <f t="shared" si="97"/>
        <v>4.3537988100583648E-12</v>
      </c>
      <c r="DR123" s="22">
        <f t="shared" si="70"/>
        <v>8.1635740804601579E-12</v>
      </c>
      <c r="DS123" s="62">
        <f t="shared" si="71"/>
        <v>284.18818522438528</v>
      </c>
      <c r="DT123" s="62">
        <f ca="1">AVERAGE(OFFSET($DS$3,0,0,'Données projet'!$E$14+1,1))-AVERAGE(OFFSET($H$3,0,0,'Données projet'!$E$14+1,1))</f>
        <v>416.72317068678774</v>
      </c>
      <c r="DU123" s="62">
        <f t="shared" si="98"/>
        <v>447.32457429495537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67.505868697557389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>
        <f>VLOOKUP(A123,'Données projet'!$A$191:$I$211,2,0)</f>
        <v>300.64102564102564</v>
      </c>
      <c r="EH123" s="13">
        <f>VLOOKUP(A123,'Données projet'!$A$191:$I$211,9,0)</f>
        <v>3.3333333333333313</v>
      </c>
      <c r="EI123" s="13">
        <f t="array" ref="EI123">INDEX(EH:EH,MIN(IF(ISNUMBER(EH123:EH319),ROW(EH123:EH319),"")))</f>
        <v>3.3333333333333313</v>
      </c>
      <c r="EJ123" s="13">
        <f>IF('Données projet'!$A$192&gt;35,EJ122+EI123-ER122,IF(A123&lt;'Données projet'!$A$192,$EG$205^A123,IF(A123='Données projet'!$A$192,'Données projet'!$B$192,EJ122+EI123-ER122)))</f>
        <v>300.64102564102569</v>
      </c>
      <c r="EK123" s="18">
        <f>EJ123*VLOOKUP('Données projet'!$B$15,Paramètres!$A$1:$I$89,3,0)*VLOOKUP('Données projet'!$B$15,Paramètres!$A$1:$I$89,5,0)</f>
        <v>286.09000000000003</v>
      </c>
      <c r="EL123" s="14">
        <f t="shared" si="99"/>
        <v>68.252384845349852</v>
      </c>
      <c r="EM123" s="22">
        <f t="shared" si="73"/>
        <v>617.14632027231767</v>
      </c>
      <c r="EN123" s="62">
        <f t="shared" si="74"/>
        <v>901.33450549669476</v>
      </c>
      <c r="EO123" s="62">
        <f ca="1">AVERAGE(OFFSET($EN$3,0,0,'Données projet'!$E$15+1,1))-AVERAGE(OFFSET($H$3,0,0,'Données projet'!$E$15+1,1))</f>
        <v>454.78867027701426</v>
      </c>
      <c r="EP123" s="62">
        <f t="shared" si="100"/>
        <v>366.45346303927056</v>
      </c>
      <c r="EQ123" s="16">
        <f>IF(ISNA(VLOOKUP(A123,'Données projet'!$A$191:$I$211,3,0)),0,VLOOKUP(A123,'Données projet'!$A$191:$I$211,3,0))</f>
        <v>11</v>
      </c>
      <c r="ER123" s="16">
        <f>IF(ISNA(VLOOKUP(A123,'Données projet'!$A$191:$I$211,4,0)),0,VLOOKUP(A123,'Données projet'!$A$191:$I$211,4,0))</f>
        <v>300.64102564102564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0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67.505868697557389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>
        <f>FE123*VLOOKUP('Données projet'!$B$16,Paramètres!$A$1:$I$89,3,0)*VLOOKUP('Données projet'!$B$16,Paramètres!$A$1:$I$89,5,0)</f>
        <v>0</v>
      </c>
      <c r="FG123" s="14" t="e">
        <f t="shared" si="101"/>
        <v>#NUM!</v>
      </c>
      <c r="FH123" s="22" t="e">
        <f t="shared" si="76"/>
        <v>#NUM!</v>
      </c>
      <c r="FI123" s="62" t="e">
        <f t="shared" si="77"/>
        <v>#NUM!</v>
      </c>
      <c r="FJ123" s="62">
        <f ca="1">AVERAGE(OFFSET($FI$3,0,0,'Données projet'!$E$16+1,1))-AVERAGE(OFFSET($H$3,0,0,'Données projet'!$E$16+1,1))</f>
        <v>390.05579539539576</v>
      </c>
      <c r="FK123" s="62">
        <f t="shared" si="102"/>
        <v>323.72278615226139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projet'!$B$16,Paramètres!$A$1:$I$89,3,0)*0.475*44/12</f>
        <v>0</v>
      </c>
      <c r="FR123" s="23">
        <f>EXP(-LN(2)/25)*FR122+(1-EXP(-LN(2)/25))/(LN(2)/25)*Calculateur!FM123*Calculateur!FO123*VLOOKUP('Données projet'!$B$16,Paramètres!$A$1:$I$89,3,0)*0.475*44/12</f>
        <v>0</v>
      </c>
      <c r="FS123" s="23">
        <f>EXP(-LN(2)/2)*FS122+(1-EXP(-LN(2)/2))/(LN(2)/2)*FM123*FP123*VLOOKUP('Données projet'!$B$16,Paramètres!$A$1:$I$89,3,0)*0.475*44/12</f>
        <v>0</v>
      </c>
      <c r="FT123" s="24">
        <f t="shared" si="78"/>
        <v>0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67.505868697557389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>
        <f>VLOOKUP(A123,'Données projet'!$A$243:$I$263,2,0)</f>
        <v>352</v>
      </c>
      <c r="FX123" s="13">
        <f>VLOOKUP(A123,'Données projet'!$A$243:$I$263,9,0)</f>
        <v>4.5</v>
      </c>
      <c r="FY123" s="13">
        <f t="array" ref="FY123">INDEX(FX:FX,MIN(IF(ISNUMBER(FX123:FX319),ROW(FX123:FX319),"")))</f>
        <v>4.5</v>
      </c>
      <c r="FZ123" s="13">
        <f>IF('Données projet'!$A$244&gt;35,FZ122+FY123-GH122,IF(A123&lt;'Données projet'!$A$244,$FW$205^A123,IF(A123='Données projet'!$A$244,'Données projet'!$B$244,FZ122+FY123-GH122)))</f>
        <v>351.99999999999977</v>
      </c>
      <c r="GA123" s="18">
        <f>FZ123*VLOOKUP('Données projet'!$B$17,Paramètres!$A$1:$I$89,3,0)*VLOOKUP('Données projet'!$B$17,Paramètres!$A$1:$I$89,5,0)</f>
        <v>340.45439999999979</v>
      </c>
      <c r="GB123" s="14">
        <f t="shared" si="103"/>
        <v>79.593821040010596</v>
      </c>
      <c r="GC123" s="22">
        <f t="shared" si="79"/>
        <v>731.58398497801807</v>
      </c>
      <c r="GD123" s="62">
        <f t="shared" si="80"/>
        <v>1015.7721702023952</v>
      </c>
      <c r="GE123" s="62">
        <f ca="1">AVERAGE(OFFSET($GD$3,0,0,'Données projet'!$E$17+1,1))-AVERAGE(OFFSET($H$3,0,0,'Données projet'!$E$17+1,1))</f>
        <v>578.44111602076555</v>
      </c>
      <c r="GF123" s="62">
        <f t="shared" si="104"/>
        <v>368.08542661432784</v>
      </c>
      <c r="GG123" s="16">
        <f>IF(ISNA(VLOOKUP(A123,'Données projet'!$A$243:$I$263,3,0)),0,VLOOKUP(A123,'Données projet'!$A$243:$I$263,3,0))</f>
        <v>11</v>
      </c>
      <c r="GH123" s="16">
        <f>IF(ISNA(VLOOKUP(A123,'Données projet'!$A$243:$I$263,4,0)),0,VLOOKUP(A123,'Données projet'!$A$243:$I$263,4,0))</f>
        <v>47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>
        <f>EXP(-LN(2)/35)*GL122+(1-EXP(-LN(2)/35))/(LN(2)/35)*GH123*GI123*VLOOKUP('Données projet'!$B$17,Paramètres!$A$1:$I$89,3,0)*0.475*44/12</f>
        <v>0</v>
      </c>
      <c r="GM123" s="23">
        <f>EXP(-LN(2)/25)*GM122+(1-EXP(-LN(2)/25))/(LN(2)/25)*Calculateur!GH123*Calculateur!GJ123*VLOOKUP('Données projet'!$B$17,Paramètres!$A$1:$I$89,3,0)*0.475*44/12</f>
        <v>0</v>
      </c>
      <c r="GN123" s="23">
        <f>EXP(-LN(2)/2)*GN122+(1-EXP(-LN(2)/2))/(LN(2)/2)*GH123*GK123*VLOOKUP('Données projet'!$B$17,Paramètres!$A$1:$I$89,3,0)*0.475*44/12</f>
        <v>0</v>
      </c>
      <c r="GO123" s="23">
        <f t="shared" si="81"/>
        <v>0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67.505868697557389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4.0735000000000001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14.936166666666667</v>
      </c>
      <c r="H124" s="70">
        <f t="shared" si="56"/>
        <v>196.922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67.549136299612528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4.0666666666666664</v>
      </c>
      <c r="N124" s="14">
        <f>IF('Données projet'!$A$36&gt;35,N123+M124-V123,IF(A124&lt;'Données projet'!$A$36,$K$205^A124,IF(A124='Données projet'!$A$36,'Données projet'!$B$36,N123+M124-V123)))</f>
        <v>309.06666666666644</v>
      </c>
      <c r="O124" s="14">
        <f>N124*VLOOKUP('Données projet'!$B$9,Paramètres!$A$1:$I$89,3,0)*VLOOKUP('Données projet'!$B$9,Paramètres!$A$1:$I$89,5,0)</f>
        <v>279.6435199999998</v>
      </c>
      <c r="P124" s="14">
        <f t="shared" si="87"/>
        <v>66.891668824822503</v>
      </c>
      <c r="Q124" s="22">
        <f t="shared" si="107"/>
        <v>603.54878720323211</v>
      </c>
      <c r="R124" s="62">
        <f t="shared" si="55"/>
        <v>887.89562030181139</v>
      </c>
      <c r="S124" s="62">
        <f ca="1">AVERAGE(OFFSET($R$3,0,0,'Données projet'!$E$9+1,1))-AVERAGE(OFFSET($H$3,0,0,'Données projet'!$E$9+1,1))</f>
        <v>546.11281471711925</v>
      </c>
      <c r="T124" s="62">
        <f t="shared" si="88"/>
        <v>348.18069831447099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67.549136299612528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6.4</v>
      </c>
      <c r="AI124" s="14">
        <f>IF('Données projet'!$A$62&gt;35,AI123+AH124-AQ123,IF(A124&lt;'Données projet'!$A$62,$AF$205^A124,IF(A124='Données projet'!$A$62,'Données projet'!$B$62,AI123+AH124-AQ123)))</f>
        <v>513.39999999999975</v>
      </c>
      <c r="AJ124" s="14">
        <f>AI124*VLOOKUP('Données projet'!$B$10,Paramètres!$A$1:$I$89,3,0)*VLOOKUP('Données projet'!$B$10,Paramètres!$A$1:$I$89,5,0)</f>
        <v>440.49719999999985</v>
      </c>
      <c r="AK124" s="14">
        <f t="shared" si="89"/>
        <v>99.94020458477064</v>
      </c>
      <c r="AL124" s="22">
        <f t="shared" si="58"/>
        <v>941.26181298514211</v>
      </c>
      <c r="AM124" s="62">
        <f t="shared" si="59"/>
        <v>1225.6086460837214</v>
      </c>
      <c r="AN124" s="62">
        <f ca="1">AVERAGE(OFFSET($AM$3,0,0,'Données projet'!$E$10+1,1))-AVERAGE(OFFSET($H$3,0,0,'Données projet'!$E$10+1,1))</f>
        <v>693.87994318348024</v>
      </c>
      <c r="AO124" s="62">
        <f t="shared" si="90"/>
        <v>327.71043739333641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67.549136299612528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4.0666666666666664</v>
      </c>
      <c r="BD124" s="13">
        <f>IF('Données projet'!$A$88&gt;35,BD123+BC124-BL123,IF(A124&lt;'Données projet'!$A$88,$BA$205^A124,IF(A124='Données projet'!$A$88,'Données projet'!$B$88,BD123+BC124-BL123)))</f>
        <v>309.06666666666644</v>
      </c>
      <c r="BE124" s="14">
        <f>BD124*VLOOKUP('Données projet'!$B$11,Paramètres!$A$1:$I$89,3,0)*VLOOKUP('Données projet'!$B$11,Paramètres!$A$1:$I$89,5,0)</f>
        <v>260.35775999999981</v>
      </c>
      <c r="BF124" s="14">
        <f t="shared" si="91"/>
        <v>62.798631826735743</v>
      </c>
      <c r="BG124" s="22">
        <f t="shared" si="61"/>
        <v>562.83071576489772</v>
      </c>
      <c r="BH124" s="62">
        <f t="shared" si="62"/>
        <v>847.177548863477</v>
      </c>
      <c r="BI124" s="62">
        <f ca="1">AVERAGE(OFFSET($BH$3,0,0,'Données projet'!$E$11+1,1))-AVERAGE(OFFSET($H$3,0,0,'Données projet'!$E$11+1,1))</f>
        <v>513.7388209355762</v>
      </c>
      <c r="BJ124" s="62">
        <f t="shared" si="92"/>
        <v>328.24603121433927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67.549136299612528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4.5474735088646412E-13</v>
      </c>
      <c r="BZ124" s="14">
        <f>BY124*VLOOKUP('Données projet'!$B$12,Paramètres!$A$1:$I$89,3,0)*VLOOKUP('Données projet'!$B$12,Paramètres!$A$1:$I$89,5,0)</f>
        <v>3.6179699236527089E-13</v>
      </c>
      <c r="CA124" s="14">
        <f t="shared" si="93"/>
        <v>4.6796319415916035E-12</v>
      </c>
      <c r="CB124" s="22">
        <f t="shared" si="64"/>
        <v>8.7804887266415556E-12</v>
      </c>
      <c r="CC124" s="62">
        <f t="shared" si="65"/>
        <v>284.34683309858804</v>
      </c>
      <c r="CD124" s="62">
        <f ca="1">AVERAGE(OFFSET($CC$3,0,0,'Données projet'!$E$12+1,1))-AVERAGE(OFFSET($H$3,0,0,'Données projet'!$E$12+1,1))</f>
        <v>447.25854887589878</v>
      </c>
      <c r="CE124" s="62">
        <f t="shared" si="94"/>
        <v>480.13390593590157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67.549136299612528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1.1368683772161603E-13</v>
      </c>
      <c r="CU124" s="18">
        <f>CT124*VLOOKUP('Données projet'!$B$13,Paramètres!$A$1:$I$89,3,0)*VLOOKUP('Données projet'!$B$13,Paramètres!$A$1:$I$89,5,0)</f>
        <v>8.8675733422860506E-14</v>
      </c>
      <c r="CV124" s="14">
        <f t="shared" si="95"/>
        <v>1.3509285393066301E-12</v>
      </c>
      <c r="CW124" s="22">
        <f t="shared" si="67"/>
        <v>2.5073107750038623E-12</v>
      </c>
      <c r="CX124" s="62">
        <f t="shared" si="68"/>
        <v>284.34683309858178</v>
      </c>
      <c r="CY124" s="62">
        <f ca="1">AVERAGE(OFFSET($CX$3,0,0,'Données projet'!$E$13+1,1))-AVERAGE(OFFSET($H$3,0,0,'Données projet'!$E$13+1,1))</f>
        <v>308.52515801950324</v>
      </c>
      <c r="CZ124" s="62">
        <f t="shared" si="96"/>
        <v>299.05420638408953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67.549136299612528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4.5474735088646412E-13</v>
      </c>
      <c r="DP124" s="18">
        <f>DO124*VLOOKUP('Données projet'!$B$14,Paramètres!$A$1:$I$89,3,0)*VLOOKUP('Données projet'!$B$14,Paramètres!$A$1:$I$89,5,0)</f>
        <v>3.3342075766995548E-13</v>
      </c>
      <c r="DQ124" s="14">
        <f t="shared" si="97"/>
        <v>4.3537988100583648E-12</v>
      </c>
      <c r="DR124" s="22">
        <f t="shared" si="70"/>
        <v>8.1635740804601579E-12</v>
      </c>
      <c r="DS124" s="62">
        <f t="shared" si="71"/>
        <v>284.34683309858747</v>
      </c>
      <c r="DT124" s="62">
        <f ca="1">AVERAGE(OFFSET($DS$3,0,0,'Données projet'!$E$14+1,1))-AVERAGE(OFFSET($H$3,0,0,'Données projet'!$E$14+1,1))</f>
        <v>416.72317068678774</v>
      </c>
      <c r="DU124" s="62">
        <f t="shared" si="98"/>
        <v>447.32457429495537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67.549136299612528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5.6843418860808015E-14</v>
      </c>
      <c r="EK124" s="18">
        <f>EJ124*VLOOKUP('Données projet'!$B$15,Paramètres!$A$1:$I$89,3,0)*VLOOKUP('Données projet'!$B$15,Paramètres!$A$1:$I$89,5,0)</f>
        <v>5.4092197387944907E-14</v>
      </c>
      <c r="EL124" s="14">
        <f t="shared" si="99"/>
        <v>8.7287050538073676E-13</v>
      </c>
      <c r="EM124" s="22">
        <f t="shared" si="73"/>
        <v>1.6144600406554537E-12</v>
      </c>
      <c r="EN124" s="62">
        <f t="shared" si="74"/>
        <v>284.34683309858087</v>
      </c>
      <c r="EO124" s="62">
        <f ca="1">AVERAGE(OFFSET($EN$3,0,0,'Données projet'!$E$15+1,1))-AVERAGE(OFFSET($H$3,0,0,'Données projet'!$E$15+1,1))</f>
        <v>454.78867027701426</v>
      </c>
      <c r="EP124" s="62">
        <f t="shared" si="100"/>
        <v>366.45346303927056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0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67.549136299612528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>
        <f>FE124*VLOOKUP('Données projet'!$B$16,Paramètres!$A$1:$I$89,3,0)*VLOOKUP('Données projet'!$B$16,Paramètres!$A$1:$I$89,5,0)</f>
        <v>0</v>
      </c>
      <c r="FG124" s="14" t="e">
        <f t="shared" si="101"/>
        <v>#NUM!</v>
      </c>
      <c r="FH124" s="22" t="e">
        <f t="shared" si="76"/>
        <v>#NUM!</v>
      </c>
      <c r="FI124" s="62" t="e">
        <f t="shared" si="77"/>
        <v>#NUM!</v>
      </c>
      <c r="FJ124" s="62">
        <f ca="1">AVERAGE(OFFSET($FI$3,0,0,'Données projet'!$E$16+1,1))-AVERAGE(OFFSET($H$3,0,0,'Données projet'!$E$16+1,1))</f>
        <v>390.05579539539576</v>
      </c>
      <c r="FK124" s="62">
        <f t="shared" si="102"/>
        <v>323.72278615226139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projet'!$B$16,Paramètres!$A$1:$I$89,3,0)*0.475*44/12</f>
        <v>0</v>
      </c>
      <c r="FR124" s="23">
        <f>EXP(-LN(2)/25)*FR123+(1-EXP(-LN(2)/25))/(LN(2)/25)*Calculateur!FM124*Calculateur!FO124*VLOOKUP('Données projet'!$B$16,Paramètres!$A$1:$I$89,3,0)*0.475*44/12</f>
        <v>0</v>
      </c>
      <c r="FS124" s="23">
        <f>EXP(-LN(2)/2)*FS123+(1-EXP(-LN(2)/2))/(LN(2)/2)*FM124*FP124*VLOOKUP('Données projet'!$B$16,Paramètres!$A$1:$I$89,3,0)*0.475*44/12</f>
        <v>0</v>
      </c>
      <c r="FT124" s="24">
        <f t="shared" si="78"/>
        <v>0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67.549136299612528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4.0666666666666664</v>
      </c>
      <c r="FZ124" s="13">
        <f>IF('Données projet'!$A$244&gt;35,FZ123+FY124-GH123,IF(A124&lt;'Données projet'!$A$244,$FW$205^A124,IF(A124='Données projet'!$A$244,'Données projet'!$B$244,FZ123+FY124-GH123)))</f>
        <v>309.06666666666644</v>
      </c>
      <c r="GA124" s="18">
        <f>FZ124*VLOOKUP('Données projet'!$B$17,Paramètres!$A$1:$I$89,3,0)*VLOOKUP('Données projet'!$B$17,Paramètres!$A$1:$I$89,5,0)</f>
        <v>298.92927999999978</v>
      </c>
      <c r="GB124" s="14">
        <f t="shared" si="103"/>
        <v>70.951952749237179</v>
      </c>
      <c r="GC124" s="22">
        <f t="shared" si="79"/>
        <v>644.20981370492098</v>
      </c>
      <c r="GD124" s="62">
        <f t="shared" si="80"/>
        <v>928.55664680350026</v>
      </c>
      <c r="GE124" s="62">
        <f ca="1">AVERAGE(OFFSET($GD$3,0,0,'Données projet'!$E$17+1,1))-AVERAGE(OFFSET($H$3,0,0,'Données projet'!$E$17+1,1))</f>
        <v>578.44111602076555</v>
      </c>
      <c r="GF124" s="62">
        <f t="shared" si="104"/>
        <v>368.08542661432784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>
        <f>EXP(-LN(2)/35)*GL123+(1-EXP(-LN(2)/35))/(LN(2)/35)*GH124*GI124*VLOOKUP('Données projet'!$B$17,Paramètres!$A$1:$I$89,3,0)*0.475*44/12</f>
        <v>0</v>
      </c>
      <c r="GM124" s="23">
        <f>EXP(-LN(2)/25)*GM123+(1-EXP(-LN(2)/25))/(LN(2)/25)*Calculateur!GH124*Calculateur!GJ124*VLOOKUP('Données projet'!$B$17,Paramètres!$A$1:$I$89,3,0)*0.475*44/12</f>
        <v>0</v>
      </c>
      <c r="GN124" s="23">
        <f>EXP(-LN(2)/2)*GN123+(1-EXP(-LN(2)/2))/(LN(2)/2)*GH124*GK124*VLOOKUP('Données projet'!$B$17,Paramètres!$A$1:$I$89,3,0)*0.475*44/12</f>
        <v>0</v>
      </c>
      <c r="GO124" s="23">
        <f t="shared" si="81"/>
        <v>0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67.549136299612528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4.0735000000000001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14.936166666666667</v>
      </c>
      <c r="H125" s="70">
        <f t="shared" si="56"/>
        <v>196.922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67.591653305503883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4.0666666666666664</v>
      </c>
      <c r="N125" s="14">
        <f>IF('Données projet'!$A$36&gt;35,N124+M125-V124,IF(A125&lt;'Données projet'!$A$36,$K$205^A125,IF(A125='Données projet'!$A$36,'Données projet'!$B$36,N124+M125-V124)))</f>
        <v>313.1333333333331</v>
      </c>
      <c r="O125" s="14">
        <f>N125*VLOOKUP('Données projet'!$B$9,Paramètres!$A$1:$I$89,3,0)*VLOOKUP('Données projet'!$B$9,Paramètres!$A$1:$I$89,5,0)</f>
        <v>283.32303999999976</v>
      </c>
      <c r="P125" s="14">
        <f t="shared" si="87"/>
        <v>67.66877982898842</v>
      </c>
      <c r="Q125" s="22">
        <f t="shared" si="107"/>
        <v>611.31075286882106</v>
      </c>
      <c r="R125" s="62">
        <f t="shared" si="55"/>
        <v>895.81348165566862</v>
      </c>
      <c r="S125" s="62">
        <f ca="1">AVERAGE(OFFSET($R$3,0,0,'Données projet'!$E$9+1,1))-AVERAGE(OFFSET($H$3,0,0,'Données projet'!$E$9+1,1))</f>
        <v>546.11281471711925</v>
      </c>
      <c r="T125" s="62">
        <f t="shared" si="88"/>
        <v>348.18069831447099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67.591653305503883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6.4</v>
      </c>
      <c r="AI125" s="14">
        <f>IF('Données projet'!$A$62&gt;35,AI124+AH125-AQ124,IF(A125&lt;'Données projet'!$A$62,$AF$205^A125,IF(A125='Données projet'!$A$62,'Données projet'!$B$62,AI124+AH125-AQ124)))</f>
        <v>519.79999999999973</v>
      </c>
      <c r="AJ125" s="14">
        <f>AI125*VLOOKUP('Données projet'!$B$10,Paramètres!$A$1:$I$89,3,0)*VLOOKUP('Données projet'!$B$10,Paramètres!$A$1:$I$89,5,0)</f>
        <v>445.98839999999984</v>
      </c>
      <c r="AK125" s="14">
        <f t="shared" si="89"/>
        <v>101.04023907498366</v>
      </c>
      <c r="AL125" s="22">
        <f t="shared" si="58"/>
        <v>952.74154638892969</v>
      </c>
      <c r="AM125" s="62">
        <f t="shared" si="59"/>
        <v>1237.2442751757771</v>
      </c>
      <c r="AN125" s="62">
        <f ca="1">AVERAGE(OFFSET($AM$3,0,0,'Données projet'!$E$10+1,1))-AVERAGE(OFFSET($H$3,0,0,'Données projet'!$E$10+1,1))</f>
        <v>693.87994318348024</v>
      </c>
      <c r="AO125" s="62">
        <f t="shared" si="90"/>
        <v>327.71043739333641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67.591653305503883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4.0666666666666664</v>
      </c>
      <c r="BD125" s="13">
        <f>IF('Données projet'!$A$88&gt;35,BD124+BC125-BL124,IF(A125&lt;'Données projet'!$A$88,$BA$205^A125,IF(A125='Données projet'!$A$88,'Données projet'!$B$88,BD124+BC125-BL124)))</f>
        <v>313.1333333333331</v>
      </c>
      <c r="BE125" s="14">
        <f>BD125*VLOOKUP('Données projet'!$B$11,Paramètres!$A$1:$I$89,3,0)*VLOOKUP('Données projet'!$B$11,Paramètres!$A$1:$I$89,5,0)</f>
        <v>263.78351999999978</v>
      </c>
      <c r="BF125" s="14">
        <f t="shared" si="91"/>
        <v>63.5281921545985</v>
      </c>
      <c r="BG125" s="22">
        <f t="shared" si="61"/>
        <v>570.06789866925862</v>
      </c>
      <c r="BH125" s="62">
        <f t="shared" si="62"/>
        <v>854.57062745610619</v>
      </c>
      <c r="BI125" s="62">
        <f ca="1">AVERAGE(OFFSET($BH$3,0,0,'Données projet'!$E$11+1,1))-AVERAGE(OFFSET($H$3,0,0,'Données projet'!$E$11+1,1))</f>
        <v>513.7388209355762</v>
      </c>
      <c r="BJ125" s="62">
        <f t="shared" si="92"/>
        <v>328.24603121433927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67.591653305503883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4.5474735088646412E-13</v>
      </c>
      <c r="BZ125" s="14">
        <f>BY125*VLOOKUP('Données projet'!$B$12,Paramètres!$A$1:$I$89,3,0)*VLOOKUP('Données projet'!$B$12,Paramètres!$A$1:$I$89,5,0)</f>
        <v>3.6179699236527089E-13</v>
      </c>
      <c r="CA125" s="14">
        <f t="shared" si="93"/>
        <v>4.6796319415916035E-12</v>
      </c>
      <c r="CB125" s="22">
        <f t="shared" si="64"/>
        <v>8.7804887266415556E-12</v>
      </c>
      <c r="CC125" s="62">
        <f t="shared" si="65"/>
        <v>284.50272878685632</v>
      </c>
      <c r="CD125" s="62">
        <f ca="1">AVERAGE(OFFSET($CC$3,0,0,'Données projet'!$E$12+1,1))-AVERAGE(OFFSET($H$3,0,0,'Données projet'!$E$12+1,1))</f>
        <v>447.25854887589878</v>
      </c>
      <c r="CE125" s="62">
        <f t="shared" si="94"/>
        <v>480.13390593590157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67.591653305503883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1.1368683772161603E-13</v>
      </c>
      <c r="CU125" s="18">
        <f>CT125*VLOOKUP('Données projet'!$B$13,Paramètres!$A$1:$I$89,3,0)*VLOOKUP('Données projet'!$B$13,Paramètres!$A$1:$I$89,5,0)</f>
        <v>8.8675733422860506E-14</v>
      </c>
      <c r="CV125" s="14">
        <f t="shared" si="95"/>
        <v>1.3509285393066301E-12</v>
      </c>
      <c r="CW125" s="22">
        <f t="shared" si="67"/>
        <v>2.5073107750038623E-12</v>
      </c>
      <c r="CX125" s="62">
        <f t="shared" si="68"/>
        <v>284.50272878685007</v>
      </c>
      <c r="CY125" s="62">
        <f ca="1">AVERAGE(OFFSET($CX$3,0,0,'Données projet'!$E$13+1,1))-AVERAGE(OFFSET($H$3,0,0,'Données projet'!$E$13+1,1))</f>
        <v>308.52515801950324</v>
      </c>
      <c r="CZ125" s="62">
        <f t="shared" si="96"/>
        <v>299.05420638408953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67.591653305503883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4.5474735088646412E-13</v>
      </c>
      <c r="DP125" s="18">
        <f>DO125*VLOOKUP('Données projet'!$B$14,Paramètres!$A$1:$I$89,3,0)*VLOOKUP('Données projet'!$B$14,Paramètres!$A$1:$I$89,5,0)</f>
        <v>3.3342075766995548E-13</v>
      </c>
      <c r="DQ125" s="14">
        <f t="shared" si="97"/>
        <v>4.3537988100583648E-12</v>
      </c>
      <c r="DR125" s="22">
        <f t="shared" si="70"/>
        <v>8.1635740804601579E-12</v>
      </c>
      <c r="DS125" s="62">
        <f t="shared" si="71"/>
        <v>284.50272878685576</v>
      </c>
      <c r="DT125" s="62">
        <f ca="1">AVERAGE(OFFSET($DS$3,0,0,'Données projet'!$E$14+1,1))-AVERAGE(OFFSET($H$3,0,0,'Données projet'!$E$14+1,1))</f>
        <v>416.72317068678774</v>
      </c>
      <c r="DU125" s="62">
        <f t="shared" si="98"/>
        <v>447.32457429495537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67.591653305503883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5.6843418860808015E-14</v>
      </c>
      <c r="EK125" s="18">
        <f>EJ125*VLOOKUP('Données projet'!$B$15,Paramètres!$A$1:$I$89,3,0)*VLOOKUP('Données projet'!$B$15,Paramètres!$A$1:$I$89,5,0)</f>
        <v>5.4092197387944907E-14</v>
      </c>
      <c r="EL125" s="14">
        <f t="shared" si="99"/>
        <v>8.7287050538073676E-13</v>
      </c>
      <c r="EM125" s="22">
        <f t="shared" si="73"/>
        <v>1.6144600406554537E-12</v>
      </c>
      <c r="EN125" s="62">
        <f t="shared" si="74"/>
        <v>284.50272878684916</v>
      </c>
      <c r="EO125" s="62">
        <f ca="1">AVERAGE(OFFSET($EN$3,0,0,'Données projet'!$E$15+1,1))-AVERAGE(OFFSET($H$3,0,0,'Données projet'!$E$15+1,1))</f>
        <v>454.78867027701426</v>
      </c>
      <c r="EP125" s="62">
        <f t="shared" si="100"/>
        <v>366.45346303927056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0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67.591653305503883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>
        <f>FE125*VLOOKUP('Données projet'!$B$16,Paramètres!$A$1:$I$89,3,0)*VLOOKUP('Données projet'!$B$16,Paramètres!$A$1:$I$89,5,0)</f>
        <v>0</v>
      </c>
      <c r="FG125" s="14" t="e">
        <f t="shared" si="101"/>
        <v>#NUM!</v>
      </c>
      <c r="FH125" s="22" t="e">
        <f t="shared" si="76"/>
        <v>#NUM!</v>
      </c>
      <c r="FI125" s="62" t="e">
        <f t="shared" si="77"/>
        <v>#NUM!</v>
      </c>
      <c r="FJ125" s="62">
        <f ca="1">AVERAGE(OFFSET($FI$3,0,0,'Données projet'!$E$16+1,1))-AVERAGE(OFFSET($H$3,0,0,'Données projet'!$E$16+1,1))</f>
        <v>390.05579539539576</v>
      </c>
      <c r="FK125" s="62">
        <f t="shared" si="102"/>
        <v>323.72278615226139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projet'!$B$16,Paramètres!$A$1:$I$89,3,0)*0.475*44/12</f>
        <v>0</v>
      </c>
      <c r="FR125" s="23">
        <f>EXP(-LN(2)/25)*FR124+(1-EXP(-LN(2)/25))/(LN(2)/25)*Calculateur!FM125*Calculateur!FO125*VLOOKUP('Données projet'!$B$16,Paramètres!$A$1:$I$89,3,0)*0.475*44/12</f>
        <v>0</v>
      </c>
      <c r="FS125" s="23">
        <f>EXP(-LN(2)/2)*FS124+(1-EXP(-LN(2)/2))/(LN(2)/2)*FM125*FP125*VLOOKUP('Données projet'!$B$16,Paramètres!$A$1:$I$89,3,0)*0.475*44/12</f>
        <v>0</v>
      </c>
      <c r="FT125" s="24">
        <f t="shared" si="78"/>
        <v>0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67.591653305503883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4.0666666666666664</v>
      </c>
      <c r="FZ125" s="13">
        <f>IF('Données projet'!$A$244&gt;35,FZ124+FY125-GH124,IF(A125&lt;'Données projet'!$A$244,$FW$205^A125,IF(A125='Données projet'!$A$244,'Données projet'!$B$244,FZ124+FY125-GH124)))</f>
        <v>313.1333333333331</v>
      </c>
      <c r="GA125" s="18">
        <f>FZ125*VLOOKUP('Données projet'!$B$17,Paramètres!$A$1:$I$89,3,0)*VLOOKUP('Données projet'!$B$17,Paramètres!$A$1:$I$89,5,0)</f>
        <v>302.86255999999975</v>
      </c>
      <c r="GB125" s="14">
        <f t="shared" si="103"/>
        <v>71.776233922321495</v>
      </c>
      <c r="GC125" s="22">
        <f t="shared" si="79"/>
        <v>652.49589941470958</v>
      </c>
      <c r="GD125" s="62">
        <f t="shared" si="80"/>
        <v>936.99862820155715</v>
      </c>
      <c r="GE125" s="62">
        <f ca="1">AVERAGE(OFFSET($GD$3,0,0,'Données projet'!$E$17+1,1))-AVERAGE(OFFSET($H$3,0,0,'Données projet'!$E$17+1,1))</f>
        <v>578.44111602076555</v>
      </c>
      <c r="GF125" s="62">
        <f t="shared" si="104"/>
        <v>368.08542661432784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>
        <f>EXP(-LN(2)/35)*GL124+(1-EXP(-LN(2)/35))/(LN(2)/35)*GH125*GI125*VLOOKUP('Données projet'!$B$17,Paramètres!$A$1:$I$89,3,0)*0.475*44/12</f>
        <v>0</v>
      </c>
      <c r="GM125" s="23">
        <f>EXP(-LN(2)/25)*GM124+(1-EXP(-LN(2)/25))/(LN(2)/25)*Calculateur!GH125*Calculateur!GJ125*VLOOKUP('Données projet'!$B$17,Paramètres!$A$1:$I$89,3,0)*0.475*44/12</f>
        <v>0</v>
      </c>
      <c r="GN125" s="23">
        <f>EXP(-LN(2)/2)*GN124+(1-EXP(-LN(2)/2))/(LN(2)/2)*GH125*GK125*VLOOKUP('Données projet'!$B$17,Paramètres!$A$1:$I$89,3,0)*0.475*44/12</f>
        <v>0</v>
      </c>
      <c r="GO125" s="23">
        <f t="shared" si="81"/>
        <v>0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67.591653305503883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4.0735000000000001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14.936166666666667</v>
      </c>
      <c r="H126" s="70">
        <f t="shared" si="56"/>
        <v>196.922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67.633432736396799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4.0666666666666664</v>
      </c>
      <c r="N126" s="14">
        <f>IF('Données projet'!$A$36&gt;35,N125+M126-V125,IF(A126&lt;'Données projet'!$A$36,$K$205^A126,IF(A126='Données projet'!$A$36,'Données projet'!$B$36,N125+M126-V125)))</f>
        <v>317.19999999999976</v>
      </c>
      <c r="O126" s="14">
        <f>N126*VLOOKUP('Données projet'!$B$9,Paramètres!$A$1:$I$89,3,0)*VLOOKUP('Données projet'!$B$9,Paramètres!$A$1:$I$89,5,0)</f>
        <v>287.00255999999979</v>
      </c>
      <c r="P126" s="14">
        <f t="shared" si="87"/>
        <v>68.444716936118553</v>
      </c>
      <c r="Q126" s="22">
        <f t="shared" si="107"/>
        <v>619.07067399707273</v>
      </c>
      <c r="R126" s="62">
        <f t="shared" si="55"/>
        <v>903.72659403052762</v>
      </c>
      <c r="S126" s="62">
        <f ca="1">AVERAGE(OFFSET($R$3,0,0,'Données projet'!$E$9+1,1))-AVERAGE(OFFSET($H$3,0,0,'Données projet'!$E$9+1,1))</f>
        <v>546.11281471711925</v>
      </c>
      <c r="T126" s="62">
        <f t="shared" si="88"/>
        <v>348.18069831447099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67.633432736396799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6.4</v>
      </c>
      <c r="AI126" s="14">
        <f>IF('Données projet'!$A$62&gt;35,AI125+AH126-AQ125,IF(A126&lt;'Données projet'!$A$62,$AF$205^A126,IF(A126='Données projet'!$A$62,'Données projet'!$B$62,AI125+AH126-AQ125)))</f>
        <v>526.1999999999997</v>
      </c>
      <c r="AJ126" s="14">
        <f>AI126*VLOOKUP('Données projet'!$B$10,Paramètres!$A$1:$I$89,3,0)*VLOOKUP('Données projet'!$B$10,Paramètres!$A$1:$I$89,5,0)</f>
        <v>451.47959999999978</v>
      </c>
      <c r="AK126" s="14">
        <f t="shared" si="89"/>
        <v>102.138698119588</v>
      </c>
      <c r="AL126" s="22">
        <f t="shared" si="58"/>
        <v>964.21853589161526</v>
      </c>
      <c r="AM126" s="62">
        <f t="shared" si="59"/>
        <v>1248.8744559250702</v>
      </c>
      <c r="AN126" s="62">
        <f ca="1">AVERAGE(OFFSET($AM$3,0,0,'Données projet'!$E$10+1,1))-AVERAGE(OFFSET($H$3,0,0,'Données projet'!$E$10+1,1))</f>
        <v>693.87994318348024</v>
      </c>
      <c r="AO126" s="62">
        <f t="shared" si="90"/>
        <v>327.71043739333641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67.633432736396799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4.0666666666666664</v>
      </c>
      <c r="BD126" s="13">
        <f>IF('Données projet'!$A$88&gt;35,BD125+BC126-BL125,IF(A126&lt;'Données projet'!$A$88,$BA$205^A126,IF(A126='Données projet'!$A$88,'Données projet'!$B$88,BD125+BC126-BL125)))</f>
        <v>317.19999999999976</v>
      </c>
      <c r="BE126" s="14">
        <f>BD126*VLOOKUP('Données projet'!$B$11,Paramètres!$A$1:$I$89,3,0)*VLOOKUP('Données projet'!$B$11,Paramètres!$A$1:$I$89,5,0)</f>
        <v>267.20927999999981</v>
      </c>
      <c r="BF126" s="14">
        <f t="shared" si="91"/>
        <v>64.256650415058019</v>
      </c>
      <c r="BG126" s="22">
        <f t="shared" si="61"/>
        <v>577.30316213955894</v>
      </c>
      <c r="BH126" s="62">
        <f t="shared" si="62"/>
        <v>861.95908217301394</v>
      </c>
      <c r="BI126" s="62">
        <f ca="1">AVERAGE(OFFSET($BH$3,0,0,'Données projet'!$E$11+1,1))-AVERAGE(OFFSET($H$3,0,0,'Données projet'!$E$11+1,1))</f>
        <v>513.7388209355762</v>
      </c>
      <c r="BJ126" s="62">
        <f t="shared" si="92"/>
        <v>328.24603121433927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67.633432736396799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4.5474735088646412E-13</v>
      </c>
      <c r="BZ126" s="14">
        <f>BY126*VLOOKUP('Données projet'!$B$12,Paramètres!$A$1:$I$89,3,0)*VLOOKUP('Données projet'!$B$12,Paramètres!$A$1:$I$89,5,0)</f>
        <v>3.6179699236527089E-13</v>
      </c>
      <c r="CA126" s="14">
        <f t="shared" si="93"/>
        <v>4.6796319415916035E-12</v>
      </c>
      <c r="CB126" s="22">
        <f t="shared" si="64"/>
        <v>8.7804887266415556E-12</v>
      </c>
      <c r="CC126" s="62">
        <f t="shared" si="65"/>
        <v>284.6559200334637</v>
      </c>
      <c r="CD126" s="62">
        <f ca="1">AVERAGE(OFFSET($CC$3,0,0,'Données projet'!$E$12+1,1))-AVERAGE(OFFSET($H$3,0,0,'Données projet'!$E$12+1,1))</f>
        <v>447.25854887589878</v>
      </c>
      <c r="CE126" s="62">
        <f t="shared" si="94"/>
        <v>480.13390593590157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67.633432736396799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1.1368683772161603E-13</v>
      </c>
      <c r="CU126" s="18">
        <f>CT126*VLOOKUP('Données projet'!$B$13,Paramètres!$A$1:$I$89,3,0)*VLOOKUP('Données projet'!$B$13,Paramètres!$A$1:$I$89,5,0)</f>
        <v>8.8675733422860506E-14</v>
      </c>
      <c r="CV126" s="14">
        <f t="shared" si="95"/>
        <v>1.3509285393066301E-12</v>
      </c>
      <c r="CW126" s="22">
        <f t="shared" si="67"/>
        <v>2.5073107750038623E-12</v>
      </c>
      <c r="CX126" s="62">
        <f t="shared" si="68"/>
        <v>284.65592003345745</v>
      </c>
      <c r="CY126" s="62">
        <f ca="1">AVERAGE(OFFSET($CX$3,0,0,'Données projet'!$E$13+1,1))-AVERAGE(OFFSET($H$3,0,0,'Données projet'!$E$13+1,1))</f>
        <v>308.52515801950324</v>
      </c>
      <c r="CZ126" s="62">
        <f t="shared" si="96"/>
        <v>299.05420638408953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67.633432736396799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4.5474735088646412E-13</v>
      </c>
      <c r="DP126" s="18">
        <f>DO126*VLOOKUP('Données projet'!$B$14,Paramètres!$A$1:$I$89,3,0)*VLOOKUP('Données projet'!$B$14,Paramètres!$A$1:$I$89,5,0)</f>
        <v>3.3342075766995548E-13</v>
      </c>
      <c r="DQ126" s="14">
        <f t="shared" si="97"/>
        <v>4.3537988100583648E-12</v>
      </c>
      <c r="DR126" s="22">
        <f t="shared" si="70"/>
        <v>8.1635740804601579E-12</v>
      </c>
      <c r="DS126" s="62">
        <f t="shared" si="71"/>
        <v>284.65592003346313</v>
      </c>
      <c r="DT126" s="62">
        <f ca="1">AVERAGE(OFFSET($DS$3,0,0,'Données projet'!$E$14+1,1))-AVERAGE(OFFSET($H$3,0,0,'Données projet'!$E$14+1,1))</f>
        <v>416.72317068678774</v>
      </c>
      <c r="DU126" s="62">
        <f t="shared" si="98"/>
        <v>447.32457429495537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67.633432736396799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5.6843418860808015E-14</v>
      </c>
      <c r="EK126" s="18">
        <f>EJ126*VLOOKUP('Données projet'!$B$15,Paramètres!$A$1:$I$89,3,0)*VLOOKUP('Données projet'!$B$15,Paramètres!$A$1:$I$89,5,0)</f>
        <v>5.4092197387944907E-14</v>
      </c>
      <c r="EL126" s="14">
        <f t="shared" si="99"/>
        <v>8.7287050538073676E-13</v>
      </c>
      <c r="EM126" s="22">
        <f t="shared" si="73"/>
        <v>1.6144600406554537E-12</v>
      </c>
      <c r="EN126" s="62">
        <f t="shared" si="74"/>
        <v>284.65592003345654</v>
      </c>
      <c r="EO126" s="62">
        <f ca="1">AVERAGE(OFFSET($EN$3,0,0,'Données projet'!$E$15+1,1))-AVERAGE(OFFSET($H$3,0,0,'Données projet'!$E$15+1,1))</f>
        <v>454.78867027701426</v>
      </c>
      <c r="EP126" s="62">
        <f t="shared" si="100"/>
        <v>366.45346303927056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0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67.633432736396799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>
        <f>FE126*VLOOKUP('Données projet'!$B$16,Paramètres!$A$1:$I$89,3,0)*VLOOKUP('Données projet'!$B$16,Paramètres!$A$1:$I$89,5,0)</f>
        <v>0</v>
      </c>
      <c r="FG126" s="14" t="e">
        <f t="shared" si="101"/>
        <v>#NUM!</v>
      </c>
      <c r="FH126" s="22" t="e">
        <f t="shared" si="76"/>
        <v>#NUM!</v>
      </c>
      <c r="FI126" s="62" t="e">
        <f t="shared" si="77"/>
        <v>#NUM!</v>
      </c>
      <c r="FJ126" s="62">
        <f ca="1">AVERAGE(OFFSET($FI$3,0,0,'Données projet'!$E$16+1,1))-AVERAGE(OFFSET($H$3,0,0,'Données projet'!$E$16+1,1))</f>
        <v>390.05579539539576</v>
      </c>
      <c r="FK126" s="62">
        <f t="shared" si="102"/>
        <v>323.72278615226139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projet'!$B$16,Paramètres!$A$1:$I$89,3,0)*0.475*44/12</f>
        <v>0</v>
      </c>
      <c r="FR126" s="23">
        <f>EXP(-LN(2)/25)*FR125+(1-EXP(-LN(2)/25))/(LN(2)/25)*Calculateur!FM126*Calculateur!FO126*VLOOKUP('Données projet'!$B$16,Paramètres!$A$1:$I$89,3,0)*0.475*44/12</f>
        <v>0</v>
      </c>
      <c r="FS126" s="23">
        <f>EXP(-LN(2)/2)*FS125+(1-EXP(-LN(2)/2))/(LN(2)/2)*FM126*FP126*VLOOKUP('Données projet'!$B$16,Paramètres!$A$1:$I$89,3,0)*0.475*44/12</f>
        <v>0</v>
      </c>
      <c r="FT126" s="24">
        <f t="shared" si="78"/>
        <v>0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67.633432736396799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4.0666666666666664</v>
      </c>
      <c r="FZ126" s="13">
        <f>IF('Données projet'!$A$244&gt;35,FZ125+FY126-GH125,IF(A126&lt;'Données projet'!$A$244,$FW$205^A126,IF(A126='Données projet'!$A$244,'Données projet'!$B$244,FZ125+FY126-GH125)))</f>
        <v>317.19999999999976</v>
      </c>
      <c r="GA126" s="18">
        <f>FZ126*VLOOKUP('Données projet'!$B$17,Paramètres!$A$1:$I$89,3,0)*VLOOKUP('Données projet'!$B$17,Paramètres!$A$1:$I$89,5,0)</f>
        <v>306.79583999999977</v>
      </c>
      <c r="GB126" s="14">
        <f t="shared" si="103"/>
        <v>72.599269943528483</v>
      </c>
      <c r="GC126" s="22">
        <f t="shared" si="79"/>
        <v>660.77981648497837</v>
      </c>
      <c r="GD126" s="62">
        <f t="shared" si="80"/>
        <v>945.43573651843326</v>
      </c>
      <c r="GE126" s="62">
        <f ca="1">AVERAGE(OFFSET($GD$3,0,0,'Données projet'!$E$17+1,1))-AVERAGE(OFFSET($H$3,0,0,'Données projet'!$E$17+1,1))</f>
        <v>578.44111602076555</v>
      </c>
      <c r="GF126" s="62">
        <f t="shared" si="104"/>
        <v>368.08542661432784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>
        <f>EXP(-LN(2)/35)*GL125+(1-EXP(-LN(2)/35))/(LN(2)/35)*GH126*GI126*VLOOKUP('Données projet'!$B$17,Paramètres!$A$1:$I$89,3,0)*0.475*44/12</f>
        <v>0</v>
      </c>
      <c r="GM126" s="23">
        <f>EXP(-LN(2)/25)*GM125+(1-EXP(-LN(2)/25))/(LN(2)/25)*Calculateur!GH126*Calculateur!GJ126*VLOOKUP('Données projet'!$B$17,Paramètres!$A$1:$I$89,3,0)*0.475*44/12</f>
        <v>0</v>
      </c>
      <c r="GN126" s="23">
        <f>EXP(-LN(2)/2)*GN125+(1-EXP(-LN(2)/2))/(LN(2)/2)*GH126*GK126*VLOOKUP('Données projet'!$B$17,Paramètres!$A$1:$I$89,3,0)*0.475*44/12</f>
        <v>0</v>
      </c>
      <c r="GO126" s="23">
        <f t="shared" si="81"/>
        <v>0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67.633432736396799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4.0735000000000001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14.936166666666667</v>
      </c>
      <c r="H127" s="70">
        <f t="shared" si="56"/>
        <v>196.922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67.674487387568547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4.0666666666666664</v>
      </c>
      <c r="N127" s="14">
        <f>IF('Données projet'!$A$36&gt;35,N126+M127-V126,IF(A127&lt;'Données projet'!$A$36,$K$205^A127,IF(A127='Données projet'!$A$36,'Données projet'!$B$36,N126+M127-V126)))</f>
        <v>321.26666666666642</v>
      </c>
      <c r="O127" s="14">
        <f>N127*VLOOKUP('Données projet'!$B$9,Paramètres!$A$1:$I$89,3,0)*VLOOKUP('Données projet'!$B$9,Paramètres!$A$1:$I$89,5,0)</f>
        <v>290.68207999999976</v>
      </c>
      <c r="P127" s="14">
        <f t="shared" si="87"/>
        <v>69.219496936385212</v>
      </c>
      <c r="Q127" s="22">
        <f t="shared" si="107"/>
        <v>626.82857983087058</v>
      </c>
      <c r="R127" s="62">
        <f t="shared" si="55"/>
        <v>911.63503358528851</v>
      </c>
      <c r="S127" s="62">
        <f ca="1">AVERAGE(OFFSET($R$3,0,0,'Données projet'!$E$9+1,1))-AVERAGE(OFFSET($H$3,0,0,'Données projet'!$E$9+1,1))</f>
        <v>546.11281471711925</v>
      </c>
      <c r="T127" s="62">
        <f t="shared" si="88"/>
        <v>348.18069831447099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67.674487387568547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6.4</v>
      </c>
      <c r="AI127" s="14">
        <f>IF('Données projet'!$A$62&gt;35,AI126+AH127-AQ126,IF(A127&lt;'Données projet'!$A$62,$AF$205^A127,IF(A127='Données projet'!$A$62,'Données projet'!$B$62,AI126+AH127-AQ126)))</f>
        <v>532.59999999999968</v>
      </c>
      <c r="AJ127" s="14">
        <f>AI127*VLOOKUP('Données projet'!$B$10,Paramètres!$A$1:$I$89,3,0)*VLOOKUP('Données projet'!$B$10,Paramètres!$A$1:$I$89,5,0)</f>
        <v>456.97079999999977</v>
      </c>
      <c r="AK127" s="14">
        <f t="shared" si="89"/>
        <v>103.23560309655628</v>
      </c>
      <c r="AL127" s="22">
        <f t="shared" si="58"/>
        <v>975.69281872650174</v>
      </c>
      <c r="AM127" s="62">
        <f t="shared" si="59"/>
        <v>1260.4992724809197</v>
      </c>
      <c r="AN127" s="62">
        <f ca="1">AVERAGE(OFFSET($AM$3,0,0,'Données projet'!$E$10+1,1))-AVERAGE(OFFSET($H$3,0,0,'Données projet'!$E$10+1,1))</f>
        <v>693.87994318348024</v>
      </c>
      <c r="AO127" s="62">
        <f t="shared" si="90"/>
        <v>327.71043739333641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67.674487387568547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4.0666666666666664</v>
      </c>
      <c r="BD127" s="13">
        <f>IF('Données projet'!$A$88&gt;35,BD126+BC127-BL126,IF(A127&lt;'Données projet'!$A$88,$BA$205^A127,IF(A127='Données projet'!$A$88,'Données projet'!$B$88,BD126+BC127-BL126)))</f>
        <v>321.26666666666642</v>
      </c>
      <c r="BE127" s="14">
        <f>BD127*VLOOKUP('Données projet'!$B$11,Paramètres!$A$1:$I$89,3,0)*VLOOKUP('Données projet'!$B$11,Paramètres!$A$1:$I$89,5,0)</f>
        <v>270.63503999999978</v>
      </c>
      <c r="BF127" s="14">
        <f t="shared" si="91"/>
        <v>64.984022370912228</v>
      </c>
      <c r="BG127" s="22">
        <f t="shared" si="61"/>
        <v>584.53653362933835</v>
      </c>
      <c r="BH127" s="62">
        <f t="shared" si="62"/>
        <v>869.34298738375628</v>
      </c>
      <c r="BI127" s="62">
        <f ca="1">AVERAGE(OFFSET($BH$3,0,0,'Données projet'!$E$11+1,1))-AVERAGE(OFFSET($H$3,0,0,'Données projet'!$E$11+1,1))</f>
        <v>513.7388209355762</v>
      </c>
      <c r="BJ127" s="62">
        <f t="shared" si="92"/>
        <v>328.24603121433927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67.674487387568547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4.5474735088646412E-13</v>
      </c>
      <c r="BZ127" s="14">
        <f>BY127*VLOOKUP('Données projet'!$B$12,Paramètres!$A$1:$I$89,3,0)*VLOOKUP('Données projet'!$B$12,Paramètres!$A$1:$I$89,5,0)</f>
        <v>3.6179699236527089E-13</v>
      </c>
      <c r="CA127" s="14">
        <f t="shared" si="93"/>
        <v>4.6796319415916035E-12</v>
      </c>
      <c r="CB127" s="22">
        <f t="shared" si="64"/>
        <v>8.7804887266415556E-12</v>
      </c>
      <c r="CC127" s="62">
        <f t="shared" si="65"/>
        <v>284.80645375442674</v>
      </c>
      <c r="CD127" s="62">
        <f ca="1">AVERAGE(OFFSET($CC$3,0,0,'Données projet'!$E$12+1,1))-AVERAGE(OFFSET($H$3,0,0,'Données projet'!$E$12+1,1))</f>
        <v>447.25854887589878</v>
      </c>
      <c r="CE127" s="62">
        <f t="shared" si="94"/>
        <v>480.13390593590157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67.674487387568547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1.1368683772161603E-13</v>
      </c>
      <c r="CU127" s="18">
        <f>CT127*VLOOKUP('Données projet'!$B$13,Paramètres!$A$1:$I$89,3,0)*VLOOKUP('Données projet'!$B$13,Paramètres!$A$1:$I$89,5,0)</f>
        <v>8.8675733422860506E-14</v>
      </c>
      <c r="CV127" s="14">
        <f t="shared" si="95"/>
        <v>1.3509285393066301E-12</v>
      </c>
      <c r="CW127" s="22">
        <f t="shared" si="67"/>
        <v>2.5073107750038623E-12</v>
      </c>
      <c r="CX127" s="62">
        <f t="shared" si="68"/>
        <v>284.80645375442049</v>
      </c>
      <c r="CY127" s="62">
        <f ca="1">AVERAGE(OFFSET($CX$3,0,0,'Données projet'!$E$13+1,1))-AVERAGE(OFFSET($H$3,0,0,'Données projet'!$E$13+1,1))</f>
        <v>308.52515801950324</v>
      </c>
      <c r="CZ127" s="62">
        <f t="shared" si="96"/>
        <v>299.05420638408953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67.674487387568547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4.5474735088646412E-13</v>
      </c>
      <c r="DP127" s="18">
        <f>DO127*VLOOKUP('Données projet'!$B$14,Paramètres!$A$1:$I$89,3,0)*VLOOKUP('Données projet'!$B$14,Paramètres!$A$1:$I$89,5,0)</f>
        <v>3.3342075766995548E-13</v>
      </c>
      <c r="DQ127" s="14">
        <f t="shared" si="97"/>
        <v>4.3537988100583648E-12</v>
      </c>
      <c r="DR127" s="22">
        <f t="shared" si="70"/>
        <v>8.1635740804601579E-12</v>
      </c>
      <c r="DS127" s="62">
        <f t="shared" si="71"/>
        <v>284.80645375442617</v>
      </c>
      <c r="DT127" s="62">
        <f ca="1">AVERAGE(OFFSET($DS$3,0,0,'Données projet'!$E$14+1,1))-AVERAGE(OFFSET($H$3,0,0,'Données projet'!$E$14+1,1))</f>
        <v>416.72317068678774</v>
      </c>
      <c r="DU127" s="62">
        <f t="shared" si="98"/>
        <v>447.32457429495537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67.674487387568547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5.6843418860808015E-14</v>
      </c>
      <c r="EK127" s="18">
        <f>EJ127*VLOOKUP('Données projet'!$B$15,Paramètres!$A$1:$I$89,3,0)*VLOOKUP('Données projet'!$B$15,Paramètres!$A$1:$I$89,5,0)</f>
        <v>5.4092197387944907E-14</v>
      </c>
      <c r="EL127" s="14">
        <f t="shared" si="99"/>
        <v>8.7287050538073676E-13</v>
      </c>
      <c r="EM127" s="22">
        <f t="shared" si="73"/>
        <v>1.6144600406554537E-12</v>
      </c>
      <c r="EN127" s="62">
        <f t="shared" si="74"/>
        <v>284.80645375441958</v>
      </c>
      <c r="EO127" s="62">
        <f ca="1">AVERAGE(OFFSET($EN$3,0,0,'Données projet'!$E$15+1,1))-AVERAGE(OFFSET($H$3,0,0,'Données projet'!$E$15+1,1))</f>
        <v>454.78867027701426</v>
      </c>
      <c r="EP127" s="62">
        <f t="shared" si="100"/>
        <v>366.45346303927056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0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67.674487387568547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>
        <f>FE127*VLOOKUP('Données projet'!$B$16,Paramètres!$A$1:$I$89,3,0)*VLOOKUP('Données projet'!$B$16,Paramètres!$A$1:$I$89,5,0)</f>
        <v>0</v>
      </c>
      <c r="FG127" s="14" t="e">
        <f t="shared" si="101"/>
        <v>#NUM!</v>
      </c>
      <c r="FH127" s="22" t="e">
        <f t="shared" si="76"/>
        <v>#NUM!</v>
      </c>
      <c r="FI127" s="62" t="e">
        <f t="shared" si="77"/>
        <v>#NUM!</v>
      </c>
      <c r="FJ127" s="62">
        <f ca="1">AVERAGE(OFFSET($FI$3,0,0,'Données projet'!$E$16+1,1))-AVERAGE(OFFSET($H$3,0,0,'Données projet'!$E$16+1,1))</f>
        <v>390.05579539539576</v>
      </c>
      <c r="FK127" s="62">
        <f t="shared" si="102"/>
        <v>323.72278615226139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projet'!$B$16,Paramètres!$A$1:$I$89,3,0)*0.475*44/12</f>
        <v>0</v>
      </c>
      <c r="FR127" s="23">
        <f>EXP(-LN(2)/25)*FR126+(1-EXP(-LN(2)/25))/(LN(2)/25)*Calculateur!FM127*Calculateur!FO127*VLOOKUP('Données projet'!$B$16,Paramètres!$A$1:$I$89,3,0)*0.475*44/12</f>
        <v>0</v>
      </c>
      <c r="FS127" s="23">
        <f>EXP(-LN(2)/2)*FS126+(1-EXP(-LN(2)/2))/(LN(2)/2)*FM127*FP127*VLOOKUP('Données projet'!$B$16,Paramètres!$A$1:$I$89,3,0)*0.475*44/12</f>
        <v>0</v>
      </c>
      <c r="FT127" s="24">
        <f t="shared" si="78"/>
        <v>0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67.674487387568547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4.0666666666666664</v>
      </c>
      <c r="FZ127" s="13">
        <f>IF('Données projet'!$A$244&gt;35,FZ126+FY127-GH126,IF(A127&lt;'Données projet'!$A$244,$FW$205^A127,IF(A127='Données projet'!$A$244,'Données projet'!$B$244,FZ126+FY127-GH126)))</f>
        <v>321.26666666666642</v>
      </c>
      <c r="GA127" s="18">
        <f>FZ127*VLOOKUP('Données projet'!$B$17,Paramètres!$A$1:$I$89,3,0)*VLOOKUP('Données projet'!$B$17,Paramètres!$A$1:$I$89,5,0)</f>
        <v>310.72911999999974</v>
      </c>
      <c r="GB127" s="14">
        <f t="shared" si="103"/>
        <v>73.421078622183757</v>
      </c>
      <c r="GC127" s="22">
        <f t="shared" si="79"/>
        <v>669.06159593363623</v>
      </c>
      <c r="GD127" s="62">
        <f t="shared" si="80"/>
        <v>953.86804968805427</v>
      </c>
      <c r="GE127" s="62">
        <f ca="1">AVERAGE(OFFSET($GD$3,0,0,'Données projet'!$E$17+1,1))-AVERAGE(OFFSET($H$3,0,0,'Données projet'!$E$17+1,1))</f>
        <v>578.44111602076555</v>
      </c>
      <c r="GF127" s="62">
        <f t="shared" si="104"/>
        <v>368.08542661432784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>
        <f>EXP(-LN(2)/35)*GL126+(1-EXP(-LN(2)/35))/(LN(2)/35)*GH127*GI127*VLOOKUP('Données projet'!$B$17,Paramètres!$A$1:$I$89,3,0)*0.475*44/12</f>
        <v>0</v>
      </c>
      <c r="GM127" s="23">
        <f>EXP(-LN(2)/25)*GM126+(1-EXP(-LN(2)/25))/(LN(2)/25)*Calculateur!GH127*Calculateur!GJ127*VLOOKUP('Données projet'!$B$17,Paramètres!$A$1:$I$89,3,0)*0.475*44/12</f>
        <v>0</v>
      </c>
      <c r="GN127" s="23">
        <f>EXP(-LN(2)/2)*GN126+(1-EXP(-LN(2)/2))/(LN(2)/2)*GH127*GK127*VLOOKUP('Données projet'!$B$17,Paramètres!$A$1:$I$89,3,0)*0.475*44/12</f>
        <v>0</v>
      </c>
      <c r="GO127" s="23">
        <f t="shared" si="81"/>
        <v>0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67.674487387568547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4.0735000000000001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14.936166666666667</v>
      </c>
      <c r="H128" s="70">
        <f t="shared" si="56"/>
        <v>196.922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67.714829832326899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4.0666666666666664</v>
      </c>
      <c r="N128" s="14">
        <f>IF('Données projet'!$A$36&gt;35,N127+M128-V127,IF(A128&lt;'Données projet'!$A$36,$K$205^A128,IF(A128='Données projet'!$A$36,'Données projet'!$B$36,N127+M128-V127)))</f>
        <v>325.33333333333309</v>
      </c>
      <c r="O128" s="14">
        <f>N128*VLOOKUP('Données projet'!$B$9,Paramètres!$A$1:$I$89,3,0)*VLOOKUP('Données projet'!$B$9,Paramètres!$A$1:$I$89,5,0)</f>
        <v>294.36159999999978</v>
      </c>
      <c r="P128" s="14">
        <f t="shared" si="87"/>
        <v>69.993136170449532</v>
      </c>
      <c r="Q128" s="22">
        <f t="shared" si="107"/>
        <v>634.58449883019921</v>
      </c>
      <c r="R128" s="62">
        <f t="shared" si="55"/>
        <v>919.53887488206442</v>
      </c>
      <c r="S128" s="62">
        <f ca="1">AVERAGE(OFFSET($R$3,0,0,'Données projet'!$E$9+1,1))-AVERAGE(OFFSET($H$3,0,0,'Données projet'!$E$9+1,1))</f>
        <v>546.11281471711925</v>
      </c>
      <c r="T128" s="62">
        <f t="shared" si="88"/>
        <v>348.18069831447099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67.714829832326899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>
        <f>VLOOKUP(A128,'Données projet'!$A$61:$I$81,2,0)</f>
        <v>539</v>
      </c>
      <c r="AG128" s="13">
        <f>VLOOKUP(A128,'Données projet'!$A$61:$I$81,9,0)</f>
        <v>6.4</v>
      </c>
      <c r="AH128" s="13">
        <f t="array" ref="AH128">INDEX(AG:AG,MIN(IF(ISNUMBER(AG128:AG324),ROW(AG128:AG324),"")))</f>
        <v>6.4</v>
      </c>
      <c r="AI128" s="14">
        <f>IF('Données projet'!$A$62&gt;35,AI127+AH128-AQ127,IF(A128&lt;'Données projet'!$A$62,$AF$205^A128,IF(A128='Données projet'!$A$62,'Données projet'!$B$62,AI127+AH128-AQ127)))</f>
        <v>538.99999999999966</v>
      </c>
      <c r="AJ128" s="14">
        <f>AI128*VLOOKUP('Données projet'!$B$10,Paramètres!$A$1:$I$89,3,0)*VLOOKUP('Données projet'!$B$10,Paramètres!$A$1:$I$89,5,0)</f>
        <v>462.4619999999997</v>
      </c>
      <c r="AK128" s="14">
        <f t="shared" si="89"/>
        <v>104.33097484052273</v>
      </c>
      <c r="AL128" s="22">
        <f t="shared" si="58"/>
        <v>987.16443118057657</v>
      </c>
      <c r="AM128" s="62">
        <f t="shared" si="59"/>
        <v>1272.1188072324419</v>
      </c>
      <c r="AN128" s="62">
        <f ca="1">AVERAGE(OFFSET($AM$3,0,0,'Données projet'!$E$10+1,1))-AVERAGE(OFFSET($H$3,0,0,'Données projet'!$E$10+1,1))</f>
        <v>693.87994318348024</v>
      </c>
      <c r="AO128" s="62">
        <f t="shared" si="90"/>
        <v>327.71043739333641</v>
      </c>
      <c r="AP128" s="16">
        <f>IF(ISNA(VLOOKUP(A128,'Données projet'!$A$61:$I$81,3,0)),0,VLOOKUP(A128,'Données projet'!$A$61:$I$81,3,0))</f>
        <v>11</v>
      </c>
      <c r="AQ128" s="16">
        <f>IF(ISNA(VLOOKUP(A128,'Données projet'!$A$61:$I$81,4,0)),0,VLOOKUP(A128,'Données projet'!$A$61:$I$81,4,0))</f>
        <v>51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67.714829832326899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4.0666666666666664</v>
      </c>
      <c r="BD128" s="13">
        <f>IF('Données projet'!$A$88&gt;35,BD127+BC128-BL127,IF(A128&lt;'Données projet'!$A$88,$BA$205^A128,IF(A128='Données projet'!$A$88,'Données projet'!$B$88,BD127+BC128-BL127)))</f>
        <v>325.33333333333309</v>
      </c>
      <c r="BE128" s="14">
        <f>BD128*VLOOKUP('Données projet'!$B$11,Paramètres!$A$1:$I$89,3,0)*VLOOKUP('Données projet'!$B$11,Paramètres!$A$1:$I$89,5,0)</f>
        <v>274.0607999999998</v>
      </c>
      <c r="BF128" s="14">
        <f t="shared" si="91"/>
        <v>65.710323362952934</v>
      </c>
      <c r="BG128" s="22">
        <f t="shared" si="61"/>
        <v>591.76803985714275</v>
      </c>
      <c r="BH128" s="62">
        <f t="shared" si="62"/>
        <v>876.72241590900808</v>
      </c>
      <c r="BI128" s="62">
        <f ca="1">AVERAGE(OFFSET($BH$3,0,0,'Données projet'!$E$11+1,1))-AVERAGE(OFFSET($H$3,0,0,'Données projet'!$E$11+1,1))</f>
        <v>513.7388209355762</v>
      </c>
      <c r="BJ128" s="62">
        <f t="shared" si="92"/>
        <v>328.24603121433927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67.714829832326899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4.5474735088646412E-13</v>
      </c>
      <c r="BZ128" s="14">
        <f>BY128*VLOOKUP('Données projet'!$B$12,Paramètres!$A$1:$I$89,3,0)*VLOOKUP('Données projet'!$B$12,Paramètres!$A$1:$I$89,5,0)</f>
        <v>3.6179699236527089E-13</v>
      </c>
      <c r="CA128" s="14">
        <f t="shared" si="93"/>
        <v>4.6796319415916035E-12</v>
      </c>
      <c r="CB128" s="22">
        <f t="shared" si="64"/>
        <v>8.7804887266415556E-12</v>
      </c>
      <c r="CC128" s="62">
        <f t="shared" si="65"/>
        <v>284.95437605187402</v>
      </c>
      <c r="CD128" s="62">
        <f ca="1">AVERAGE(OFFSET($CC$3,0,0,'Données projet'!$E$12+1,1))-AVERAGE(OFFSET($H$3,0,0,'Données projet'!$E$12+1,1))</f>
        <v>447.25854887589878</v>
      </c>
      <c r="CE128" s="62">
        <f t="shared" si="94"/>
        <v>480.13390593590157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67.714829832326899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1.1368683772161603E-13</v>
      </c>
      <c r="CU128" s="18">
        <f>CT128*VLOOKUP('Données projet'!$B$13,Paramètres!$A$1:$I$89,3,0)*VLOOKUP('Données projet'!$B$13,Paramètres!$A$1:$I$89,5,0)</f>
        <v>8.8675733422860506E-14</v>
      </c>
      <c r="CV128" s="14">
        <f t="shared" si="95"/>
        <v>1.3509285393066301E-12</v>
      </c>
      <c r="CW128" s="22">
        <f t="shared" si="67"/>
        <v>2.5073107750038623E-12</v>
      </c>
      <c r="CX128" s="62">
        <f t="shared" si="68"/>
        <v>284.95437605186777</v>
      </c>
      <c r="CY128" s="62">
        <f ca="1">AVERAGE(OFFSET($CX$3,0,0,'Données projet'!$E$13+1,1))-AVERAGE(OFFSET($H$3,0,0,'Données projet'!$E$13+1,1))</f>
        <v>308.52515801950324</v>
      </c>
      <c r="CZ128" s="62">
        <f t="shared" si="96"/>
        <v>299.05420638408953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67.714829832326899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4.5474735088646412E-13</v>
      </c>
      <c r="DP128" s="18">
        <f>DO128*VLOOKUP('Données projet'!$B$14,Paramètres!$A$1:$I$89,3,0)*VLOOKUP('Données projet'!$B$14,Paramètres!$A$1:$I$89,5,0)</f>
        <v>3.3342075766995548E-13</v>
      </c>
      <c r="DQ128" s="14">
        <f t="shared" si="97"/>
        <v>4.3537988100583648E-12</v>
      </c>
      <c r="DR128" s="22">
        <f t="shared" si="70"/>
        <v>8.1635740804601579E-12</v>
      </c>
      <c r="DS128" s="62">
        <f t="shared" si="71"/>
        <v>284.95437605187345</v>
      </c>
      <c r="DT128" s="62">
        <f ca="1">AVERAGE(OFFSET($DS$3,0,0,'Données projet'!$E$14+1,1))-AVERAGE(OFFSET($H$3,0,0,'Données projet'!$E$14+1,1))</f>
        <v>416.72317068678774</v>
      </c>
      <c r="DU128" s="62">
        <f t="shared" si="98"/>
        <v>447.32457429495537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67.714829832326899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5.6843418860808015E-14</v>
      </c>
      <c r="EK128" s="18">
        <f>EJ128*VLOOKUP('Données projet'!$B$15,Paramètres!$A$1:$I$89,3,0)*VLOOKUP('Données projet'!$B$15,Paramètres!$A$1:$I$89,5,0)</f>
        <v>5.4092197387944907E-14</v>
      </c>
      <c r="EL128" s="14">
        <f t="shared" si="99"/>
        <v>8.7287050538073676E-13</v>
      </c>
      <c r="EM128" s="22">
        <f t="shared" si="73"/>
        <v>1.6144600406554537E-12</v>
      </c>
      <c r="EN128" s="62">
        <f t="shared" si="74"/>
        <v>284.95437605186686</v>
      </c>
      <c r="EO128" s="62">
        <f ca="1">AVERAGE(OFFSET($EN$3,0,0,'Données projet'!$E$15+1,1))-AVERAGE(OFFSET($H$3,0,0,'Données projet'!$E$15+1,1))</f>
        <v>454.78867027701426</v>
      </c>
      <c r="EP128" s="62">
        <f t="shared" si="100"/>
        <v>366.45346303927056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0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67.714829832326899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>
        <f>FE128*VLOOKUP('Données projet'!$B$16,Paramètres!$A$1:$I$89,3,0)*VLOOKUP('Données projet'!$B$16,Paramètres!$A$1:$I$89,5,0)</f>
        <v>0</v>
      </c>
      <c r="FG128" s="14" t="e">
        <f t="shared" si="101"/>
        <v>#NUM!</v>
      </c>
      <c r="FH128" s="22" t="e">
        <f t="shared" si="76"/>
        <v>#NUM!</v>
      </c>
      <c r="FI128" s="62" t="e">
        <f t="shared" si="77"/>
        <v>#NUM!</v>
      </c>
      <c r="FJ128" s="62">
        <f ca="1">AVERAGE(OFFSET($FI$3,0,0,'Données projet'!$E$16+1,1))-AVERAGE(OFFSET($H$3,0,0,'Données projet'!$E$16+1,1))</f>
        <v>390.05579539539576</v>
      </c>
      <c r="FK128" s="62">
        <f t="shared" si="102"/>
        <v>323.72278615226139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projet'!$B$16,Paramètres!$A$1:$I$89,3,0)*0.475*44/12</f>
        <v>0</v>
      </c>
      <c r="FR128" s="23">
        <f>EXP(-LN(2)/25)*FR127+(1-EXP(-LN(2)/25))/(LN(2)/25)*Calculateur!FM128*Calculateur!FO128*VLOOKUP('Données projet'!$B$16,Paramètres!$A$1:$I$89,3,0)*0.475*44/12</f>
        <v>0</v>
      </c>
      <c r="FS128" s="23">
        <f>EXP(-LN(2)/2)*FS127+(1-EXP(-LN(2)/2))/(LN(2)/2)*FM128*FP128*VLOOKUP('Données projet'!$B$16,Paramètres!$A$1:$I$89,3,0)*0.475*44/12</f>
        <v>0</v>
      </c>
      <c r="FT128" s="24">
        <f t="shared" si="78"/>
        <v>0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67.714829832326899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4.0666666666666664</v>
      </c>
      <c r="FZ128" s="13">
        <f>IF('Données projet'!$A$244&gt;35,FZ127+FY128-GH127,IF(A128&lt;'Données projet'!$A$244,$FW$205^A128,IF(A128='Données projet'!$A$244,'Données projet'!$B$244,FZ127+FY128-GH127)))</f>
        <v>325.33333333333309</v>
      </c>
      <c r="GA128" s="18">
        <f>FZ128*VLOOKUP('Données projet'!$B$17,Paramètres!$A$1:$I$89,3,0)*VLOOKUP('Données projet'!$B$17,Paramètres!$A$1:$I$89,5,0)</f>
        <v>314.66239999999976</v>
      </c>
      <c r="GB128" s="14">
        <f t="shared" si="103"/>
        <v>74.24167729081681</v>
      </c>
      <c r="GC128" s="22">
        <f t="shared" si="79"/>
        <v>677.34126794817212</v>
      </c>
      <c r="GD128" s="62">
        <f t="shared" si="80"/>
        <v>962.29564400003733</v>
      </c>
      <c r="GE128" s="62">
        <f ca="1">AVERAGE(OFFSET($GD$3,0,0,'Données projet'!$E$17+1,1))-AVERAGE(OFFSET($H$3,0,0,'Données projet'!$E$17+1,1))</f>
        <v>578.44111602076555</v>
      </c>
      <c r="GF128" s="62">
        <f t="shared" si="104"/>
        <v>368.08542661432784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>
        <f>EXP(-LN(2)/35)*GL127+(1-EXP(-LN(2)/35))/(LN(2)/35)*GH128*GI128*VLOOKUP('Données projet'!$B$17,Paramètres!$A$1:$I$89,3,0)*0.475*44/12</f>
        <v>0</v>
      </c>
      <c r="GM128" s="23">
        <f>EXP(-LN(2)/25)*GM127+(1-EXP(-LN(2)/25))/(LN(2)/25)*Calculateur!GH128*Calculateur!GJ128*VLOOKUP('Données projet'!$B$17,Paramètres!$A$1:$I$89,3,0)*0.475*44/12</f>
        <v>0</v>
      </c>
      <c r="GN128" s="23">
        <f>EXP(-LN(2)/2)*GN127+(1-EXP(-LN(2)/2))/(LN(2)/2)*GH128*GK128*VLOOKUP('Données projet'!$B$17,Paramètres!$A$1:$I$89,3,0)*0.475*44/12</f>
        <v>0</v>
      </c>
      <c r="GO128" s="23">
        <f t="shared" si="81"/>
        <v>0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67.714829832326899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4.0735000000000001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14.936166666666667</v>
      </c>
      <c r="H129" s="70">
        <f t="shared" si="56"/>
        <v>196.922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67.754472425860897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4.0666666666666664</v>
      </c>
      <c r="N129" s="14">
        <f>IF('Données projet'!$A$36&gt;35,N128+M129-V128,IF(A129&lt;'Données projet'!$A$36,$K$205^A129,IF(A129='Données projet'!$A$36,'Données projet'!$B$36,N128+M129-V128)))</f>
        <v>329.39999999999975</v>
      </c>
      <c r="O129" s="14">
        <f>N129*VLOOKUP('Données projet'!$B$9,Paramètres!$A$1:$I$89,3,0)*VLOOKUP('Données projet'!$B$9,Paramètres!$A$1:$I$89,5,0)</f>
        <v>298.04111999999975</v>
      </c>
      <c r="P129" s="14">
        <f t="shared" si="87"/>
        <v>70.765650546961453</v>
      </c>
      <c r="Q129" s="22">
        <f t="shared" si="107"/>
        <v>642.33845870262405</v>
      </c>
      <c r="R129" s="62">
        <f t="shared" si="55"/>
        <v>927.43819093078059</v>
      </c>
      <c r="S129" s="62">
        <f ca="1">AVERAGE(OFFSET($R$3,0,0,'Données projet'!$E$9+1,1))-AVERAGE(OFFSET($H$3,0,0,'Données projet'!$E$9+1,1))</f>
        <v>546.11281471711925</v>
      </c>
      <c r="T129" s="62">
        <f t="shared" si="88"/>
        <v>348.18069831447099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67.754472425860897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5.8</v>
      </c>
      <c r="AI129" s="14">
        <f>IF('Données projet'!$A$62&gt;35,AI128+AH129-AQ128,IF(A129&lt;'Données projet'!$A$62,$AF$205^A129,IF(A129='Données projet'!$A$62,'Données projet'!$B$62,AI128+AH129-AQ128)))</f>
        <v>493.79999999999961</v>
      </c>
      <c r="AJ129" s="14">
        <f>AI129*VLOOKUP('Données projet'!$B$10,Paramètres!$A$1:$I$89,3,0)*VLOOKUP('Données projet'!$B$10,Paramètres!$A$1:$I$89,5,0)</f>
        <v>423.68039999999974</v>
      </c>
      <c r="AK129" s="14">
        <f t="shared" si="89"/>
        <v>96.561315037221675</v>
      </c>
      <c r="AL129" s="22">
        <f t="shared" si="58"/>
        <v>906.08765368982722</v>
      </c>
      <c r="AM129" s="62">
        <f t="shared" si="59"/>
        <v>1191.1873859179839</v>
      </c>
      <c r="AN129" s="62">
        <f ca="1">AVERAGE(OFFSET($AM$3,0,0,'Données projet'!$E$10+1,1))-AVERAGE(OFFSET($H$3,0,0,'Données projet'!$E$10+1,1))</f>
        <v>693.87994318348024</v>
      </c>
      <c r="AO129" s="62">
        <f t="shared" si="90"/>
        <v>327.71043739333641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67.754472425860897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4.0666666666666664</v>
      </c>
      <c r="BD129" s="13">
        <f>IF('Données projet'!$A$88&gt;35,BD128+BC129-BL128,IF(A129&lt;'Données projet'!$A$88,$BA$205^A129,IF(A129='Données projet'!$A$88,'Données projet'!$B$88,BD128+BC129-BL128)))</f>
        <v>329.39999999999975</v>
      </c>
      <c r="BE129" s="14">
        <f>BD129*VLOOKUP('Données projet'!$B$11,Paramètres!$A$1:$I$89,3,0)*VLOOKUP('Données projet'!$B$11,Paramètres!$A$1:$I$89,5,0)</f>
        <v>277.48655999999977</v>
      </c>
      <c r="BF129" s="14">
        <f t="shared" si="91"/>
        <v>66.435568326394929</v>
      </c>
      <c r="BG129" s="22">
        <f t="shared" si="61"/>
        <v>598.99770683513736</v>
      </c>
      <c r="BH129" s="62">
        <f t="shared" si="62"/>
        <v>884.0974390632939</v>
      </c>
      <c r="BI129" s="62">
        <f ca="1">AVERAGE(OFFSET($BH$3,0,0,'Données projet'!$E$11+1,1))-AVERAGE(OFFSET($H$3,0,0,'Données projet'!$E$11+1,1))</f>
        <v>513.7388209355762</v>
      </c>
      <c r="BJ129" s="62">
        <f t="shared" si="92"/>
        <v>328.24603121433927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67.754472425860897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4.5474735088646412E-13</v>
      </c>
      <c r="BZ129" s="14">
        <f>BY129*VLOOKUP('Données projet'!$B$12,Paramètres!$A$1:$I$89,3,0)*VLOOKUP('Données projet'!$B$12,Paramètres!$A$1:$I$89,5,0)</f>
        <v>3.6179699236527089E-13</v>
      </c>
      <c r="CA129" s="14">
        <f t="shared" si="93"/>
        <v>4.6796319415916035E-12</v>
      </c>
      <c r="CB129" s="22">
        <f t="shared" si="64"/>
        <v>8.7804887266415556E-12</v>
      </c>
      <c r="CC129" s="62">
        <f t="shared" si="65"/>
        <v>285.09973222816535</v>
      </c>
      <c r="CD129" s="62">
        <f ca="1">AVERAGE(OFFSET($CC$3,0,0,'Données projet'!$E$12+1,1))-AVERAGE(OFFSET($H$3,0,0,'Données projet'!$E$12+1,1))</f>
        <v>447.25854887589878</v>
      </c>
      <c r="CE129" s="62">
        <f t="shared" si="94"/>
        <v>480.13390593590157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67.754472425860897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1.1368683772161603E-13</v>
      </c>
      <c r="CU129" s="18">
        <f>CT129*VLOOKUP('Données projet'!$B$13,Paramètres!$A$1:$I$89,3,0)*VLOOKUP('Données projet'!$B$13,Paramètres!$A$1:$I$89,5,0)</f>
        <v>8.8675733422860506E-14</v>
      </c>
      <c r="CV129" s="14">
        <f t="shared" si="95"/>
        <v>1.3509285393066301E-12</v>
      </c>
      <c r="CW129" s="22">
        <f t="shared" si="67"/>
        <v>2.5073107750038623E-12</v>
      </c>
      <c r="CX129" s="62">
        <f t="shared" si="68"/>
        <v>285.0997322281591</v>
      </c>
      <c r="CY129" s="62">
        <f ca="1">AVERAGE(OFFSET($CX$3,0,0,'Données projet'!$E$13+1,1))-AVERAGE(OFFSET($H$3,0,0,'Données projet'!$E$13+1,1))</f>
        <v>308.52515801950324</v>
      </c>
      <c r="CZ129" s="62">
        <f t="shared" si="96"/>
        <v>299.05420638408953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67.754472425860897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4.5474735088646412E-13</v>
      </c>
      <c r="DP129" s="18">
        <f>DO129*VLOOKUP('Données projet'!$B$14,Paramètres!$A$1:$I$89,3,0)*VLOOKUP('Données projet'!$B$14,Paramètres!$A$1:$I$89,5,0)</f>
        <v>3.3342075766995548E-13</v>
      </c>
      <c r="DQ129" s="14">
        <f t="shared" si="97"/>
        <v>4.3537988100583648E-12</v>
      </c>
      <c r="DR129" s="22">
        <f t="shared" si="70"/>
        <v>8.1635740804601579E-12</v>
      </c>
      <c r="DS129" s="62">
        <f t="shared" si="71"/>
        <v>285.09973222816478</v>
      </c>
      <c r="DT129" s="62">
        <f ca="1">AVERAGE(OFFSET($DS$3,0,0,'Données projet'!$E$14+1,1))-AVERAGE(OFFSET($H$3,0,0,'Données projet'!$E$14+1,1))</f>
        <v>416.72317068678774</v>
      </c>
      <c r="DU129" s="62">
        <f t="shared" si="98"/>
        <v>447.32457429495537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67.754472425860897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5.6843418860808015E-14</v>
      </c>
      <c r="EK129" s="18">
        <f>EJ129*VLOOKUP('Données projet'!$B$15,Paramètres!$A$1:$I$89,3,0)*VLOOKUP('Données projet'!$B$15,Paramètres!$A$1:$I$89,5,0)</f>
        <v>5.4092197387944907E-14</v>
      </c>
      <c r="EL129" s="14">
        <f t="shared" si="99"/>
        <v>8.7287050538073676E-13</v>
      </c>
      <c r="EM129" s="22">
        <f t="shared" si="73"/>
        <v>1.6144600406554537E-12</v>
      </c>
      <c r="EN129" s="62">
        <f t="shared" si="74"/>
        <v>285.09973222815819</v>
      </c>
      <c r="EO129" s="62">
        <f ca="1">AVERAGE(OFFSET($EN$3,0,0,'Données projet'!$E$15+1,1))-AVERAGE(OFFSET($H$3,0,0,'Données projet'!$E$15+1,1))</f>
        <v>454.78867027701426</v>
      </c>
      <c r="EP129" s="62">
        <f t="shared" si="100"/>
        <v>366.45346303927056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0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67.754472425860897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>
        <f>FE129*VLOOKUP('Données projet'!$B$16,Paramètres!$A$1:$I$89,3,0)*VLOOKUP('Données projet'!$B$16,Paramètres!$A$1:$I$89,5,0)</f>
        <v>0</v>
      </c>
      <c r="FG129" s="14" t="e">
        <f t="shared" si="101"/>
        <v>#NUM!</v>
      </c>
      <c r="FH129" s="22" t="e">
        <f t="shared" si="76"/>
        <v>#NUM!</v>
      </c>
      <c r="FI129" s="62" t="e">
        <f t="shared" si="77"/>
        <v>#NUM!</v>
      </c>
      <c r="FJ129" s="62">
        <f ca="1">AVERAGE(OFFSET($FI$3,0,0,'Données projet'!$E$16+1,1))-AVERAGE(OFFSET($H$3,0,0,'Données projet'!$E$16+1,1))</f>
        <v>390.05579539539576</v>
      </c>
      <c r="FK129" s="62">
        <f t="shared" si="102"/>
        <v>323.72278615226139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projet'!$B$16,Paramètres!$A$1:$I$89,3,0)*0.475*44/12</f>
        <v>0</v>
      </c>
      <c r="FR129" s="23">
        <f>EXP(-LN(2)/25)*FR128+(1-EXP(-LN(2)/25))/(LN(2)/25)*Calculateur!FM129*Calculateur!FO129*VLOOKUP('Données projet'!$B$16,Paramètres!$A$1:$I$89,3,0)*0.475*44/12</f>
        <v>0</v>
      </c>
      <c r="FS129" s="23">
        <f>EXP(-LN(2)/2)*FS128+(1-EXP(-LN(2)/2))/(LN(2)/2)*FM129*FP129*VLOOKUP('Données projet'!$B$16,Paramètres!$A$1:$I$89,3,0)*0.475*44/12</f>
        <v>0</v>
      </c>
      <c r="FT129" s="24">
        <f t="shared" si="78"/>
        <v>0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67.754472425860897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4.0666666666666664</v>
      </c>
      <c r="FZ129" s="13">
        <f>IF('Données projet'!$A$244&gt;35,FZ128+FY129-GH128,IF(A129&lt;'Données projet'!$A$244,$FW$205^A129,IF(A129='Données projet'!$A$244,'Données projet'!$B$244,FZ128+FY129-GH128)))</f>
        <v>329.39999999999975</v>
      </c>
      <c r="GA129" s="18">
        <f>FZ129*VLOOKUP('Données projet'!$B$17,Paramètres!$A$1:$I$89,3,0)*VLOOKUP('Données projet'!$B$17,Paramètres!$A$1:$I$89,5,0)</f>
        <v>318.59567999999973</v>
      </c>
      <c r="GB129" s="14">
        <f t="shared" si="103"/>
        <v>75.061082823722813</v>
      </c>
      <c r="GC129" s="22">
        <f t="shared" si="79"/>
        <v>685.61886191798339</v>
      </c>
      <c r="GD129" s="62">
        <f t="shared" si="80"/>
        <v>970.71859414614005</v>
      </c>
      <c r="GE129" s="62">
        <f ca="1">AVERAGE(OFFSET($GD$3,0,0,'Données projet'!$E$17+1,1))-AVERAGE(OFFSET($H$3,0,0,'Données projet'!$E$17+1,1))</f>
        <v>578.44111602076555</v>
      </c>
      <c r="GF129" s="62">
        <f t="shared" si="104"/>
        <v>368.08542661432784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>
        <f>EXP(-LN(2)/35)*GL128+(1-EXP(-LN(2)/35))/(LN(2)/35)*GH129*GI129*VLOOKUP('Données projet'!$B$17,Paramètres!$A$1:$I$89,3,0)*0.475*44/12</f>
        <v>0</v>
      </c>
      <c r="GM129" s="23">
        <f>EXP(-LN(2)/25)*GM128+(1-EXP(-LN(2)/25))/(LN(2)/25)*Calculateur!GH129*Calculateur!GJ129*VLOOKUP('Données projet'!$B$17,Paramètres!$A$1:$I$89,3,0)*0.475*44/12</f>
        <v>0</v>
      </c>
      <c r="GN129" s="23">
        <f>EXP(-LN(2)/2)*GN128+(1-EXP(-LN(2)/2))/(LN(2)/2)*GH129*GK129*VLOOKUP('Données projet'!$B$17,Paramètres!$A$1:$I$89,3,0)*0.475*44/12</f>
        <v>0</v>
      </c>
      <c r="GO129" s="23">
        <f t="shared" si="81"/>
        <v>0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67.754472425860897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4.0735000000000001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14.936166666666667</v>
      </c>
      <c r="H130" s="70">
        <f t="shared" si="56"/>
        <v>196.922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67.793427309024636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4.0666666666666664</v>
      </c>
      <c r="N130" s="14">
        <f>IF('Données projet'!$A$36&gt;35,N129+M130-V129,IF(A130&lt;'Données projet'!$A$36,$K$205^A130,IF(A130='Données projet'!$A$36,'Données projet'!$B$36,N129+M130-V129)))</f>
        <v>333.46666666666641</v>
      </c>
      <c r="O130" s="14">
        <f>N130*VLOOKUP('Données projet'!$B$9,Paramètres!$A$1:$I$89,3,0)*VLOOKUP('Données projet'!$B$9,Paramètres!$A$1:$I$89,5,0)</f>
        <v>301.72063999999978</v>
      </c>
      <c r="P130" s="14">
        <f t="shared" si="87"/>
        <v>71.537055559170369</v>
      </c>
      <c r="Q130" s="22">
        <f t="shared" si="107"/>
        <v>650.09048643222127</v>
      </c>
      <c r="R130" s="62">
        <f t="shared" si="55"/>
        <v>935.33305323197828</v>
      </c>
      <c r="S130" s="62">
        <f ca="1">AVERAGE(OFFSET($R$3,0,0,'Données projet'!$E$9+1,1))-AVERAGE(OFFSET($H$3,0,0,'Données projet'!$E$9+1,1))</f>
        <v>546.11281471711925</v>
      </c>
      <c r="T130" s="62">
        <f t="shared" si="88"/>
        <v>348.18069831447099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67.793427309024636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5.8</v>
      </c>
      <c r="AI130" s="14">
        <f>IF('Données projet'!$A$62&gt;35,AI129+AH130-AQ129,IF(A130&lt;'Données projet'!$A$62,$AF$205^A130,IF(A130='Données projet'!$A$62,'Données projet'!$B$62,AI129+AH130-AQ129)))</f>
        <v>499.59999999999962</v>
      </c>
      <c r="AJ130" s="14">
        <f>AI130*VLOOKUP('Données projet'!$B$10,Paramètres!$A$1:$I$89,3,0)*VLOOKUP('Données projet'!$B$10,Paramètres!$A$1:$I$89,5,0)</f>
        <v>428.65679999999969</v>
      </c>
      <c r="AK130" s="14">
        <f t="shared" si="89"/>
        <v>97.562789993864754</v>
      </c>
      <c r="AL130" s="22">
        <f t="shared" si="58"/>
        <v>916.49911923931393</v>
      </c>
      <c r="AM130" s="62">
        <f t="shared" si="59"/>
        <v>1201.7416860390708</v>
      </c>
      <c r="AN130" s="62">
        <f ca="1">AVERAGE(OFFSET($AM$3,0,0,'Données projet'!$E$10+1,1))-AVERAGE(OFFSET($H$3,0,0,'Données projet'!$E$10+1,1))</f>
        <v>693.87994318348024</v>
      </c>
      <c r="AO130" s="62">
        <f t="shared" si="90"/>
        <v>327.71043739333641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67.793427309024636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4.0666666666666664</v>
      </c>
      <c r="BD130" s="13">
        <f>IF('Données projet'!$A$88&gt;35,BD129+BC130-BL129,IF(A130&lt;'Données projet'!$A$88,$BA$205^A130,IF(A130='Données projet'!$A$88,'Données projet'!$B$88,BD129+BC130-BL129)))</f>
        <v>333.46666666666641</v>
      </c>
      <c r="BE130" s="14">
        <f>BD130*VLOOKUP('Données projet'!$B$11,Paramètres!$A$1:$I$89,3,0)*VLOOKUP('Données projet'!$B$11,Paramètres!$A$1:$I$89,5,0)</f>
        <v>280.9123199999998</v>
      </c>
      <c r="BF130" s="14">
        <f t="shared" si="91"/>
        <v>67.159771806470616</v>
      </c>
      <c r="BG130" s="22">
        <f t="shared" si="61"/>
        <v>606.22555989626937</v>
      </c>
      <c r="BH130" s="62">
        <f t="shared" si="62"/>
        <v>891.46812669602639</v>
      </c>
      <c r="BI130" s="62">
        <f ca="1">AVERAGE(OFFSET($BH$3,0,0,'Données projet'!$E$11+1,1))-AVERAGE(OFFSET($H$3,0,0,'Données projet'!$E$11+1,1))</f>
        <v>513.7388209355762</v>
      </c>
      <c r="BJ130" s="62">
        <f t="shared" si="92"/>
        <v>328.24603121433927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67.793427309024636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4.5474735088646412E-13</v>
      </c>
      <c r="BZ130" s="14">
        <f>BY130*VLOOKUP('Données projet'!$B$12,Paramètres!$A$1:$I$89,3,0)*VLOOKUP('Données projet'!$B$12,Paramètres!$A$1:$I$89,5,0)</f>
        <v>3.6179699236527089E-13</v>
      </c>
      <c r="CA130" s="14">
        <f t="shared" si="93"/>
        <v>4.6796319415916035E-12</v>
      </c>
      <c r="CB130" s="22">
        <f t="shared" si="64"/>
        <v>8.7804887266415556E-12</v>
      </c>
      <c r="CC130" s="62">
        <f t="shared" si="65"/>
        <v>285.24256679976577</v>
      </c>
      <c r="CD130" s="62">
        <f ca="1">AVERAGE(OFFSET($CC$3,0,0,'Données projet'!$E$12+1,1))-AVERAGE(OFFSET($H$3,0,0,'Données projet'!$E$12+1,1))</f>
        <v>447.25854887589878</v>
      </c>
      <c r="CE130" s="62">
        <f t="shared" si="94"/>
        <v>480.13390593590157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67.793427309024636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1.1368683772161603E-13</v>
      </c>
      <c r="CU130" s="18">
        <f>CT130*VLOOKUP('Données projet'!$B$13,Paramètres!$A$1:$I$89,3,0)*VLOOKUP('Données projet'!$B$13,Paramètres!$A$1:$I$89,5,0)</f>
        <v>8.8675733422860506E-14</v>
      </c>
      <c r="CV130" s="14">
        <f t="shared" si="95"/>
        <v>1.3509285393066301E-12</v>
      </c>
      <c r="CW130" s="22">
        <f t="shared" si="67"/>
        <v>2.5073107750038623E-12</v>
      </c>
      <c r="CX130" s="62">
        <f t="shared" si="68"/>
        <v>285.24256679975952</v>
      </c>
      <c r="CY130" s="62">
        <f ca="1">AVERAGE(OFFSET($CX$3,0,0,'Données projet'!$E$13+1,1))-AVERAGE(OFFSET($H$3,0,0,'Données projet'!$E$13+1,1))</f>
        <v>308.52515801950324</v>
      </c>
      <c r="CZ130" s="62">
        <f t="shared" si="96"/>
        <v>299.05420638408953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67.793427309024636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4.5474735088646412E-13</v>
      </c>
      <c r="DP130" s="18">
        <f>DO130*VLOOKUP('Données projet'!$B$14,Paramètres!$A$1:$I$89,3,0)*VLOOKUP('Données projet'!$B$14,Paramètres!$A$1:$I$89,5,0)</f>
        <v>3.3342075766995548E-13</v>
      </c>
      <c r="DQ130" s="14">
        <f t="shared" si="97"/>
        <v>4.3537988100583648E-12</v>
      </c>
      <c r="DR130" s="22">
        <f t="shared" si="70"/>
        <v>8.1635740804601579E-12</v>
      </c>
      <c r="DS130" s="62">
        <f t="shared" si="71"/>
        <v>285.2425667997652</v>
      </c>
      <c r="DT130" s="62">
        <f ca="1">AVERAGE(OFFSET($DS$3,0,0,'Données projet'!$E$14+1,1))-AVERAGE(OFFSET($H$3,0,0,'Données projet'!$E$14+1,1))</f>
        <v>416.72317068678774</v>
      </c>
      <c r="DU130" s="62">
        <f t="shared" si="98"/>
        <v>447.32457429495537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67.793427309024636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5.6843418860808015E-14</v>
      </c>
      <c r="EK130" s="18">
        <f>EJ130*VLOOKUP('Données projet'!$B$15,Paramètres!$A$1:$I$89,3,0)*VLOOKUP('Données projet'!$B$15,Paramètres!$A$1:$I$89,5,0)</f>
        <v>5.4092197387944907E-14</v>
      </c>
      <c r="EL130" s="14">
        <f t="shared" si="99"/>
        <v>8.7287050538073676E-13</v>
      </c>
      <c r="EM130" s="22">
        <f t="shared" si="73"/>
        <v>1.6144600406554537E-12</v>
      </c>
      <c r="EN130" s="62">
        <f t="shared" si="74"/>
        <v>285.24256679975861</v>
      </c>
      <c r="EO130" s="62">
        <f ca="1">AVERAGE(OFFSET($EN$3,0,0,'Données projet'!$E$15+1,1))-AVERAGE(OFFSET($H$3,0,0,'Données projet'!$E$15+1,1))</f>
        <v>454.78867027701426</v>
      </c>
      <c r="EP130" s="62">
        <f t="shared" si="100"/>
        <v>366.45346303927056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0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67.793427309024636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>
        <f>FE130*VLOOKUP('Données projet'!$B$16,Paramètres!$A$1:$I$89,3,0)*VLOOKUP('Données projet'!$B$16,Paramètres!$A$1:$I$89,5,0)</f>
        <v>0</v>
      </c>
      <c r="FG130" s="14" t="e">
        <f t="shared" si="101"/>
        <v>#NUM!</v>
      </c>
      <c r="FH130" s="22" t="e">
        <f t="shared" si="76"/>
        <v>#NUM!</v>
      </c>
      <c r="FI130" s="62" t="e">
        <f t="shared" si="77"/>
        <v>#NUM!</v>
      </c>
      <c r="FJ130" s="62">
        <f ca="1">AVERAGE(OFFSET($FI$3,0,0,'Données projet'!$E$16+1,1))-AVERAGE(OFFSET($H$3,0,0,'Données projet'!$E$16+1,1))</f>
        <v>390.05579539539576</v>
      </c>
      <c r="FK130" s="62">
        <f t="shared" si="102"/>
        <v>323.72278615226139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projet'!$B$16,Paramètres!$A$1:$I$89,3,0)*0.475*44/12</f>
        <v>0</v>
      </c>
      <c r="FR130" s="23">
        <f>EXP(-LN(2)/25)*FR129+(1-EXP(-LN(2)/25))/(LN(2)/25)*Calculateur!FM130*Calculateur!FO130*VLOOKUP('Données projet'!$B$16,Paramètres!$A$1:$I$89,3,0)*0.475*44/12</f>
        <v>0</v>
      </c>
      <c r="FS130" s="23">
        <f>EXP(-LN(2)/2)*FS129+(1-EXP(-LN(2)/2))/(LN(2)/2)*FM130*FP130*VLOOKUP('Données projet'!$B$16,Paramètres!$A$1:$I$89,3,0)*0.475*44/12</f>
        <v>0</v>
      </c>
      <c r="FT130" s="24">
        <f t="shared" si="78"/>
        <v>0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67.793427309024636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4.0666666666666664</v>
      </c>
      <c r="FZ130" s="13">
        <f>IF('Données projet'!$A$244&gt;35,FZ129+FY130-GH129,IF(A130&lt;'Données projet'!$A$244,$FW$205^A130,IF(A130='Données projet'!$A$244,'Données projet'!$B$244,FZ129+FY130-GH129)))</f>
        <v>333.46666666666641</v>
      </c>
      <c r="GA130" s="18">
        <f>FZ130*VLOOKUP('Données projet'!$B$17,Paramètres!$A$1:$I$89,3,0)*VLOOKUP('Données projet'!$B$17,Paramètres!$A$1:$I$89,5,0)</f>
        <v>322.52895999999976</v>
      </c>
      <c r="GB130" s="14">
        <f t="shared" si="103"/>
        <v>75.879311654582267</v>
      </c>
      <c r="GC130" s="22">
        <f t="shared" si="79"/>
        <v>693.89440646506364</v>
      </c>
      <c r="GD130" s="62">
        <f t="shared" si="80"/>
        <v>979.13697326482065</v>
      </c>
      <c r="GE130" s="62">
        <f ca="1">AVERAGE(OFFSET($GD$3,0,0,'Données projet'!$E$17+1,1))-AVERAGE(OFFSET($H$3,0,0,'Données projet'!$E$17+1,1))</f>
        <v>578.44111602076555</v>
      </c>
      <c r="GF130" s="62">
        <f t="shared" si="104"/>
        <v>368.08542661432784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>
        <f>EXP(-LN(2)/35)*GL129+(1-EXP(-LN(2)/35))/(LN(2)/35)*GH130*GI130*VLOOKUP('Données projet'!$B$17,Paramètres!$A$1:$I$89,3,0)*0.475*44/12</f>
        <v>0</v>
      </c>
      <c r="GM130" s="23">
        <f>EXP(-LN(2)/25)*GM129+(1-EXP(-LN(2)/25))/(LN(2)/25)*Calculateur!GH130*Calculateur!GJ130*VLOOKUP('Données projet'!$B$17,Paramètres!$A$1:$I$89,3,0)*0.475*44/12</f>
        <v>0</v>
      </c>
      <c r="GN130" s="23">
        <f>EXP(-LN(2)/2)*GN129+(1-EXP(-LN(2)/2))/(LN(2)/2)*GH130*GK130*VLOOKUP('Données projet'!$B$17,Paramètres!$A$1:$I$89,3,0)*0.475*44/12</f>
        <v>0</v>
      </c>
      <c r="GO130" s="23">
        <f t="shared" si="81"/>
        <v>0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67.793427309024636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4.0735000000000001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14.936166666666667</v>
      </c>
      <c r="H131" s="70">
        <f t="shared" si="56"/>
        <v>196.922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67.831706412055567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4.0666666666666664</v>
      </c>
      <c r="N131" s="14">
        <f>IF('Données projet'!$A$36&gt;35,N130+M131-V130,IF(A131&lt;'Données projet'!$A$36,$K$205^A131,IF(A131='Données projet'!$A$36,'Données projet'!$B$36,N130+M131-V130)))</f>
        <v>337.53333333333308</v>
      </c>
      <c r="O131" s="14">
        <f>N131*VLOOKUP('Données projet'!$B$9,Paramètres!$A$1:$I$89,3,0)*VLOOKUP('Données projet'!$B$9,Paramètres!$A$1:$I$89,5,0)</f>
        <v>305.40015999999974</v>
      </c>
      <c r="P131" s="14">
        <f t="shared" si="87"/>
        <v>72.307366300702995</v>
      </c>
      <c r="Q131" s="22">
        <f t="shared" ref="Q131:Q153" si="108">(O131+P131)*0.475*44/12</f>
        <v>657.84060830705721</v>
      </c>
      <c r="R131" s="62">
        <f t="shared" ref="R131:R194" si="109">Q131+(I131+J131)*44/12</f>
        <v>943.22353181792755</v>
      </c>
      <c r="S131" s="62">
        <f ca="1">AVERAGE(OFFSET($R$3,0,0,'Données projet'!$E$9+1,1))-AVERAGE(OFFSET($H$3,0,0,'Données projet'!$E$9+1,1))</f>
        <v>546.11281471711925</v>
      </c>
      <c r="T131" s="62">
        <f t="shared" si="88"/>
        <v>348.18069831447099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67.831706412055567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5.8</v>
      </c>
      <c r="AI131" s="14">
        <f>IF('Données projet'!$A$62&gt;35,AI130+AH131-AQ130,IF(A131&lt;'Données projet'!$A$62,$AF$205^A131,IF(A131='Données projet'!$A$62,'Données projet'!$B$62,AI130+AH131-AQ130)))</f>
        <v>505.39999999999964</v>
      </c>
      <c r="AJ131" s="14">
        <f>AI131*VLOOKUP('Données projet'!$B$10,Paramètres!$A$1:$I$89,3,0)*VLOOKUP('Données projet'!$B$10,Paramètres!$A$1:$I$89,5,0)</f>
        <v>433.6331999999997</v>
      </c>
      <c r="AK131" s="14">
        <f t="shared" si="89"/>
        <v>98.562912518153794</v>
      </c>
      <c r="AL131" s="22">
        <f t="shared" si="58"/>
        <v>926.90822930245065</v>
      </c>
      <c r="AM131" s="62">
        <f t="shared" si="59"/>
        <v>1212.2911528133211</v>
      </c>
      <c r="AN131" s="62">
        <f ca="1">AVERAGE(OFFSET($AM$3,0,0,'Données projet'!$E$10+1,1))-AVERAGE(OFFSET($H$3,0,0,'Données projet'!$E$10+1,1))</f>
        <v>693.87994318348024</v>
      </c>
      <c r="AO131" s="62">
        <f t="shared" si="90"/>
        <v>327.71043739333641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67.831706412055567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4.0666666666666664</v>
      </c>
      <c r="BD131" s="13">
        <f>IF('Données projet'!$A$88&gt;35,BD130+BC131-BL130,IF(A131&lt;'Données projet'!$A$88,$BA$205^A131,IF(A131='Données projet'!$A$88,'Données projet'!$B$88,BD130+BC131-BL130)))</f>
        <v>337.53333333333308</v>
      </c>
      <c r="BE131" s="14">
        <f>BD131*VLOOKUP('Données projet'!$B$11,Paramètres!$A$1:$I$89,3,0)*VLOOKUP('Données projet'!$B$11,Paramètres!$A$1:$I$89,5,0)</f>
        <v>284.33807999999982</v>
      </c>
      <c r="BF131" s="14">
        <f t="shared" si="91"/>
        <v>67.882947973242167</v>
      </c>
      <c r="BG131" s="22">
        <f t="shared" si="61"/>
        <v>613.45162372006303</v>
      </c>
      <c r="BH131" s="62">
        <f t="shared" si="62"/>
        <v>898.83454723093337</v>
      </c>
      <c r="BI131" s="62">
        <f ca="1">AVERAGE(OFFSET($BH$3,0,0,'Données projet'!$E$11+1,1))-AVERAGE(OFFSET($H$3,0,0,'Données projet'!$E$11+1,1))</f>
        <v>513.7388209355762</v>
      </c>
      <c r="BJ131" s="62">
        <f t="shared" si="92"/>
        <v>328.24603121433927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67.831706412055567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4.5474735088646412E-13</v>
      </c>
      <c r="BZ131" s="14">
        <f>BY131*VLOOKUP('Données projet'!$B$12,Paramètres!$A$1:$I$89,3,0)*VLOOKUP('Données projet'!$B$12,Paramètres!$A$1:$I$89,5,0)</f>
        <v>3.6179699236527089E-13</v>
      </c>
      <c r="CA131" s="14">
        <f t="shared" si="93"/>
        <v>4.6796319415916035E-12</v>
      </c>
      <c r="CB131" s="22">
        <f t="shared" si="64"/>
        <v>8.7804887266415556E-12</v>
      </c>
      <c r="CC131" s="62">
        <f t="shared" si="65"/>
        <v>285.38292351087915</v>
      </c>
      <c r="CD131" s="62">
        <f ca="1">AVERAGE(OFFSET($CC$3,0,0,'Données projet'!$E$12+1,1))-AVERAGE(OFFSET($H$3,0,0,'Données projet'!$E$12+1,1))</f>
        <v>447.25854887589878</v>
      </c>
      <c r="CE131" s="62">
        <f t="shared" si="94"/>
        <v>480.13390593590157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67.831706412055567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1.1368683772161603E-13</v>
      </c>
      <c r="CU131" s="18">
        <f>CT131*VLOOKUP('Données projet'!$B$13,Paramètres!$A$1:$I$89,3,0)*VLOOKUP('Données projet'!$B$13,Paramètres!$A$1:$I$89,5,0)</f>
        <v>8.8675733422860506E-14</v>
      </c>
      <c r="CV131" s="14">
        <f t="shared" si="95"/>
        <v>1.3509285393066301E-12</v>
      </c>
      <c r="CW131" s="22">
        <f t="shared" si="67"/>
        <v>2.5073107750038623E-12</v>
      </c>
      <c r="CX131" s="62">
        <f t="shared" si="68"/>
        <v>285.3829235108729</v>
      </c>
      <c r="CY131" s="62">
        <f ca="1">AVERAGE(OFFSET($CX$3,0,0,'Données projet'!$E$13+1,1))-AVERAGE(OFFSET($H$3,0,0,'Données projet'!$E$13+1,1))</f>
        <v>308.52515801950324</v>
      </c>
      <c r="CZ131" s="62">
        <f t="shared" si="96"/>
        <v>299.05420638408953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67.831706412055567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4.5474735088646412E-13</v>
      </c>
      <c r="DP131" s="18">
        <f>DO131*VLOOKUP('Données projet'!$B$14,Paramètres!$A$1:$I$89,3,0)*VLOOKUP('Données projet'!$B$14,Paramètres!$A$1:$I$89,5,0)</f>
        <v>3.3342075766995548E-13</v>
      </c>
      <c r="DQ131" s="14">
        <f t="shared" si="97"/>
        <v>4.3537988100583648E-12</v>
      </c>
      <c r="DR131" s="22">
        <f t="shared" si="70"/>
        <v>8.1635740804601579E-12</v>
      </c>
      <c r="DS131" s="62">
        <f t="shared" si="71"/>
        <v>285.38292351087858</v>
      </c>
      <c r="DT131" s="62">
        <f ca="1">AVERAGE(OFFSET($DS$3,0,0,'Données projet'!$E$14+1,1))-AVERAGE(OFFSET($H$3,0,0,'Données projet'!$E$14+1,1))</f>
        <v>416.72317068678774</v>
      </c>
      <c r="DU131" s="62">
        <f t="shared" si="98"/>
        <v>447.32457429495537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67.831706412055567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5.6843418860808015E-14</v>
      </c>
      <c r="EK131" s="18">
        <f>EJ131*VLOOKUP('Données projet'!$B$15,Paramètres!$A$1:$I$89,3,0)*VLOOKUP('Données projet'!$B$15,Paramètres!$A$1:$I$89,5,0)</f>
        <v>5.4092197387944907E-14</v>
      </c>
      <c r="EL131" s="14">
        <f t="shared" si="99"/>
        <v>8.7287050538073676E-13</v>
      </c>
      <c r="EM131" s="22">
        <f t="shared" si="73"/>
        <v>1.6144600406554537E-12</v>
      </c>
      <c r="EN131" s="62">
        <f t="shared" si="74"/>
        <v>285.38292351087199</v>
      </c>
      <c r="EO131" s="62">
        <f ca="1">AVERAGE(OFFSET($EN$3,0,0,'Données projet'!$E$15+1,1))-AVERAGE(OFFSET($H$3,0,0,'Données projet'!$E$15+1,1))</f>
        <v>454.78867027701426</v>
      </c>
      <c r="EP131" s="62">
        <f t="shared" si="100"/>
        <v>366.45346303927056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0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67.831706412055567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>
        <f>FE131*VLOOKUP('Données projet'!$B$16,Paramètres!$A$1:$I$89,3,0)*VLOOKUP('Données projet'!$B$16,Paramètres!$A$1:$I$89,5,0)</f>
        <v>0</v>
      </c>
      <c r="FG131" s="14" t="e">
        <f t="shared" si="101"/>
        <v>#NUM!</v>
      </c>
      <c r="FH131" s="22" t="e">
        <f t="shared" si="76"/>
        <v>#NUM!</v>
      </c>
      <c r="FI131" s="62" t="e">
        <f t="shared" si="77"/>
        <v>#NUM!</v>
      </c>
      <c r="FJ131" s="62">
        <f ca="1">AVERAGE(OFFSET($FI$3,0,0,'Données projet'!$E$16+1,1))-AVERAGE(OFFSET($H$3,0,0,'Données projet'!$E$16+1,1))</f>
        <v>390.05579539539576</v>
      </c>
      <c r="FK131" s="62">
        <f t="shared" si="102"/>
        <v>323.72278615226139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projet'!$B$16,Paramètres!$A$1:$I$89,3,0)*0.475*44/12</f>
        <v>0</v>
      </c>
      <c r="FR131" s="23">
        <f>EXP(-LN(2)/25)*FR130+(1-EXP(-LN(2)/25))/(LN(2)/25)*Calculateur!FM131*Calculateur!FO131*VLOOKUP('Données projet'!$B$16,Paramètres!$A$1:$I$89,3,0)*0.475*44/12</f>
        <v>0</v>
      </c>
      <c r="FS131" s="23">
        <f>EXP(-LN(2)/2)*FS130+(1-EXP(-LN(2)/2))/(LN(2)/2)*FM131*FP131*VLOOKUP('Données projet'!$B$16,Paramètres!$A$1:$I$89,3,0)*0.475*44/12</f>
        <v>0</v>
      </c>
      <c r="FT131" s="24">
        <f t="shared" si="78"/>
        <v>0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67.831706412055567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4.0666666666666664</v>
      </c>
      <c r="FZ131" s="13">
        <f>IF('Données projet'!$A$244&gt;35,FZ130+FY131-GH130,IF(A131&lt;'Données projet'!$A$244,$FW$205^A131,IF(A131='Données projet'!$A$244,'Données projet'!$B$244,FZ130+FY131-GH130)))</f>
        <v>337.53333333333308</v>
      </c>
      <c r="GA131" s="18">
        <f>FZ131*VLOOKUP('Données projet'!$B$17,Paramètres!$A$1:$I$89,3,0)*VLOOKUP('Données projet'!$B$17,Paramètres!$A$1:$I$89,5,0)</f>
        <v>326.46223999999972</v>
      </c>
      <c r="GB131" s="14">
        <f t="shared" si="103"/>
        <v>76.696379793195888</v>
      </c>
      <c r="GC131" s="22">
        <f t="shared" si="79"/>
        <v>702.167929473149</v>
      </c>
      <c r="GD131" s="62">
        <f t="shared" si="80"/>
        <v>987.55085298401946</v>
      </c>
      <c r="GE131" s="62">
        <f ca="1">AVERAGE(OFFSET($GD$3,0,0,'Données projet'!$E$17+1,1))-AVERAGE(OFFSET($H$3,0,0,'Données projet'!$E$17+1,1))</f>
        <v>578.44111602076555</v>
      </c>
      <c r="GF131" s="62">
        <f t="shared" si="104"/>
        <v>368.08542661432784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>
        <f>EXP(-LN(2)/35)*GL130+(1-EXP(-LN(2)/35))/(LN(2)/35)*GH131*GI131*VLOOKUP('Données projet'!$B$17,Paramètres!$A$1:$I$89,3,0)*0.475*44/12</f>
        <v>0</v>
      </c>
      <c r="GM131" s="23">
        <f>EXP(-LN(2)/25)*GM130+(1-EXP(-LN(2)/25))/(LN(2)/25)*Calculateur!GH131*Calculateur!GJ131*VLOOKUP('Données projet'!$B$17,Paramètres!$A$1:$I$89,3,0)*0.475*44/12</f>
        <v>0</v>
      </c>
      <c r="GN131" s="23">
        <f>EXP(-LN(2)/2)*GN130+(1-EXP(-LN(2)/2))/(LN(2)/2)*GH131*GK131*VLOOKUP('Données projet'!$B$17,Paramètres!$A$1:$I$89,3,0)*0.475*44/12</f>
        <v>0</v>
      </c>
      <c r="GO131" s="23">
        <f t="shared" si="81"/>
        <v>0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67.831706412055567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4.0735000000000001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14.936166666666667</v>
      </c>
      <c r="H132" s="70">
        <f t="shared" ref="H132:H195" si="110">(B132+E132+F132)*44/12+(C132+D132)*0.475*44/12</f>
        <v>196.922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67.869321458228157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4.0666666666666664</v>
      </c>
      <c r="N132" s="14">
        <f>IF('Données projet'!$A$36&gt;35,N131+M132-V131,IF(A132&lt;'Données projet'!$A$36,$K$205^A132,IF(A132='Données projet'!$A$36,'Données projet'!$B$36,N131+M132-V131)))</f>
        <v>341.59999999999974</v>
      </c>
      <c r="O132" s="14">
        <f>N132*VLOOKUP('Données projet'!$B$9,Paramètres!$A$1:$I$89,3,0)*VLOOKUP('Données projet'!$B$9,Paramètres!$A$1:$I$89,5,0)</f>
        <v>309.07967999999977</v>
      </c>
      <c r="P132" s="14">
        <f t="shared" si="87"/>
        <v>73.076597480558817</v>
      </c>
      <c r="Q132" s="22">
        <f t="shared" si="108"/>
        <v>665.58884994530615</v>
      </c>
      <c r="R132" s="62">
        <f t="shared" si="109"/>
        <v>951.10969529214276</v>
      </c>
      <c r="S132" s="62">
        <f ca="1">AVERAGE(OFFSET($R$3,0,0,'Données projet'!$E$9+1,1))-AVERAGE(OFFSET($H$3,0,0,'Données projet'!$E$9+1,1))</f>
        <v>546.11281471711925</v>
      </c>
      <c r="T132" s="62">
        <f t="shared" si="88"/>
        <v>348.18069831447099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67.869321458228157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5.8</v>
      </c>
      <c r="AI132" s="14">
        <f>IF('Données projet'!$A$62&gt;35,AI131+AH132-AQ131,IF(A132&lt;'Données projet'!$A$62,$AF$205^A132,IF(A132='Données projet'!$A$62,'Données projet'!$B$62,AI131+AH132-AQ131)))</f>
        <v>511.19999999999965</v>
      </c>
      <c r="AJ132" s="14">
        <f>AI132*VLOOKUP('Données projet'!$B$10,Paramètres!$A$1:$I$89,3,0)*VLOOKUP('Données projet'!$B$10,Paramètres!$A$1:$I$89,5,0)</f>
        <v>438.60959999999977</v>
      </c>
      <c r="AK132" s="14">
        <f t="shared" si="89"/>
        <v>99.561699926475001</v>
      </c>
      <c r="AL132" s="22">
        <f t="shared" ref="AL132:AL153" si="112">(AJ132+AK132)*0.475*44/12</f>
        <v>937.31501403861023</v>
      </c>
      <c r="AM132" s="62">
        <f t="shared" ref="AM132:AM195" si="113">AL132+(AD132+AE132)*44/12</f>
        <v>1222.8358593854468</v>
      </c>
      <c r="AN132" s="62">
        <f ca="1">AVERAGE(OFFSET($AM$3,0,0,'Données projet'!$E$10+1,1))-AVERAGE(OFFSET($H$3,0,0,'Données projet'!$E$10+1,1))</f>
        <v>693.87994318348024</v>
      </c>
      <c r="AO132" s="62">
        <f t="shared" si="90"/>
        <v>327.71043739333641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67.869321458228157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4.0666666666666664</v>
      </c>
      <c r="BD132" s="13">
        <f>IF('Données projet'!$A$88&gt;35,BD131+BC132-BL131,IF(A132&lt;'Données projet'!$A$88,$BA$205^A132,IF(A132='Données projet'!$A$88,'Données projet'!$B$88,BD131+BC132-BL131)))</f>
        <v>341.59999999999974</v>
      </c>
      <c r="BE132" s="14">
        <f>BD132*VLOOKUP('Données projet'!$B$11,Paramètres!$A$1:$I$89,3,0)*VLOOKUP('Données projet'!$B$11,Paramètres!$A$1:$I$89,5,0)</f>
        <v>287.76383999999985</v>
      </c>
      <c r="BF132" s="14">
        <f t="shared" si="91"/>
        <v>68.605110635679509</v>
      </c>
      <c r="BG132" s="22">
        <f t="shared" ref="BG132:BG153" si="115">(BE132+BF132)*0.475*44/12</f>
        <v>620.67592235714153</v>
      </c>
      <c r="BH132" s="62">
        <f t="shared" ref="BH132:BH195" si="116">BG132+(AY132+AZ132)*44/12</f>
        <v>906.19676770397814</v>
      </c>
      <c r="BI132" s="62">
        <f ca="1">AVERAGE(OFFSET($BH$3,0,0,'Données projet'!$E$11+1,1))-AVERAGE(OFFSET($H$3,0,0,'Données projet'!$E$11+1,1))</f>
        <v>513.7388209355762</v>
      </c>
      <c r="BJ132" s="62">
        <f t="shared" si="92"/>
        <v>328.24603121433927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67.869321458228157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4.5474735088646412E-13</v>
      </c>
      <c r="BZ132" s="14">
        <f>BY132*VLOOKUP('Données projet'!$B$12,Paramètres!$A$1:$I$89,3,0)*VLOOKUP('Données projet'!$B$12,Paramètres!$A$1:$I$89,5,0)</f>
        <v>3.6179699236527089E-13</v>
      </c>
      <c r="CA132" s="14">
        <f t="shared" si="93"/>
        <v>4.6796319415916035E-12</v>
      </c>
      <c r="CB132" s="22">
        <f t="shared" ref="CB132:CB153" si="118">(BZ132+CA132)*0.475*44/12</f>
        <v>8.7804887266415556E-12</v>
      </c>
      <c r="CC132" s="62">
        <f t="shared" ref="CC132:CC195" si="119">CB132+(BT132+BU132)*44/12</f>
        <v>285.52084534684531</v>
      </c>
      <c r="CD132" s="62">
        <f ca="1">AVERAGE(OFFSET($CC$3,0,0,'Données projet'!$E$12+1,1))-AVERAGE(OFFSET($H$3,0,0,'Données projet'!$E$12+1,1))</f>
        <v>447.25854887589878</v>
      </c>
      <c r="CE132" s="62">
        <f t="shared" si="94"/>
        <v>480.13390593590157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67.869321458228157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1.1368683772161603E-13</v>
      </c>
      <c r="CU132" s="18">
        <f>CT132*VLOOKUP('Données projet'!$B$13,Paramètres!$A$1:$I$89,3,0)*VLOOKUP('Données projet'!$B$13,Paramètres!$A$1:$I$89,5,0)</f>
        <v>8.8675733422860506E-14</v>
      </c>
      <c r="CV132" s="14">
        <f t="shared" si="95"/>
        <v>1.3509285393066301E-12</v>
      </c>
      <c r="CW132" s="22">
        <f t="shared" ref="CW132:CW153" si="121">(CU132+CV132)*0.475*44/12</f>
        <v>2.5073107750038623E-12</v>
      </c>
      <c r="CX132" s="62">
        <f t="shared" ref="CX132:CX195" si="122">CW132+(CO132+CP132)*44/12</f>
        <v>285.52084534683905</v>
      </c>
      <c r="CY132" s="62">
        <f ca="1">AVERAGE(OFFSET($CX$3,0,0,'Données projet'!$E$13+1,1))-AVERAGE(OFFSET($H$3,0,0,'Données projet'!$E$13+1,1))</f>
        <v>308.52515801950324</v>
      </c>
      <c r="CZ132" s="62">
        <f t="shared" si="96"/>
        <v>299.05420638408953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67.869321458228157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4.5474735088646412E-13</v>
      </c>
      <c r="DP132" s="18">
        <f>DO132*VLOOKUP('Données projet'!$B$14,Paramètres!$A$1:$I$89,3,0)*VLOOKUP('Données projet'!$B$14,Paramètres!$A$1:$I$89,5,0)</f>
        <v>3.3342075766995548E-13</v>
      </c>
      <c r="DQ132" s="14">
        <f t="shared" si="97"/>
        <v>4.3537988100583648E-12</v>
      </c>
      <c r="DR132" s="22">
        <f t="shared" ref="DR132:DR153" si="124">(DP132+DQ132)*0.475*44/12</f>
        <v>8.1635740804601579E-12</v>
      </c>
      <c r="DS132" s="62">
        <f t="shared" ref="DS132:DS195" si="125">DR132+(DJ132+DK132)*44/12</f>
        <v>285.52084534684474</v>
      </c>
      <c r="DT132" s="62">
        <f ca="1">AVERAGE(OFFSET($DS$3,0,0,'Données projet'!$E$14+1,1))-AVERAGE(OFFSET($H$3,0,0,'Données projet'!$E$14+1,1))</f>
        <v>416.72317068678774</v>
      </c>
      <c r="DU132" s="62">
        <f t="shared" si="98"/>
        <v>447.32457429495537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67.869321458228157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5.6843418860808015E-14</v>
      </c>
      <c r="EK132" s="18">
        <f>EJ132*VLOOKUP('Données projet'!$B$15,Paramètres!$A$1:$I$89,3,0)*VLOOKUP('Données projet'!$B$15,Paramètres!$A$1:$I$89,5,0)</f>
        <v>5.4092197387944907E-14</v>
      </c>
      <c r="EL132" s="14">
        <f t="shared" si="99"/>
        <v>8.7287050538073676E-13</v>
      </c>
      <c r="EM132" s="22">
        <f t="shared" ref="EM132:EM153" si="127">(EK132+EL132)*0.475*44/12</f>
        <v>1.6144600406554537E-12</v>
      </c>
      <c r="EN132" s="62">
        <f t="shared" ref="EN132:EN195" si="128">EM132+(EE132+EF132)*44/12</f>
        <v>285.52084534683814</v>
      </c>
      <c r="EO132" s="62">
        <f ca="1">AVERAGE(OFFSET($EN$3,0,0,'Données projet'!$E$15+1,1))-AVERAGE(OFFSET($H$3,0,0,'Données projet'!$E$15+1,1))</f>
        <v>454.78867027701426</v>
      </c>
      <c r="EP132" s="62">
        <f t="shared" si="100"/>
        <v>366.45346303927056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0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67.869321458228157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>
        <f>FE132*VLOOKUP('Données projet'!$B$16,Paramètres!$A$1:$I$89,3,0)*VLOOKUP('Données projet'!$B$16,Paramètres!$A$1:$I$89,5,0)</f>
        <v>0</v>
      </c>
      <c r="FG132" s="14" t="e">
        <f t="shared" si="101"/>
        <v>#NUM!</v>
      </c>
      <c r="FH132" s="22" t="e">
        <f t="shared" ref="FH132:FH153" si="130">(FF132+FG132)*0.475*44/12</f>
        <v>#NUM!</v>
      </c>
      <c r="FI132" s="62" t="e">
        <f t="shared" ref="FI132:FI195" si="131">FH132+(EZ132+FA132)*44/12</f>
        <v>#NUM!</v>
      </c>
      <c r="FJ132" s="62">
        <f ca="1">AVERAGE(OFFSET($FI$3,0,0,'Données projet'!$E$16+1,1))-AVERAGE(OFFSET($H$3,0,0,'Données projet'!$E$16+1,1))</f>
        <v>390.05579539539576</v>
      </c>
      <c r="FK132" s="62">
        <f t="shared" si="102"/>
        <v>323.72278615226139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projet'!$B$16,Paramètres!$A$1:$I$89,3,0)*0.475*44/12</f>
        <v>0</v>
      </c>
      <c r="FR132" s="23">
        <f>EXP(-LN(2)/25)*FR131+(1-EXP(-LN(2)/25))/(LN(2)/25)*Calculateur!FM132*Calculateur!FO132*VLOOKUP('Données projet'!$B$16,Paramètres!$A$1:$I$89,3,0)*0.475*44/12</f>
        <v>0</v>
      </c>
      <c r="FS132" s="23">
        <f>EXP(-LN(2)/2)*FS131+(1-EXP(-LN(2)/2))/(LN(2)/2)*FM132*FP132*VLOOKUP('Données projet'!$B$16,Paramètres!$A$1:$I$89,3,0)*0.475*44/12</f>
        <v>0</v>
      </c>
      <c r="FT132" s="24">
        <f t="shared" ref="FT132:FT153" si="132">SUM(FQ132:FS132)</f>
        <v>0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67.869321458228157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4.0666666666666664</v>
      </c>
      <c r="FZ132" s="13">
        <f>IF('Données projet'!$A$244&gt;35,FZ131+FY132-GH131,IF(A132&lt;'Données projet'!$A$244,$FW$205^A132,IF(A132='Données projet'!$A$244,'Données projet'!$B$244,FZ131+FY132-GH131)))</f>
        <v>341.59999999999974</v>
      </c>
      <c r="GA132" s="18">
        <f>FZ132*VLOOKUP('Données projet'!$B$17,Paramètres!$A$1:$I$89,3,0)*VLOOKUP('Données projet'!$B$17,Paramètres!$A$1:$I$89,5,0)</f>
        <v>330.39551999999975</v>
      </c>
      <c r="GB132" s="14">
        <f t="shared" si="103"/>
        <v>77.51230284139038</v>
      </c>
      <c r="GC132" s="22">
        <f t="shared" ref="GC132:GC153" si="133">(GA132+GB132)*0.475*44/12</f>
        <v>710.43945811542119</v>
      </c>
      <c r="GD132" s="62">
        <f t="shared" ref="GD132:GD195" si="134">GC132+(FU132+FV132)*44/12</f>
        <v>995.9603034622578</v>
      </c>
      <c r="GE132" s="62">
        <f ca="1">AVERAGE(OFFSET($GD$3,0,0,'Données projet'!$E$17+1,1))-AVERAGE(OFFSET($H$3,0,0,'Données projet'!$E$17+1,1))</f>
        <v>578.44111602076555</v>
      </c>
      <c r="GF132" s="62">
        <f t="shared" si="104"/>
        <v>368.08542661432784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>
        <f>EXP(-LN(2)/35)*GL131+(1-EXP(-LN(2)/35))/(LN(2)/35)*GH132*GI132*VLOOKUP('Données projet'!$B$17,Paramètres!$A$1:$I$89,3,0)*0.475*44/12</f>
        <v>0</v>
      </c>
      <c r="GM132" s="23">
        <f>EXP(-LN(2)/25)*GM131+(1-EXP(-LN(2)/25))/(LN(2)/25)*Calculateur!GH132*Calculateur!GJ132*VLOOKUP('Données projet'!$B$17,Paramètres!$A$1:$I$89,3,0)*0.475*44/12</f>
        <v>0</v>
      </c>
      <c r="GN132" s="23">
        <f>EXP(-LN(2)/2)*GN131+(1-EXP(-LN(2)/2))/(LN(2)/2)*GH132*GK132*VLOOKUP('Données projet'!$B$17,Paramètres!$A$1:$I$89,3,0)*0.475*44/12</f>
        <v>0</v>
      </c>
      <c r="GO132" s="23">
        <f t="shared" ref="GO132:GO153" si="135">SUM(GL132:GN132)</f>
        <v>0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67.869321458228157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4.0735000000000001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14.936166666666667</v>
      </c>
      <c r="H133" s="70">
        <f t="shared" si="110"/>
        <v>196.922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67.90628396744431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4.0666666666666664</v>
      </c>
      <c r="N133" s="14">
        <f>IF('Données projet'!$A$36&gt;35,N132+M133-V132,IF(A133&lt;'Données projet'!$A$36,$K$205^A133,IF(A133='Données projet'!$A$36,'Données projet'!$B$36,N132+M133-V132)))</f>
        <v>345.6666666666664</v>
      </c>
      <c r="O133" s="14">
        <f>N133*VLOOKUP('Données projet'!$B$9,Paramètres!$A$1:$I$89,3,0)*VLOOKUP('Données projet'!$B$9,Paramètres!$A$1:$I$89,5,0)</f>
        <v>312.75919999999974</v>
      </c>
      <c r="P133" s="14">
        <f t="shared" ref="P133:P196" si="141">EXP(-1.0587+0.8836*LN(O133)+0.284)</f>
        <v>73.844763437371</v>
      </c>
      <c r="Q133" s="22">
        <f t="shared" si="108"/>
        <v>673.33523632008735</v>
      </c>
      <c r="R133" s="62">
        <f t="shared" si="109"/>
        <v>958.99161086738309</v>
      </c>
      <c r="S133" s="62">
        <f ca="1">AVERAGE(OFFSET($R$3,0,0,'Données projet'!$E$9+1,1))-AVERAGE(OFFSET($H$3,0,0,'Données projet'!$E$9+1,1))</f>
        <v>546.11281471711925</v>
      </c>
      <c r="T133" s="62">
        <f t="shared" ref="T133:T196" si="142">$T$3</f>
        <v>348.18069831447099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67.90628396744431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5.8</v>
      </c>
      <c r="AI133" s="14">
        <f>IF('Données projet'!$A$62&gt;35,AI132+AH133-AQ132,IF(A133&lt;'Données projet'!$A$62,$AF$205^A133,IF(A133='Données projet'!$A$62,'Données projet'!$B$62,AI132+AH133-AQ132)))</f>
        <v>516.99999999999966</v>
      </c>
      <c r="AJ133" s="14">
        <f>AI133*VLOOKUP('Données projet'!$B$10,Paramètres!$A$1:$I$89,3,0)*VLOOKUP('Données projet'!$B$10,Paramètres!$A$1:$I$89,5,0)</f>
        <v>443.58599999999979</v>
      </c>
      <c r="AK133" s="14">
        <f t="shared" ref="AK133:AK153" si="143">EXP(-1.0587+0.8836*LN(AJ133)+0.284)</f>
        <v>100.55916911965511</v>
      </c>
      <c r="AL133" s="22">
        <f t="shared" si="112"/>
        <v>947.71950288339883</v>
      </c>
      <c r="AM133" s="62">
        <f t="shared" si="113"/>
        <v>1233.3758774306946</v>
      </c>
      <c r="AN133" s="62">
        <f ca="1">AVERAGE(OFFSET($AM$3,0,0,'Données projet'!$E$10+1,1))-AVERAGE(OFFSET($H$3,0,0,'Données projet'!$E$10+1,1))</f>
        <v>693.87994318348024</v>
      </c>
      <c r="AO133" s="62">
        <f t="shared" ref="AO133:AO196" si="144">$AO$3</f>
        <v>327.71043739333641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67.90628396744431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4.0666666666666664</v>
      </c>
      <c r="BD133" s="13">
        <f>IF('Données projet'!$A$88&gt;35,BD132+BC133-BL132,IF(A133&lt;'Données projet'!$A$88,$BA$205^A133,IF(A133='Données projet'!$A$88,'Données projet'!$B$88,BD132+BC133-BL132)))</f>
        <v>345.6666666666664</v>
      </c>
      <c r="BE133" s="14">
        <f>BD133*VLOOKUP('Données projet'!$B$11,Paramètres!$A$1:$I$89,3,0)*VLOOKUP('Données projet'!$B$11,Paramètres!$A$1:$I$89,5,0)</f>
        <v>291.18959999999981</v>
      </c>
      <c r="BF133" s="14">
        <f t="shared" ref="BF133:BF153" si="145">EXP(-1.0587+0.8836*LN(BE133)+0.284)</f>
        <v>69.326273255048633</v>
      </c>
      <c r="BG133" s="22">
        <f t="shared" si="115"/>
        <v>627.89847925254264</v>
      </c>
      <c r="BH133" s="62">
        <f t="shared" si="116"/>
        <v>913.55485379983838</v>
      </c>
      <c r="BI133" s="62">
        <f ca="1">AVERAGE(OFFSET($BH$3,0,0,'Données projet'!$E$11+1,1))-AVERAGE(OFFSET($H$3,0,0,'Données projet'!$E$11+1,1))</f>
        <v>513.7388209355762</v>
      </c>
      <c r="BJ133" s="62">
        <f t="shared" ref="BJ133:BJ196" si="146">$BJ$3</f>
        <v>328.24603121433927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67.90628396744431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4.5474735088646412E-13</v>
      </c>
      <c r="BZ133" s="14">
        <f>BY133*VLOOKUP('Données projet'!$B$12,Paramètres!$A$1:$I$89,3,0)*VLOOKUP('Données projet'!$B$12,Paramètres!$A$1:$I$89,5,0)</f>
        <v>3.6179699236527089E-13</v>
      </c>
      <c r="CA133" s="14">
        <f t="shared" ref="CA133:CA153" si="147">EXP(-1.0587+0.8836*LN(BZ133)+0.284)</f>
        <v>4.6796319415916035E-12</v>
      </c>
      <c r="CB133" s="22">
        <f t="shared" si="118"/>
        <v>8.7804887266415556E-12</v>
      </c>
      <c r="CC133" s="62">
        <f t="shared" si="119"/>
        <v>285.65637454730455</v>
      </c>
      <c r="CD133" s="62">
        <f ca="1">AVERAGE(OFFSET($CC$3,0,0,'Données projet'!$E$12+1,1))-AVERAGE(OFFSET($H$3,0,0,'Données projet'!$E$12+1,1))</f>
        <v>447.25854887589878</v>
      </c>
      <c r="CE133" s="62">
        <f t="shared" ref="CE133:CE196" si="148">$CE$3</f>
        <v>480.13390593590157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67.90628396744431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1.1368683772161603E-13</v>
      </c>
      <c r="CU133" s="18">
        <f>CT133*VLOOKUP('Données projet'!$B$13,Paramètres!$A$1:$I$89,3,0)*VLOOKUP('Données projet'!$B$13,Paramètres!$A$1:$I$89,5,0)</f>
        <v>8.8675733422860506E-14</v>
      </c>
      <c r="CV133" s="14">
        <f t="shared" ref="CV133:CV153" si="149">EXP(-1.0587+0.8836*LN(CU133)+0.284)</f>
        <v>1.3509285393066301E-12</v>
      </c>
      <c r="CW133" s="22">
        <f t="shared" si="121"/>
        <v>2.5073107750038623E-12</v>
      </c>
      <c r="CX133" s="62">
        <f t="shared" si="122"/>
        <v>285.6563745472983</v>
      </c>
      <c r="CY133" s="62">
        <f ca="1">AVERAGE(OFFSET($CX$3,0,0,'Données projet'!$E$13+1,1))-AVERAGE(OFFSET($H$3,0,0,'Données projet'!$E$13+1,1))</f>
        <v>308.52515801950324</v>
      </c>
      <c r="CZ133" s="62">
        <f t="shared" ref="CZ133:CZ196" si="150">$CZ$3</f>
        <v>299.05420638408953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67.90628396744431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4.5474735088646412E-13</v>
      </c>
      <c r="DP133" s="18">
        <f>DO133*VLOOKUP('Données projet'!$B$14,Paramètres!$A$1:$I$89,3,0)*VLOOKUP('Données projet'!$B$14,Paramètres!$A$1:$I$89,5,0)</f>
        <v>3.3342075766995548E-13</v>
      </c>
      <c r="DQ133" s="14">
        <f t="shared" ref="DQ133:DQ153" si="151">EXP(-1.0587+0.8836*LN(DP133)+0.284)</f>
        <v>4.3537988100583648E-12</v>
      </c>
      <c r="DR133" s="22">
        <f t="shared" si="124"/>
        <v>8.1635740804601579E-12</v>
      </c>
      <c r="DS133" s="62">
        <f t="shared" si="125"/>
        <v>285.65637454730398</v>
      </c>
      <c r="DT133" s="62">
        <f ca="1">AVERAGE(OFFSET($DS$3,0,0,'Données projet'!$E$14+1,1))-AVERAGE(OFFSET($H$3,0,0,'Données projet'!$E$14+1,1))</f>
        <v>416.72317068678774</v>
      </c>
      <c r="DU133" s="62">
        <f t="shared" ref="DU133:DU196" si="152">$DU$3</f>
        <v>447.32457429495537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67.90628396744431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5.6843418860808015E-14</v>
      </c>
      <c r="EK133" s="18">
        <f>EJ133*VLOOKUP('Données projet'!$B$15,Paramètres!$A$1:$I$89,3,0)*VLOOKUP('Données projet'!$B$15,Paramètres!$A$1:$I$89,5,0)</f>
        <v>5.4092197387944907E-14</v>
      </c>
      <c r="EL133" s="14">
        <f t="shared" ref="EL133:EL153" si="153">EXP(-1.0587+0.8836*LN(EK133)+0.284)</f>
        <v>8.7287050538073676E-13</v>
      </c>
      <c r="EM133" s="22">
        <f t="shared" si="127"/>
        <v>1.6144600406554537E-12</v>
      </c>
      <c r="EN133" s="62">
        <f t="shared" si="128"/>
        <v>285.65637454729739</v>
      </c>
      <c r="EO133" s="62">
        <f ca="1">AVERAGE(OFFSET($EN$3,0,0,'Données projet'!$E$15+1,1))-AVERAGE(OFFSET($H$3,0,0,'Données projet'!$E$15+1,1))</f>
        <v>454.78867027701426</v>
      </c>
      <c r="EP133" s="62">
        <f t="shared" ref="EP133:EP196" si="154">$EP$3</f>
        <v>366.45346303927056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0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67.90628396744431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>
        <f>FE133*VLOOKUP('Données projet'!$B$16,Paramètres!$A$1:$I$89,3,0)*VLOOKUP('Données projet'!$B$16,Paramètres!$A$1:$I$89,5,0)</f>
        <v>0</v>
      </c>
      <c r="FG133" s="14" t="e">
        <f t="shared" ref="FG133:FG153" si="155">EXP(-1.0587+0.8836*LN(FF133)+0.284)</f>
        <v>#NUM!</v>
      </c>
      <c r="FH133" s="22" t="e">
        <f t="shared" si="130"/>
        <v>#NUM!</v>
      </c>
      <c r="FI133" s="62" t="e">
        <f t="shared" si="131"/>
        <v>#NUM!</v>
      </c>
      <c r="FJ133" s="62">
        <f ca="1">AVERAGE(OFFSET($FI$3,0,0,'Données projet'!$E$16+1,1))-AVERAGE(OFFSET($H$3,0,0,'Données projet'!$E$16+1,1))</f>
        <v>390.05579539539576</v>
      </c>
      <c r="FK133" s="62">
        <f t="shared" ref="FK133:FK196" si="156">$FK$3</f>
        <v>323.72278615226139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projet'!$B$16,Paramètres!$A$1:$I$89,3,0)*0.475*44/12</f>
        <v>0</v>
      </c>
      <c r="FR133" s="23">
        <f>EXP(-LN(2)/25)*FR132+(1-EXP(-LN(2)/25))/(LN(2)/25)*Calculateur!FM133*Calculateur!FO133*VLOOKUP('Données projet'!$B$16,Paramètres!$A$1:$I$89,3,0)*0.475*44/12</f>
        <v>0</v>
      </c>
      <c r="FS133" s="23">
        <f>EXP(-LN(2)/2)*FS132+(1-EXP(-LN(2)/2))/(LN(2)/2)*FM133*FP133*VLOOKUP('Données projet'!$B$16,Paramètres!$A$1:$I$89,3,0)*0.475*44/12</f>
        <v>0</v>
      </c>
      <c r="FT133" s="24">
        <f t="shared" si="132"/>
        <v>0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67.90628396744431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4.0666666666666664</v>
      </c>
      <c r="FZ133" s="13">
        <f>IF('Données projet'!$A$244&gt;35,FZ132+FY133-GH132,IF(A133&lt;'Données projet'!$A$244,$FW$205^A133,IF(A133='Données projet'!$A$244,'Données projet'!$B$244,FZ132+FY133-GH132)))</f>
        <v>345.6666666666664</v>
      </c>
      <c r="GA133" s="18">
        <f>FZ133*VLOOKUP('Données projet'!$B$17,Paramètres!$A$1:$I$89,3,0)*VLOOKUP('Données projet'!$B$17,Paramètres!$A$1:$I$89,5,0)</f>
        <v>334.32879999999972</v>
      </c>
      <c r="GB133" s="14">
        <f t="shared" ref="GB133:GB153" si="157">EXP(-1.0587+0.8836*LN(GA133)+0.284)</f>
        <v>78.327096008145489</v>
      </c>
      <c r="GC133" s="22">
        <f t="shared" si="133"/>
        <v>718.7090188808528</v>
      </c>
      <c r="GD133" s="62">
        <f t="shared" si="134"/>
        <v>1004.3653934281485</v>
      </c>
      <c r="GE133" s="62">
        <f ca="1">AVERAGE(OFFSET($GD$3,0,0,'Données projet'!$E$17+1,1))-AVERAGE(OFFSET($H$3,0,0,'Données projet'!$E$17+1,1))</f>
        <v>578.44111602076555</v>
      </c>
      <c r="GF133" s="62">
        <f t="shared" ref="GF133:GF196" si="158">$GF$3</f>
        <v>368.08542661432784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>
        <f>EXP(-LN(2)/35)*GL132+(1-EXP(-LN(2)/35))/(LN(2)/35)*GH133*GI133*VLOOKUP('Données projet'!$B$17,Paramètres!$A$1:$I$89,3,0)*0.475*44/12</f>
        <v>0</v>
      </c>
      <c r="GM133" s="23">
        <f>EXP(-LN(2)/25)*GM132+(1-EXP(-LN(2)/25))/(LN(2)/25)*Calculateur!GH133*Calculateur!GJ133*VLOOKUP('Données projet'!$B$17,Paramètres!$A$1:$I$89,3,0)*0.475*44/12</f>
        <v>0</v>
      </c>
      <c r="GN133" s="23">
        <f>EXP(-LN(2)/2)*GN132+(1-EXP(-LN(2)/2))/(LN(2)/2)*GH133*GK133*VLOOKUP('Données projet'!$B$17,Paramètres!$A$1:$I$89,3,0)*0.475*44/12</f>
        <v>0</v>
      </c>
      <c r="GO133" s="23">
        <f t="shared" si="135"/>
        <v>0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67.90628396744431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4.0735000000000001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14.936166666666667</v>
      </c>
      <c r="H134" s="70">
        <f t="shared" si="110"/>
        <v>196.922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67.942605259761336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4.0666666666666664</v>
      </c>
      <c r="N134" s="14">
        <f>IF('Données projet'!$A$36&gt;35,N133+M134-V133,IF(A134&lt;'Données projet'!$A$36,$K$205^A134,IF(A134='Données projet'!$A$36,'Données projet'!$B$36,N133+M134-V133)))</f>
        <v>349.73333333333306</v>
      </c>
      <c r="O134" s="14">
        <f>N134*VLOOKUP('Données projet'!$B$9,Paramètres!$A$1:$I$89,3,0)*VLOOKUP('Données projet'!$B$9,Paramètres!$A$1:$I$89,5,0)</f>
        <v>316.43871999999976</v>
      </c>
      <c r="P134" s="14">
        <f t="shared" si="141"/>
        <v>74.61187815297771</v>
      </c>
      <c r="Q134" s="22">
        <f t="shared" si="108"/>
        <v>681.07979178310245</v>
      </c>
      <c r="R134" s="62">
        <f t="shared" si="109"/>
        <v>966.8693444022274</v>
      </c>
      <c r="S134" s="62">
        <f ca="1">AVERAGE(OFFSET($R$3,0,0,'Données projet'!$E$9+1,1))-AVERAGE(OFFSET($H$3,0,0,'Données projet'!$E$9+1,1))</f>
        <v>546.11281471711925</v>
      </c>
      <c r="T134" s="62">
        <f t="shared" si="142"/>
        <v>348.18069831447099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67.942605259761336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5.8</v>
      </c>
      <c r="AI134" s="14">
        <f>IF('Données projet'!$A$62&gt;35,AI133+AH134-AQ133,IF(A134&lt;'Données projet'!$A$62,$AF$205^A134,IF(A134='Données projet'!$A$62,'Données projet'!$B$62,AI133+AH134-AQ133)))</f>
        <v>522.79999999999961</v>
      </c>
      <c r="AJ134" s="14">
        <f>AI134*VLOOKUP('Données projet'!$B$10,Paramètres!$A$1:$I$89,3,0)*VLOOKUP('Données projet'!$B$10,Paramètres!$A$1:$I$89,5,0)</f>
        <v>448.56239999999968</v>
      </c>
      <c r="AK134" s="14">
        <f t="shared" si="143"/>
        <v>101.55533659748193</v>
      </c>
      <c r="AL134" s="22">
        <f t="shared" si="112"/>
        <v>958.12172457394684</v>
      </c>
      <c r="AM134" s="62">
        <f t="shared" si="113"/>
        <v>1243.9112771930718</v>
      </c>
      <c r="AN134" s="62">
        <f ca="1">AVERAGE(OFFSET($AM$3,0,0,'Données projet'!$E$10+1,1))-AVERAGE(OFFSET($H$3,0,0,'Données projet'!$E$10+1,1))</f>
        <v>693.87994318348024</v>
      </c>
      <c r="AO134" s="62">
        <f t="shared" si="144"/>
        <v>327.71043739333641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67.942605259761336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4.0666666666666664</v>
      </c>
      <c r="BD134" s="13">
        <f>IF('Données projet'!$A$88&gt;35,BD133+BC134-BL133,IF(A134&lt;'Données projet'!$A$88,$BA$205^A134,IF(A134='Données projet'!$A$88,'Données projet'!$B$88,BD133+BC134-BL133)))</f>
        <v>349.73333333333306</v>
      </c>
      <c r="BE134" s="14">
        <f>BD134*VLOOKUP('Données projet'!$B$11,Paramètres!$A$1:$I$89,3,0)*VLOOKUP('Données projet'!$B$11,Paramètres!$A$1:$I$89,5,0)</f>
        <v>294.61535999999984</v>
      </c>
      <c r="BF134" s="14">
        <f t="shared" si="145"/>
        <v>70.04644895765243</v>
      </c>
      <c r="BG134" s="22">
        <f t="shared" si="115"/>
        <v>635.11931726791101</v>
      </c>
      <c r="BH134" s="62">
        <f t="shared" si="116"/>
        <v>920.90886988703596</v>
      </c>
      <c r="BI134" s="62">
        <f ca="1">AVERAGE(OFFSET($BH$3,0,0,'Données projet'!$E$11+1,1))-AVERAGE(OFFSET($H$3,0,0,'Données projet'!$E$11+1,1))</f>
        <v>513.7388209355762</v>
      </c>
      <c r="BJ134" s="62">
        <f t="shared" si="146"/>
        <v>328.24603121433927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67.942605259761336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4.5474735088646412E-13</v>
      </c>
      <c r="BZ134" s="14">
        <f>BY134*VLOOKUP('Données projet'!$B$12,Paramètres!$A$1:$I$89,3,0)*VLOOKUP('Données projet'!$B$12,Paramètres!$A$1:$I$89,5,0)</f>
        <v>3.6179699236527089E-13</v>
      </c>
      <c r="CA134" s="14">
        <f t="shared" si="147"/>
        <v>4.6796319415916035E-12</v>
      </c>
      <c r="CB134" s="22">
        <f t="shared" si="118"/>
        <v>8.7804887266415556E-12</v>
      </c>
      <c r="CC134" s="62">
        <f t="shared" si="119"/>
        <v>285.78955261913364</v>
      </c>
      <c r="CD134" s="62">
        <f ca="1">AVERAGE(OFFSET($CC$3,0,0,'Données projet'!$E$12+1,1))-AVERAGE(OFFSET($H$3,0,0,'Données projet'!$E$12+1,1))</f>
        <v>447.25854887589878</v>
      </c>
      <c r="CE134" s="62">
        <f t="shared" si="148"/>
        <v>480.13390593590157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67.942605259761336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1.1368683772161603E-13</v>
      </c>
      <c r="CU134" s="18">
        <f>CT134*VLOOKUP('Données projet'!$B$13,Paramètres!$A$1:$I$89,3,0)*VLOOKUP('Données projet'!$B$13,Paramètres!$A$1:$I$89,5,0)</f>
        <v>8.8675733422860506E-14</v>
      </c>
      <c r="CV134" s="14">
        <f t="shared" si="149"/>
        <v>1.3509285393066301E-12</v>
      </c>
      <c r="CW134" s="22">
        <f t="shared" si="121"/>
        <v>2.5073107750038623E-12</v>
      </c>
      <c r="CX134" s="62">
        <f t="shared" si="122"/>
        <v>285.78955261912739</v>
      </c>
      <c r="CY134" s="62">
        <f ca="1">AVERAGE(OFFSET($CX$3,0,0,'Données projet'!$E$13+1,1))-AVERAGE(OFFSET($H$3,0,0,'Données projet'!$E$13+1,1))</f>
        <v>308.52515801950324</v>
      </c>
      <c r="CZ134" s="62">
        <f t="shared" si="150"/>
        <v>299.05420638408953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67.942605259761336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4.5474735088646412E-13</v>
      </c>
      <c r="DP134" s="18">
        <f>DO134*VLOOKUP('Données projet'!$B$14,Paramètres!$A$1:$I$89,3,0)*VLOOKUP('Données projet'!$B$14,Paramètres!$A$1:$I$89,5,0)</f>
        <v>3.3342075766995548E-13</v>
      </c>
      <c r="DQ134" s="14">
        <f t="shared" si="151"/>
        <v>4.3537988100583648E-12</v>
      </c>
      <c r="DR134" s="22">
        <f t="shared" si="124"/>
        <v>8.1635740804601579E-12</v>
      </c>
      <c r="DS134" s="62">
        <f t="shared" si="125"/>
        <v>285.78955261913308</v>
      </c>
      <c r="DT134" s="62">
        <f ca="1">AVERAGE(OFFSET($DS$3,0,0,'Données projet'!$E$14+1,1))-AVERAGE(OFFSET($H$3,0,0,'Données projet'!$E$14+1,1))</f>
        <v>416.72317068678774</v>
      </c>
      <c r="DU134" s="62">
        <f t="shared" si="152"/>
        <v>447.32457429495537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67.942605259761336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5.6843418860808015E-14</v>
      </c>
      <c r="EK134" s="18">
        <f>EJ134*VLOOKUP('Données projet'!$B$15,Paramètres!$A$1:$I$89,3,0)*VLOOKUP('Données projet'!$B$15,Paramètres!$A$1:$I$89,5,0)</f>
        <v>5.4092197387944907E-14</v>
      </c>
      <c r="EL134" s="14">
        <f t="shared" si="153"/>
        <v>8.7287050538073676E-13</v>
      </c>
      <c r="EM134" s="22">
        <f t="shared" si="127"/>
        <v>1.6144600406554537E-12</v>
      </c>
      <c r="EN134" s="62">
        <f t="shared" si="128"/>
        <v>285.78955261912648</v>
      </c>
      <c r="EO134" s="62">
        <f ca="1">AVERAGE(OFFSET($EN$3,0,0,'Données projet'!$E$15+1,1))-AVERAGE(OFFSET($H$3,0,0,'Données projet'!$E$15+1,1))</f>
        <v>454.78867027701426</v>
      </c>
      <c r="EP134" s="62">
        <f t="shared" si="154"/>
        <v>366.45346303927056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0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67.942605259761336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>
        <f>FE134*VLOOKUP('Données projet'!$B$16,Paramètres!$A$1:$I$89,3,0)*VLOOKUP('Données projet'!$B$16,Paramètres!$A$1:$I$89,5,0)</f>
        <v>0</v>
      </c>
      <c r="FG134" s="14" t="e">
        <f t="shared" si="155"/>
        <v>#NUM!</v>
      </c>
      <c r="FH134" s="22" t="e">
        <f t="shared" si="130"/>
        <v>#NUM!</v>
      </c>
      <c r="FI134" s="62" t="e">
        <f t="shared" si="131"/>
        <v>#NUM!</v>
      </c>
      <c r="FJ134" s="62">
        <f ca="1">AVERAGE(OFFSET($FI$3,0,0,'Données projet'!$E$16+1,1))-AVERAGE(OFFSET($H$3,0,0,'Données projet'!$E$16+1,1))</f>
        <v>390.05579539539576</v>
      </c>
      <c r="FK134" s="62">
        <f t="shared" si="156"/>
        <v>323.72278615226139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projet'!$B$16,Paramètres!$A$1:$I$89,3,0)*0.475*44/12</f>
        <v>0</v>
      </c>
      <c r="FR134" s="23">
        <f>EXP(-LN(2)/25)*FR133+(1-EXP(-LN(2)/25))/(LN(2)/25)*Calculateur!FM134*Calculateur!FO134*VLOOKUP('Données projet'!$B$16,Paramètres!$A$1:$I$89,3,0)*0.475*44/12</f>
        <v>0</v>
      </c>
      <c r="FS134" s="23">
        <f>EXP(-LN(2)/2)*FS133+(1-EXP(-LN(2)/2))/(LN(2)/2)*FM134*FP134*VLOOKUP('Données projet'!$B$16,Paramètres!$A$1:$I$89,3,0)*0.475*44/12</f>
        <v>0</v>
      </c>
      <c r="FT134" s="24">
        <f t="shared" si="132"/>
        <v>0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67.942605259761336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4.0666666666666664</v>
      </c>
      <c r="FZ134" s="13">
        <f>IF('Données projet'!$A$244&gt;35,FZ133+FY134-GH133,IF(A134&lt;'Données projet'!$A$244,$FW$205^A134,IF(A134='Données projet'!$A$244,'Données projet'!$B$244,FZ133+FY134-GH133)))</f>
        <v>349.73333333333306</v>
      </c>
      <c r="GA134" s="18">
        <f>FZ134*VLOOKUP('Données projet'!$B$17,Paramètres!$A$1:$I$89,3,0)*VLOOKUP('Données projet'!$B$17,Paramètres!$A$1:$I$89,5,0)</f>
        <v>338.26207999999974</v>
      </c>
      <c r="GB134" s="14">
        <f t="shared" si="157"/>
        <v>79.140774123988493</v>
      </c>
      <c r="GC134" s="22">
        <f t="shared" si="133"/>
        <v>726.97663759927946</v>
      </c>
      <c r="GD134" s="62">
        <f t="shared" si="134"/>
        <v>1012.7661902184043</v>
      </c>
      <c r="GE134" s="62">
        <f ca="1">AVERAGE(OFFSET($GD$3,0,0,'Données projet'!$E$17+1,1))-AVERAGE(OFFSET($H$3,0,0,'Données projet'!$E$17+1,1))</f>
        <v>578.44111602076555</v>
      </c>
      <c r="GF134" s="62">
        <f t="shared" si="158"/>
        <v>368.08542661432784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>
        <f>EXP(-LN(2)/35)*GL133+(1-EXP(-LN(2)/35))/(LN(2)/35)*GH134*GI134*VLOOKUP('Données projet'!$B$17,Paramètres!$A$1:$I$89,3,0)*0.475*44/12</f>
        <v>0</v>
      </c>
      <c r="GM134" s="23">
        <f>EXP(-LN(2)/25)*GM133+(1-EXP(-LN(2)/25))/(LN(2)/25)*Calculateur!GH134*Calculateur!GJ134*VLOOKUP('Données projet'!$B$17,Paramètres!$A$1:$I$89,3,0)*0.475*44/12</f>
        <v>0</v>
      </c>
      <c r="GN134" s="23">
        <f>EXP(-LN(2)/2)*GN133+(1-EXP(-LN(2)/2))/(LN(2)/2)*GH134*GK134*VLOOKUP('Données projet'!$B$17,Paramètres!$A$1:$I$89,3,0)*0.475*44/12</f>
        <v>0</v>
      </c>
      <c r="GO134" s="23">
        <f t="shared" si="135"/>
        <v>0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67.942605259761336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4.0735000000000001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14.936166666666667</v>
      </c>
      <c r="H135" s="70">
        <f t="shared" si="110"/>
        <v>196.922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67.978296458858921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4.0666666666666664</v>
      </c>
      <c r="N135" s="14">
        <f>IF('Données projet'!$A$36&gt;35,N134+M135-V134,IF(A135&lt;'Données projet'!$A$36,$K$205^A135,IF(A135='Données projet'!$A$36,'Données projet'!$B$36,N134+M135-V134)))</f>
        <v>353.79999999999973</v>
      </c>
      <c r="O135" s="14">
        <f>N135*VLOOKUP('Données projet'!$B$9,Paramètres!$A$1:$I$89,3,0)*VLOOKUP('Données projet'!$B$9,Paramètres!$A$1:$I$89,5,0)</f>
        <v>320.11823999999973</v>
      </c>
      <c r="P135" s="14">
        <f t="shared" si="141"/>
        <v>75.377955265343516</v>
      </c>
      <c r="Q135" s="22">
        <f t="shared" si="108"/>
        <v>688.8225400871396</v>
      </c>
      <c r="R135" s="62">
        <f t="shared" si="109"/>
        <v>974.74296043628897</v>
      </c>
      <c r="S135" s="62">
        <f ca="1">AVERAGE(OFFSET($R$3,0,0,'Données projet'!$E$9+1,1))-AVERAGE(OFFSET($H$3,0,0,'Données projet'!$E$9+1,1))</f>
        <v>546.11281471711925</v>
      </c>
      <c r="T135" s="62">
        <f t="shared" si="142"/>
        <v>348.18069831447099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67.978296458858921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5.8</v>
      </c>
      <c r="AI135" s="14">
        <f>IF('Données projet'!$A$62&gt;35,AI134+AH135-AQ134,IF(A135&lt;'Données projet'!$A$62,$AF$205^A135,IF(A135='Données projet'!$A$62,'Données projet'!$B$62,AI134+AH135-AQ134)))</f>
        <v>528.59999999999957</v>
      </c>
      <c r="AJ135" s="14">
        <f>AI135*VLOOKUP('Données projet'!$B$10,Paramètres!$A$1:$I$89,3,0)*VLOOKUP('Données projet'!$B$10,Paramètres!$A$1:$I$89,5,0)</f>
        <v>453.5387999999997</v>
      </c>
      <c r="AK135" s="14">
        <f t="shared" si="143"/>
        <v>102.55021847256151</v>
      </c>
      <c r="AL135" s="22">
        <f t="shared" si="112"/>
        <v>968.52170717304398</v>
      </c>
      <c r="AM135" s="62">
        <f t="shared" si="113"/>
        <v>1254.4421275221935</v>
      </c>
      <c r="AN135" s="62">
        <f ca="1">AVERAGE(OFFSET($AM$3,0,0,'Données projet'!$E$10+1,1))-AVERAGE(OFFSET($H$3,0,0,'Données projet'!$E$10+1,1))</f>
        <v>693.87994318348024</v>
      </c>
      <c r="AO135" s="62">
        <f t="shared" si="144"/>
        <v>327.71043739333641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67.978296458858921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4.0666666666666664</v>
      </c>
      <c r="BD135" s="13">
        <f>IF('Données projet'!$A$88&gt;35,BD134+BC135-BL134,IF(A135&lt;'Données projet'!$A$88,$BA$205^A135,IF(A135='Données projet'!$A$88,'Données projet'!$B$88,BD134+BC135-BL134)))</f>
        <v>353.79999999999973</v>
      </c>
      <c r="BE135" s="14">
        <f>BD135*VLOOKUP('Données projet'!$B$11,Paramètres!$A$1:$I$89,3,0)*VLOOKUP('Données projet'!$B$11,Paramètres!$A$1:$I$89,5,0)</f>
        <v>298.04111999999981</v>
      </c>
      <c r="BF135" s="14">
        <f t="shared" si="145"/>
        <v>70.765650546961453</v>
      </c>
      <c r="BG135" s="22">
        <f t="shared" si="115"/>
        <v>642.33845870262417</v>
      </c>
      <c r="BH135" s="62">
        <f t="shared" si="116"/>
        <v>928.25887905177353</v>
      </c>
      <c r="BI135" s="62">
        <f ca="1">AVERAGE(OFFSET($BH$3,0,0,'Données projet'!$E$11+1,1))-AVERAGE(OFFSET($H$3,0,0,'Données projet'!$E$11+1,1))</f>
        <v>513.7388209355762</v>
      </c>
      <c r="BJ135" s="62">
        <f t="shared" si="146"/>
        <v>328.24603121433927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67.978296458858921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4.5474735088646412E-13</v>
      </c>
      <c r="BZ135" s="14">
        <f>BY135*VLOOKUP('Données projet'!$B$12,Paramètres!$A$1:$I$89,3,0)*VLOOKUP('Données projet'!$B$12,Paramètres!$A$1:$I$89,5,0)</f>
        <v>3.6179699236527089E-13</v>
      </c>
      <c r="CA135" s="14">
        <f t="shared" si="147"/>
        <v>4.6796319415916035E-12</v>
      </c>
      <c r="CB135" s="22">
        <f t="shared" si="118"/>
        <v>8.7804887266415556E-12</v>
      </c>
      <c r="CC135" s="62">
        <f t="shared" si="119"/>
        <v>285.92042034915812</v>
      </c>
      <c r="CD135" s="62">
        <f ca="1">AVERAGE(OFFSET($CC$3,0,0,'Données projet'!$E$12+1,1))-AVERAGE(OFFSET($H$3,0,0,'Données projet'!$E$12+1,1))</f>
        <v>447.25854887589878</v>
      </c>
      <c r="CE135" s="62">
        <f t="shared" si="148"/>
        <v>480.13390593590157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67.978296458858921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1.1368683772161603E-13</v>
      </c>
      <c r="CU135" s="18">
        <f>CT135*VLOOKUP('Données projet'!$B$13,Paramètres!$A$1:$I$89,3,0)*VLOOKUP('Données projet'!$B$13,Paramètres!$A$1:$I$89,5,0)</f>
        <v>8.8675733422860506E-14</v>
      </c>
      <c r="CV135" s="14">
        <f t="shared" si="149"/>
        <v>1.3509285393066301E-12</v>
      </c>
      <c r="CW135" s="22">
        <f t="shared" si="121"/>
        <v>2.5073107750038623E-12</v>
      </c>
      <c r="CX135" s="62">
        <f t="shared" si="122"/>
        <v>285.92042034915187</v>
      </c>
      <c r="CY135" s="62">
        <f ca="1">AVERAGE(OFFSET($CX$3,0,0,'Données projet'!$E$13+1,1))-AVERAGE(OFFSET($H$3,0,0,'Données projet'!$E$13+1,1))</f>
        <v>308.52515801950324</v>
      </c>
      <c r="CZ135" s="62">
        <f t="shared" si="150"/>
        <v>299.05420638408953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67.978296458858921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4.5474735088646412E-13</v>
      </c>
      <c r="DP135" s="18">
        <f>DO135*VLOOKUP('Données projet'!$B$14,Paramètres!$A$1:$I$89,3,0)*VLOOKUP('Données projet'!$B$14,Paramètres!$A$1:$I$89,5,0)</f>
        <v>3.3342075766995548E-13</v>
      </c>
      <c r="DQ135" s="14">
        <f t="shared" si="151"/>
        <v>4.3537988100583648E-12</v>
      </c>
      <c r="DR135" s="22">
        <f t="shared" si="124"/>
        <v>8.1635740804601579E-12</v>
      </c>
      <c r="DS135" s="62">
        <f t="shared" si="125"/>
        <v>285.92042034915755</v>
      </c>
      <c r="DT135" s="62">
        <f ca="1">AVERAGE(OFFSET($DS$3,0,0,'Données projet'!$E$14+1,1))-AVERAGE(OFFSET($H$3,0,0,'Données projet'!$E$14+1,1))</f>
        <v>416.72317068678774</v>
      </c>
      <c r="DU135" s="62">
        <f t="shared" si="152"/>
        <v>447.32457429495537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67.978296458858921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5.6843418860808015E-14</v>
      </c>
      <c r="EK135" s="18">
        <f>EJ135*VLOOKUP('Données projet'!$B$15,Paramètres!$A$1:$I$89,3,0)*VLOOKUP('Données projet'!$B$15,Paramètres!$A$1:$I$89,5,0)</f>
        <v>5.4092197387944907E-14</v>
      </c>
      <c r="EL135" s="14">
        <f t="shared" si="153"/>
        <v>8.7287050538073676E-13</v>
      </c>
      <c r="EM135" s="22">
        <f t="shared" si="127"/>
        <v>1.6144600406554537E-12</v>
      </c>
      <c r="EN135" s="62">
        <f t="shared" si="128"/>
        <v>285.92042034915096</v>
      </c>
      <c r="EO135" s="62">
        <f ca="1">AVERAGE(OFFSET($EN$3,0,0,'Données projet'!$E$15+1,1))-AVERAGE(OFFSET($H$3,0,0,'Données projet'!$E$15+1,1))</f>
        <v>454.78867027701426</v>
      </c>
      <c r="EP135" s="62">
        <f t="shared" si="154"/>
        <v>366.45346303927056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0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67.978296458858921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>
        <f>FE135*VLOOKUP('Données projet'!$B$16,Paramètres!$A$1:$I$89,3,0)*VLOOKUP('Données projet'!$B$16,Paramètres!$A$1:$I$89,5,0)</f>
        <v>0</v>
      </c>
      <c r="FG135" s="14" t="e">
        <f t="shared" si="155"/>
        <v>#NUM!</v>
      </c>
      <c r="FH135" s="22" t="e">
        <f t="shared" si="130"/>
        <v>#NUM!</v>
      </c>
      <c r="FI135" s="62" t="e">
        <f t="shared" si="131"/>
        <v>#NUM!</v>
      </c>
      <c r="FJ135" s="62">
        <f ca="1">AVERAGE(OFFSET($FI$3,0,0,'Données projet'!$E$16+1,1))-AVERAGE(OFFSET($H$3,0,0,'Données projet'!$E$16+1,1))</f>
        <v>390.05579539539576</v>
      </c>
      <c r="FK135" s="62">
        <f t="shared" si="156"/>
        <v>323.72278615226139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projet'!$B$16,Paramètres!$A$1:$I$89,3,0)*0.475*44/12</f>
        <v>0</v>
      </c>
      <c r="FR135" s="23">
        <f>EXP(-LN(2)/25)*FR134+(1-EXP(-LN(2)/25))/(LN(2)/25)*Calculateur!FM135*Calculateur!FO135*VLOOKUP('Données projet'!$B$16,Paramètres!$A$1:$I$89,3,0)*0.475*44/12</f>
        <v>0</v>
      </c>
      <c r="FS135" s="23">
        <f>EXP(-LN(2)/2)*FS134+(1-EXP(-LN(2)/2))/(LN(2)/2)*FM135*FP135*VLOOKUP('Données projet'!$B$16,Paramètres!$A$1:$I$89,3,0)*0.475*44/12</f>
        <v>0</v>
      </c>
      <c r="FT135" s="24">
        <f t="shared" si="132"/>
        <v>0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67.978296458858921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4.0666666666666664</v>
      </c>
      <c r="FZ135" s="13">
        <f>IF('Données projet'!$A$244&gt;35,FZ134+FY135-GH134,IF(A135&lt;'Données projet'!$A$244,$FW$205^A135,IF(A135='Données projet'!$A$244,'Données projet'!$B$244,FZ134+FY135-GH134)))</f>
        <v>353.79999999999973</v>
      </c>
      <c r="GA135" s="18">
        <f>FZ135*VLOOKUP('Données projet'!$B$17,Paramètres!$A$1:$I$89,3,0)*VLOOKUP('Données projet'!$B$17,Paramètres!$A$1:$I$89,5,0)</f>
        <v>342.19535999999971</v>
      </c>
      <c r="GB135" s="14">
        <f t="shared" si="157"/>
        <v>79.953351654699929</v>
      </c>
      <c r="GC135" s="22">
        <f t="shared" si="133"/>
        <v>735.24233946526863</v>
      </c>
      <c r="GD135" s="62">
        <f t="shared" si="134"/>
        <v>1021.162759814418</v>
      </c>
      <c r="GE135" s="62">
        <f ca="1">AVERAGE(OFFSET($GD$3,0,0,'Données projet'!$E$17+1,1))-AVERAGE(OFFSET($H$3,0,0,'Données projet'!$E$17+1,1))</f>
        <v>578.44111602076555</v>
      </c>
      <c r="GF135" s="62">
        <f t="shared" si="158"/>
        <v>368.08542661432784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>
        <f>EXP(-LN(2)/35)*GL134+(1-EXP(-LN(2)/35))/(LN(2)/35)*GH135*GI135*VLOOKUP('Données projet'!$B$17,Paramètres!$A$1:$I$89,3,0)*0.475*44/12</f>
        <v>0</v>
      </c>
      <c r="GM135" s="23">
        <f>EXP(-LN(2)/25)*GM134+(1-EXP(-LN(2)/25))/(LN(2)/25)*Calculateur!GH135*Calculateur!GJ135*VLOOKUP('Données projet'!$B$17,Paramètres!$A$1:$I$89,3,0)*0.475*44/12</f>
        <v>0</v>
      </c>
      <c r="GN135" s="23">
        <f>EXP(-LN(2)/2)*GN134+(1-EXP(-LN(2)/2))/(LN(2)/2)*GH135*GK135*VLOOKUP('Données projet'!$B$17,Paramètres!$A$1:$I$89,3,0)*0.475*44/12</f>
        <v>0</v>
      </c>
      <c r="GO135" s="23">
        <f t="shared" si="135"/>
        <v>0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67.978296458858921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4.0735000000000001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14.936166666666667</v>
      </c>
      <c r="H136" s="70">
        <f t="shared" si="110"/>
        <v>196.922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68.013368495445718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4.0666666666666664</v>
      </c>
      <c r="N136" s="14">
        <f>IF('Données projet'!$A$36&gt;35,N135+M136-V135,IF(A136&lt;'Données projet'!$A$36,$K$205^A136,IF(A136='Données projet'!$A$36,'Données projet'!$B$36,N135+M136-V135)))</f>
        <v>357.86666666666639</v>
      </c>
      <c r="O136" s="14">
        <f>N136*VLOOKUP('Données projet'!$B$9,Paramètres!$A$1:$I$89,3,0)*VLOOKUP('Données projet'!$B$9,Paramètres!$A$1:$I$89,5,0)</f>
        <v>323.79775999999976</v>
      </c>
      <c r="P136" s="14">
        <f t="shared" si="141"/>
        <v>76.14300808086972</v>
      </c>
      <c r="Q136" s="22">
        <f t="shared" si="108"/>
        <v>696.5635044075143</v>
      </c>
      <c r="R136" s="62">
        <f t="shared" si="109"/>
        <v>982.61252222414851</v>
      </c>
      <c r="S136" s="62">
        <f ca="1">AVERAGE(OFFSET($R$3,0,0,'Données projet'!$E$9+1,1))-AVERAGE(OFFSET($H$3,0,0,'Données projet'!$E$9+1,1))</f>
        <v>546.11281471711925</v>
      </c>
      <c r="T136" s="62">
        <f t="shared" si="142"/>
        <v>348.18069831447099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68.013368495445718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5.8</v>
      </c>
      <c r="AI136" s="14">
        <f>IF('Données projet'!$A$62&gt;35,AI135+AH136-AQ135,IF(A136&lt;'Données projet'!$A$62,$AF$205^A136,IF(A136='Données projet'!$A$62,'Données projet'!$B$62,AI135+AH136-AQ135)))</f>
        <v>534.39999999999952</v>
      </c>
      <c r="AJ136" s="14">
        <f>AI136*VLOOKUP('Données projet'!$B$10,Paramètres!$A$1:$I$89,3,0)*VLOOKUP('Données projet'!$B$10,Paramètres!$A$1:$I$89,5,0)</f>
        <v>458.51519999999971</v>
      </c>
      <c r="AK136" s="14">
        <f t="shared" si="143"/>
        <v>103.54383048355068</v>
      </c>
      <c r="AL136" s="22">
        <f t="shared" si="112"/>
        <v>978.91947809218345</v>
      </c>
      <c r="AM136" s="62">
        <f t="shared" si="113"/>
        <v>1264.9684959088177</v>
      </c>
      <c r="AN136" s="62">
        <f ca="1">AVERAGE(OFFSET($AM$3,0,0,'Données projet'!$E$10+1,1))-AVERAGE(OFFSET($H$3,0,0,'Données projet'!$E$10+1,1))</f>
        <v>693.87994318348024</v>
      </c>
      <c r="AO136" s="62">
        <f t="shared" si="144"/>
        <v>327.71043739333641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68.013368495445718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4.0666666666666664</v>
      </c>
      <c r="BD136" s="13">
        <f>IF('Données projet'!$A$88&gt;35,BD135+BC136-BL135,IF(A136&lt;'Données projet'!$A$88,$BA$205^A136,IF(A136='Données projet'!$A$88,'Données projet'!$B$88,BD135+BC136-BL135)))</f>
        <v>357.86666666666639</v>
      </c>
      <c r="BE136" s="14">
        <f>BD136*VLOOKUP('Données projet'!$B$11,Paramètres!$A$1:$I$89,3,0)*VLOOKUP('Données projet'!$B$11,Paramètres!$A$1:$I$89,5,0)</f>
        <v>301.46687999999983</v>
      </c>
      <c r="BF136" s="14">
        <f t="shared" si="145"/>
        <v>71.483890515171268</v>
      </c>
      <c r="BG136" s="22">
        <f t="shared" si="115"/>
        <v>649.5559253139229</v>
      </c>
      <c r="BH136" s="62">
        <f t="shared" si="116"/>
        <v>935.6049431305571</v>
      </c>
      <c r="BI136" s="62">
        <f ca="1">AVERAGE(OFFSET($BH$3,0,0,'Données projet'!$E$11+1,1))-AVERAGE(OFFSET($H$3,0,0,'Données projet'!$E$11+1,1))</f>
        <v>513.7388209355762</v>
      </c>
      <c r="BJ136" s="62">
        <f t="shared" si="146"/>
        <v>328.24603121433927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68.013368495445718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4.5474735088646412E-13</v>
      </c>
      <c r="BZ136" s="14">
        <f>BY136*VLOOKUP('Données projet'!$B$12,Paramètres!$A$1:$I$89,3,0)*VLOOKUP('Données projet'!$B$12,Paramètres!$A$1:$I$89,5,0)</f>
        <v>3.6179699236527089E-13</v>
      </c>
      <c r="CA136" s="14">
        <f t="shared" si="147"/>
        <v>4.6796319415916035E-12</v>
      </c>
      <c r="CB136" s="22">
        <f t="shared" si="118"/>
        <v>8.7804887266415556E-12</v>
      </c>
      <c r="CC136" s="62">
        <f t="shared" si="119"/>
        <v>286.04901781664302</v>
      </c>
      <c r="CD136" s="62">
        <f ca="1">AVERAGE(OFFSET($CC$3,0,0,'Données projet'!$E$12+1,1))-AVERAGE(OFFSET($H$3,0,0,'Données projet'!$E$12+1,1))</f>
        <v>447.25854887589878</v>
      </c>
      <c r="CE136" s="62">
        <f t="shared" si="148"/>
        <v>480.13390593590157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68.013368495445718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1.1368683772161603E-13</v>
      </c>
      <c r="CU136" s="18">
        <f>CT136*VLOOKUP('Données projet'!$B$13,Paramètres!$A$1:$I$89,3,0)*VLOOKUP('Données projet'!$B$13,Paramètres!$A$1:$I$89,5,0)</f>
        <v>8.8675733422860506E-14</v>
      </c>
      <c r="CV136" s="14">
        <f t="shared" si="149"/>
        <v>1.3509285393066301E-12</v>
      </c>
      <c r="CW136" s="22">
        <f t="shared" si="121"/>
        <v>2.5073107750038623E-12</v>
      </c>
      <c r="CX136" s="62">
        <f t="shared" si="122"/>
        <v>286.04901781663676</v>
      </c>
      <c r="CY136" s="62">
        <f ca="1">AVERAGE(OFFSET($CX$3,0,0,'Données projet'!$E$13+1,1))-AVERAGE(OFFSET($H$3,0,0,'Données projet'!$E$13+1,1))</f>
        <v>308.52515801950324</v>
      </c>
      <c r="CZ136" s="62">
        <f t="shared" si="150"/>
        <v>299.05420638408953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68.013368495445718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4.5474735088646412E-13</v>
      </c>
      <c r="DP136" s="18">
        <f>DO136*VLOOKUP('Données projet'!$B$14,Paramètres!$A$1:$I$89,3,0)*VLOOKUP('Données projet'!$B$14,Paramètres!$A$1:$I$89,5,0)</f>
        <v>3.3342075766995548E-13</v>
      </c>
      <c r="DQ136" s="14">
        <f t="shared" si="151"/>
        <v>4.3537988100583648E-12</v>
      </c>
      <c r="DR136" s="22">
        <f t="shared" si="124"/>
        <v>8.1635740804601579E-12</v>
      </c>
      <c r="DS136" s="62">
        <f t="shared" si="125"/>
        <v>286.04901781664245</v>
      </c>
      <c r="DT136" s="62">
        <f ca="1">AVERAGE(OFFSET($DS$3,0,0,'Données projet'!$E$14+1,1))-AVERAGE(OFFSET($H$3,0,0,'Données projet'!$E$14+1,1))</f>
        <v>416.72317068678774</v>
      </c>
      <c r="DU136" s="62">
        <f t="shared" si="152"/>
        <v>447.32457429495537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68.013368495445718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5.6843418860808015E-14</v>
      </c>
      <c r="EK136" s="18">
        <f>EJ136*VLOOKUP('Données projet'!$B$15,Paramètres!$A$1:$I$89,3,0)*VLOOKUP('Données projet'!$B$15,Paramètres!$A$1:$I$89,5,0)</f>
        <v>5.4092197387944907E-14</v>
      </c>
      <c r="EL136" s="14">
        <f t="shared" si="153"/>
        <v>8.7287050538073676E-13</v>
      </c>
      <c r="EM136" s="22">
        <f t="shared" si="127"/>
        <v>1.6144600406554537E-12</v>
      </c>
      <c r="EN136" s="62">
        <f t="shared" si="128"/>
        <v>286.04901781663585</v>
      </c>
      <c r="EO136" s="62">
        <f ca="1">AVERAGE(OFFSET($EN$3,0,0,'Données projet'!$E$15+1,1))-AVERAGE(OFFSET($H$3,0,0,'Données projet'!$E$15+1,1))</f>
        <v>454.78867027701426</v>
      </c>
      <c r="EP136" s="62">
        <f t="shared" si="154"/>
        <v>366.45346303927056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0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68.013368495445718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>
        <f>FE136*VLOOKUP('Données projet'!$B$16,Paramètres!$A$1:$I$89,3,0)*VLOOKUP('Données projet'!$B$16,Paramètres!$A$1:$I$89,5,0)</f>
        <v>0</v>
      </c>
      <c r="FG136" s="14" t="e">
        <f t="shared" si="155"/>
        <v>#NUM!</v>
      </c>
      <c r="FH136" s="22" t="e">
        <f t="shared" si="130"/>
        <v>#NUM!</v>
      </c>
      <c r="FI136" s="62" t="e">
        <f t="shared" si="131"/>
        <v>#NUM!</v>
      </c>
      <c r="FJ136" s="62">
        <f ca="1">AVERAGE(OFFSET($FI$3,0,0,'Données projet'!$E$16+1,1))-AVERAGE(OFFSET($H$3,0,0,'Données projet'!$E$16+1,1))</f>
        <v>390.05579539539576</v>
      </c>
      <c r="FK136" s="62">
        <f t="shared" si="156"/>
        <v>323.72278615226139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projet'!$B$16,Paramètres!$A$1:$I$89,3,0)*0.475*44/12</f>
        <v>0</v>
      </c>
      <c r="FR136" s="23">
        <f>EXP(-LN(2)/25)*FR135+(1-EXP(-LN(2)/25))/(LN(2)/25)*Calculateur!FM136*Calculateur!FO136*VLOOKUP('Données projet'!$B$16,Paramètres!$A$1:$I$89,3,0)*0.475*44/12</f>
        <v>0</v>
      </c>
      <c r="FS136" s="23">
        <f>EXP(-LN(2)/2)*FS135+(1-EXP(-LN(2)/2))/(LN(2)/2)*FM136*FP136*VLOOKUP('Données projet'!$B$16,Paramètres!$A$1:$I$89,3,0)*0.475*44/12</f>
        <v>0</v>
      </c>
      <c r="FT136" s="24">
        <f t="shared" si="132"/>
        <v>0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68.013368495445718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4.0666666666666664</v>
      </c>
      <c r="FZ136" s="13">
        <f>IF('Données projet'!$A$244&gt;35,FZ135+FY136-GH135,IF(A136&lt;'Données projet'!$A$244,$FW$205^A136,IF(A136='Données projet'!$A$244,'Données projet'!$B$244,FZ135+FY136-GH135)))</f>
        <v>357.86666666666639</v>
      </c>
      <c r="GA136" s="18">
        <f>FZ136*VLOOKUP('Données projet'!$B$17,Paramètres!$A$1:$I$89,3,0)*VLOOKUP('Données projet'!$B$17,Paramètres!$A$1:$I$89,5,0)</f>
        <v>346.12863999999973</v>
      </c>
      <c r="GB136" s="14">
        <f t="shared" si="157"/>
        <v>80.764842714372108</v>
      </c>
      <c r="GC136" s="22">
        <f t="shared" si="133"/>
        <v>743.50614906086423</v>
      </c>
      <c r="GD136" s="62">
        <f t="shared" si="134"/>
        <v>1029.5551668774986</v>
      </c>
      <c r="GE136" s="62">
        <f ca="1">AVERAGE(OFFSET($GD$3,0,0,'Données projet'!$E$17+1,1))-AVERAGE(OFFSET($H$3,0,0,'Données projet'!$E$17+1,1))</f>
        <v>578.44111602076555</v>
      </c>
      <c r="GF136" s="62">
        <f t="shared" si="158"/>
        <v>368.08542661432784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>
        <f>EXP(-LN(2)/35)*GL135+(1-EXP(-LN(2)/35))/(LN(2)/35)*GH136*GI136*VLOOKUP('Données projet'!$B$17,Paramètres!$A$1:$I$89,3,0)*0.475*44/12</f>
        <v>0</v>
      </c>
      <c r="GM136" s="23">
        <f>EXP(-LN(2)/25)*GM135+(1-EXP(-LN(2)/25))/(LN(2)/25)*Calculateur!GH136*Calculateur!GJ136*VLOOKUP('Données projet'!$B$17,Paramètres!$A$1:$I$89,3,0)*0.475*44/12</f>
        <v>0</v>
      </c>
      <c r="GN136" s="23">
        <f>EXP(-LN(2)/2)*GN135+(1-EXP(-LN(2)/2))/(LN(2)/2)*GH136*GK136*VLOOKUP('Données projet'!$B$17,Paramètres!$A$1:$I$89,3,0)*0.475*44/12</f>
        <v>0</v>
      </c>
      <c r="GO136" s="23">
        <f t="shared" si="135"/>
        <v>0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68.013368495445718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4.0735000000000001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14.936166666666667</v>
      </c>
      <c r="H137" s="70">
        <f t="shared" si="110"/>
        <v>196.922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68.047832110607061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4.0666666666666664</v>
      </c>
      <c r="N137" s="14">
        <f>IF('Données projet'!$A$36&gt;35,N136+M137-V136,IF(A137&lt;'Données projet'!$A$36,$K$205^A137,IF(A137='Données projet'!$A$36,'Données projet'!$B$36,N136+M137-V136)))</f>
        <v>361.93333333333305</v>
      </c>
      <c r="O137" s="14">
        <f>N137*VLOOKUP('Données projet'!$B$9,Paramètres!$A$1:$I$89,3,0)*VLOOKUP('Données projet'!$B$9,Paramètres!$A$1:$I$89,5,0)</f>
        <v>327.47727999999972</v>
      </c>
      <c r="P137" s="14">
        <f t="shared" si="141"/>
        <v>76.907049586130199</v>
      </c>
      <c r="Q137" s="22">
        <f t="shared" si="108"/>
        <v>704.30270736250952</v>
      </c>
      <c r="R137" s="62">
        <f t="shared" si="109"/>
        <v>990.47809176806868</v>
      </c>
      <c r="S137" s="62">
        <f ca="1">AVERAGE(OFFSET($R$3,0,0,'Données projet'!$E$9+1,1))-AVERAGE(OFFSET($H$3,0,0,'Données projet'!$E$9+1,1))</f>
        <v>546.11281471711925</v>
      </c>
      <c r="T137" s="62">
        <f t="shared" si="142"/>
        <v>348.18069831447099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68.047832110607061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5.8</v>
      </c>
      <c r="AI137" s="14">
        <f>IF('Données projet'!$A$62&gt;35,AI136+AH137-AQ136,IF(A137&lt;'Données projet'!$A$62,$AF$205^A137,IF(A137='Données projet'!$A$62,'Données projet'!$B$62,AI136+AH137-AQ136)))</f>
        <v>540.19999999999948</v>
      </c>
      <c r="AJ137" s="14">
        <f>AI137*VLOOKUP('Données projet'!$B$10,Paramètres!$A$1:$I$89,3,0)*VLOOKUP('Données projet'!$B$10,Paramètres!$A$1:$I$89,5,0)</f>
        <v>463.49159999999961</v>
      </c>
      <c r="AK137" s="14">
        <f t="shared" si="143"/>
        <v>104.53618800779775</v>
      </c>
      <c r="AL137" s="22">
        <f t="shared" si="112"/>
        <v>989.31506411358021</v>
      </c>
      <c r="AM137" s="62">
        <f t="shared" si="113"/>
        <v>1275.4904485191394</v>
      </c>
      <c r="AN137" s="62">
        <f ca="1">AVERAGE(OFFSET($AM$3,0,0,'Données projet'!$E$10+1,1))-AVERAGE(OFFSET($H$3,0,0,'Données projet'!$E$10+1,1))</f>
        <v>693.87994318348024</v>
      </c>
      <c r="AO137" s="62">
        <f t="shared" si="144"/>
        <v>327.71043739333641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68.047832110607061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4.0666666666666664</v>
      </c>
      <c r="BD137" s="13">
        <f>IF('Données projet'!$A$88&gt;35,BD136+BC137-BL136,IF(A137&lt;'Données projet'!$A$88,$BA$205^A137,IF(A137='Données projet'!$A$88,'Données projet'!$B$88,BD136+BC137-BL136)))</f>
        <v>361.93333333333305</v>
      </c>
      <c r="BE137" s="14">
        <f>BD137*VLOOKUP('Données projet'!$B$11,Paramètres!$A$1:$I$89,3,0)*VLOOKUP('Données projet'!$B$11,Paramètres!$A$1:$I$89,5,0)</f>
        <v>304.8926399999998</v>
      </c>
      <c r="BF137" s="14">
        <f t="shared" si="145"/>
        <v>72.201181054219575</v>
      </c>
      <c r="BG137" s="22">
        <f t="shared" si="115"/>
        <v>656.77173833609868</v>
      </c>
      <c r="BH137" s="62">
        <f t="shared" si="116"/>
        <v>942.94712274165795</v>
      </c>
      <c r="BI137" s="62">
        <f ca="1">AVERAGE(OFFSET($BH$3,0,0,'Données projet'!$E$11+1,1))-AVERAGE(OFFSET($H$3,0,0,'Données projet'!$E$11+1,1))</f>
        <v>513.7388209355762</v>
      </c>
      <c r="BJ137" s="62">
        <f t="shared" si="146"/>
        <v>328.24603121433927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68.047832110607061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4.5474735088646412E-13</v>
      </c>
      <c r="BZ137" s="14">
        <f>BY137*VLOOKUP('Données projet'!$B$12,Paramètres!$A$1:$I$89,3,0)*VLOOKUP('Données projet'!$B$12,Paramètres!$A$1:$I$89,5,0)</f>
        <v>3.6179699236527089E-13</v>
      </c>
      <c r="CA137" s="14">
        <f t="shared" si="147"/>
        <v>4.6796319415916035E-12</v>
      </c>
      <c r="CB137" s="22">
        <f t="shared" si="118"/>
        <v>8.7804887266415556E-12</v>
      </c>
      <c r="CC137" s="62">
        <f t="shared" si="119"/>
        <v>286.17538440556797</v>
      </c>
      <c r="CD137" s="62">
        <f ca="1">AVERAGE(OFFSET($CC$3,0,0,'Données projet'!$E$12+1,1))-AVERAGE(OFFSET($H$3,0,0,'Données projet'!$E$12+1,1))</f>
        <v>447.25854887589878</v>
      </c>
      <c r="CE137" s="62">
        <f t="shared" si="148"/>
        <v>480.13390593590157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68.047832110607061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1.1368683772161603E-13</v>
      </c>
      <c r="CU137" s="18">
        <f>CT137*VLOOKUP('Données projet'!$B$13,Paramètres!$A$1:$I$89,3,0)*VLOOKUP('Données projet'!$B$13,Paramètres!$A$1:$I$89,5,0)</f>
        <v>8.8675733422860506E-14</v>
      </c>
      <c r="CV137" s="14">
        <f t="shared" si="149"/>
        <v>1.3509285393066301E-12</v>
      </c>
      <c r="CW137" s="22">
        <f t="shared" si="121"/>
        <v>2.5073107750038623E-12</v>
      </c>
      <c r="CX137" s="62">
        <f t="shared" si="122"/>
        <v>286.17538440556172</v>
      </c>
      <c r="CY137" s="62">
        <f ca="1">AVERAGE(OFFSET($CX$3,0,0,'Données projet'!$E$13+1,1))-AVERAGE(OFFSET($H$3,0,0,'Données projet'!$E$13+1,1))</f>
        <v>308.52515801950324</v>
      </c>
      <c r="CZ137" s="62">
        <f t="shared" si="150"/>
        <v>299.05420638408953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68.047832110607061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4.5474735088646412E-13</v>
      </c>
      <c r="DP137" s="18">
        <f>DO137*VLOOKUP('Données projet'!$B$14,Paramètres!$A$1:$I$89,3,0)*VLOOKUP('Données projet'!$B$14,Paramètres!$A$1:$I$89,5,0)</f>
        <v>3.3342075766995548E-13</v>
      </c>
      <c r="DQ137" s="14">
        <f t="shared" si="151"/>
        <v>4.3537988100583648E-12</v>
      </c>
      <c r="DR137" s="22">
        <f t="shared" si="124"/>
        <v>8.1635740804601579E-12</v>
      </c>
      <c r="DS137" s="62">
        <f t="shared" si="125"/>
        <v>286.1753844055674</v>
      </c>
      <c r="DT137" s="62">
        <f ca="1">AVERAGE(OFFSET($DS$3,0,0,'Données projet'!$E$14+1,1))-AVERAGE(OFFSET($H$3,0,0,'Données projet'!$E$14+1,1))</f>
        <v>416.72317068678774</v>
      </c>
      <c r="DU137" s="62">
        <f t="shared" si="152"/>
        <v>447.32457429495537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68.047832110607061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5.6843418860808015E-14</v>
      </c>
      <c r="EK137" s="18">
        <f>EJ137*VLOOKUP('Données projet'!$B$15,Paramètres!$A$1:$I$89,3,0)*VLOOKUP('Données projet'!$B$15,Paramètres!$A$1:$I$89,5,0)</f>
        <v>5.4092197387944907E-14</v>
      </c>
      <c r="EL137" s="14">
        <f t="shared" si="153"/>
        <v>8.7287050538073676E-13</v>
      </c>
      <c r="EM137" s="22">
        <f t="shared" si="127"/>
        <v>1.6144600406554537E-12</v>
      </c>
      <c r="EN137" s="62">
        <f t="shared" si="128"/>
        <v>286.17538440556081</v>
      </c>
      <c r="EO137" s="62">
        <f ca="1">AVERAGE(OFFSET($EN$3,0,0,'Données projet'!$E$15+1,1))-AVERAGE(OFFSET($H$3,0,0,'Données projet'!$E$15+1,1))</f>
        <v>454.78867027701426</v>
      </c>
      <c r="EP137" s="62">
        <f t="shared" si="154"/>
        <v>366.45346303927056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0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68.047832110607061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>
        <f>FE137*VLOOKUP('Données projet'!$B$16,Paramètres!$A$1:$I$89,3,0)*VLOOKUP('Données projet'!$B$16,Paramètres!$A$1:$I$89,5,0)</f>
        <v>0</v>
      </c>
      <c r="FG137" s="14" t="e">
        <f t="shared" si="155"/>
        <v>#NUM!</v>
      </c>
      <c r="FH137" s="22" t="e">
        <f t="shared" si="130"/>
        <v>#NUM!</v>
      </c>
      <c r="FI137" s="62" t="e">
        <f t="shared" si="131"/>
        <v>#NUM!</v>
      </c>
      <c r="FJ137" s="62">
        <f ca="1">AVERAGE(OFFSET($FI$3,0,0,'Données projet'!$E$16+1,1))-AVERAGE(OFFSET($H$3,0,0,'Données projet'!$E$16+1,1))</f>
        <v>390.05579539539576</v>
      </c>
      <c r="FK137" s="62">
        <f t="shared" si="156"/>
        <v>323.72278615226139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projet'!$B$16,Paramètres!$A$1:$I$89,3,0)*0.475*44/12</f>
        <v>0</v>
      </c>
      <c r="FR137" s="23">
        <f>EXP(-LN(2)/25)*FR136+(1-EXP(-LN(2)/25))/(LN(2)/25)*Calculateur!FM137*Calculateur!FO137*VLOOKUP('Données projet'!$B$16,Paramètres!$A$1:$I$89,3,0)*0.475*44/12</f>
        <v>0</v>
      </c>
      <c r="FS137" s="23">
        <f>EXP(-LN(2)/2)*FS136+(1-EXP(-LN(2)/2))/(LN(2)/2)*FM137*FP137*VLOOKUP('Données projet'!$B$16,Paramètres!$A$1:$I$89,3,0)*0.475*44/12</f>
        <v>0</v>
      </c>
      <c r="FT137" s="24">
        <f t="shared" si="132"/>
        <v>0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68.047832110607061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4.0666666666666664</v>
      </c>
      <c r="FZ137" s="13">
        <f>IF('Données projet'!$A$244&gt;35,FZ136+FY137-GH136,IF(A137&lt;'Données projet'!$A$244,$FW$205^A137,IF(A137='Données projet'!$A$244,'Données projet'!$B$244,FZ136+FY137-GH136)))</f>
        <v>361.93333333333305</v>
      </c>
      <c r="GA137" s="18">
        <f>FZ137*VLOOKUP('Données projet'!$B$17,Paramètres!$A$1:$I$89,3,0)*VLOOKUP('Données projet'!$B$17,Paramètres!$A$1:$I$89,5,0)</f>
        <v>350.0619199999997</v>
      </c>
      <c r="GB137" s="14">
        <f t="shared" si="157"/>
        <v>81.575261077855615</v>
      </c>
      <c r="GC137" s="22">
        <f t="shared" si="133"/>
        <v>751.76809037726468</v>
      </c>
      <c r="GD137" s="62">
        <f t="shared" si="134"/>
        <v>1037.9434747828238</v>
      </c>
      <c r="GE137" s="62">
        <f ca="1">AVERAGE(OFFSET($GD$3,0,0,'Données projet'!$E$17+1,1))-AVERAGE(OFFSET($H$3,0,0,'Données projet'!$E$17+1,1))</f>
        <v>578.44111602076555</v>
      </c>
      <c r="GF137" s="62">
        <f t="shared" si="158"/>
        <v>368.08542661432784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>
        <f>EXP(-LN(2)/35)*GL136+(1-EXP(-LN(2)/35))/(LN(2)/35)*GH137*GI137*VLOOKUP('Données projet'!$B$17,Paramètres!$A$1:$I$89,3,0)*0.475*44/12</f>
        <v>0</v>
      </c>
      <c r="GM137" s="23">
        <f>EXP(-LN(2)/25)*GM136+(1-EXP(-LN(2)/25))/(LN(2)/25)*Calculateur!GH137*Calculateur!GJ137*VLOOKUP('Données projet'!$B$17,Paramètres!$A$1:$I$89,3,0)*0.475*44/12</f>
        <v>0</v>
      </c>
      <c r="GN137" s="23">
        <f>EXP(-LN(2)/2)*GN136+(1-EXP(-LN(2)/2))/(LN(2)/2)*GH137*GK137*VLOOKUP('Données projet'!$B$17,Paramètres!$A$1:$I$89,3,0)*0.475*44/12</f>
        <v>0</v>
      </c>
      <c r="GO137" s="23">
        <f t="shared" si="135"/>
        <v>0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68.047832110607061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4.0735000000000001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14.936166666666667</v>
      </c>
      <c r="H138" s="70">
        <f t="shared" si="110"/>
        <v>196.922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68.081697859094461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>
        <f>VLOOKUP(A138,'Données projet'!$A$35:$I$55,2,0)</f>
        <v>366</v>
      </c>
      <c r="L138" s="13">
        <f>VLOOKUP(A138,'Données projet'!$A$35:$I$55,9,0)</f>
        <v>4.0666666666666664</v>
      </c>
      <c r="M138" s="13">
        <f t="array" ref="M138">INDEX(L:L,MIN(IF(ISNUMBER(L138:L334),ROW(L138:L334),"")))</f>
        <v>4.0666666666666664</v>
      </c>
      <c r="N138" s="14">
        <f>IF('Données projet'!$A$36&gt;35,N137+M138-V137,IF(A138&lt;'Données projet'!$A$36,$K$205^A138,IF(A138='Données projet'!$A$36,'Données projet'!$B$36,N137+M138-V137)))</f>
        <v>365.99999999999972</v>
      </c>
      <c r="O138" s="14">
        <f>N138*VLOOKUP('Données projet'!$B$9,Paramètres!$A$1:$I$89,3,0)*VLOOKUP('Données projet'!$B$9,Paramètres!$A$1:$I$89,5,0)</f>
        <v>331.15679999999975</v>
      </c>
      <c r="P138" s="14">
        <f t="shared" si="141"/>
        <v>77.67009245906327</v>
      </c>
      <c r="Q138" s="22">
        <f t="shared" si="108"/>
        <v>712.04017103286799</v>
      </c>
      <c r="R138" s="62">
        <f t="shared" si="109"/>
        <v>998.33972984954767</v>
      </c>
      <c r="S138" s="62">
        <f ca="1">AVERAGE(OFFSET($R$3,0,0,'Données projet'!$E$9+1,1))-AVERAGE(OFFSET($H$3,0,0,'Données projet'!$E$9+1,1))</f>
        <v>546.11281471711925</v>
      </c>
      <c r="T138" s="62">
        <f t="shared" si="142"/>
        <v>348.18069831447099</v>
      </c>
      <c r="U138" s="16">
        <f>IF(ISNA(VLOOKUP(A138,'Données projet'!$A$35:$I$55,3,0)),0,VLOOKUP(A138,'Données projet'!$A$35:$I$55,3,0))</f>
        <v>12</v>
      </c>
      <c r="V138" s="16">
        <f>IF(ISNA(VLOOKUP(A138,'Données projet'!$A$35:$I$55,4,0)),0,VLOOKUP(A138,'Données projet'!$A$35:$I$55,4,0))</f>
        <v>65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68.081697859094461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>
        <f>VLOOKUP(A138,'Données projet'!$A$61:$I$81,2,0)</f>
        <v>546</v>
      </c>
      <c r="AG138" s="13">
        <f>VLOOKUP(A138,'Données projet'!$A$61:$I$81,9,0)</f>
        <v>5.8</v>
      </c>
      <c r="AH138" s="13">
        <f t="array" ref="AH138">INDEX(AG:AG,MIN(IF(ISNUMBER(AG138:AG334),ROW(AG138:AG334),"")))</f>
        <v>5.8</v>
      </c>
      <c r="AI138" s="14">
        <f>IF('Données projet'!$A$62&gt;35,AI137+AH138-AQ137,IF(A138&lt;'Données projet'!$A$62,$AF$205^A138,IF(A138='Données projet'!$A$62,'Données projet'!$B$62,AI137+AH138-AQ137)))</f>
        <v>545.99999999999943</v>
      </c>
      <c r="AJ138" s="14">
        <f>AI138*VLOOKUP('Données projet'!$B$10,Paramètres!$A$1:$I$89,3,0)*VLOOKUP('Données projet'!$B$10,Paramètres!$A$1:$I$89,5,0)</f>
        <v>468.46799999999956</v>
      </c>
      <c r="AK138" s="14">
        <f t="shared" si="143"/>
        <v>105.52730607342514</v>
      </c>
      <c r="AL138" s="22">
        <f t="shared" si="112"/>
        <v>999.7084914112146</v>
      </c>
      <c r="AM138" s="62">
        <f t="shared" si="113"/>
        <v>1286.0080502278943</v>
      </c>
      <c r="AN138" s="62">
        <f ca="1">AVERAGE(OFFSET($AM$3,0,0,'Données projet'!$E$10+1,1))-AVERAGE(OFFSET($H$3,0,0,'Données projet'!$E$10+1,1))</f>
        <v>693.87994318348024</v>
      </c>
      <c r="AO138" s="62">
        <f t="shared" si="144"/>
        <v>327.71043739333641</v>
      </c>
      <c r="AP138" s="16">
        <f>IF(ISNA(VLOOKUP(A138,'Données projet'!$A$61:$I$81,3,0)),0,VLOOKUP(A138,'Données projet'!$A$61:$I$81,3,0))</f>
        <v>12</v>
      </c>
      <c r="AQ138" s="16">
        <f>IF(ISNA(VLOOKUP(A138,'Données projet'!$A$61:$I$81,4,0)),0,VLOOKUP(A138,'Données projet'!$A$61:$I$81,4,0))</f>
        <v>49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68.081697859094461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>
        <f>VLOOKUP(A138,'Données projet'!$A$87:$I$107,2,0)</f>
        <v>366</v>
      </c>
      <c r="BB138" s="13">
        <f>VLOOKUP(A138,'Données projet'!$A$87:$I$107,9,0)</f>
        <v>4.0666666666666664</v>
      </c>
      <c r="BC138" s="13">
        <f t="array" ref="BC138">INDEX(BB:BB,MIN(IF(ISNUMBER(BB138:BB334),ROW(BB138:BB334),"")))</f>
        <v>4.0666666666666664</v>
      </c>
      <c r="BD138" s="13">
        <f>IF('Données projet'!$A$88&gt;35,BD137+BC138-BL137,IF(A138&lt;'Données projet'!$A$88,$BA$205^A138,IF(A138='Données projet'!$A$88,'Données projet'!$B$88,BD137+BC138-BL137)))</f>
        <v>365.99999999999972</v>
      </c>
      <c r="BE138" s="14">
        <f>BD138*VLOOKUP('Données projet'!$B$11,Paramètres!$A$1:$I$89,3,0)*VLOOKUP('Données projet'!$B$11,Paramètres!$A$1:$I$89,5,0)</f>
        <v>308.31839999999983</v>
      </c>
      <c r="BF138" s="14">
        <f t="shared" si="145"/>
        <v>72.917534066293882</v>
      </c>
      <c r="BG138" s="22">
        <f t="shared" si="115"/>
        <v>663.98591849879483</v>
      </c>
      <c r="BH138" s="62">
        <f t="shared" si="116"/>
        <v>950.28547731547451</v>
      </c>
      <c r="BI138" s="62">
        <f ca="1">AVERAGE(OFFSET($BH$3,0,0,'Données projet'!$E$11+1,1))-AVERAGE(OFFSET($H$3,0,0,'Données projet'!$E$11+1,1))</f>
        <v>513.7388209355762</v>
      </c>
      <c r="BJ138" s="62">
        <f t="shared" si="146"/>
        <v>328.24603121433927</v>
      </c>
      <c r="BK138" s="16">
        <f>IF(ISNA(VLOOKUP(A138,'Données projet'!$A$87:$I$107,3,0)),0,VLOOKUP(A138,'Données projet'!$A$87:$I$107,3,0))</f>
        <v>12</v>
      </c>
      <c r="BL138" s="16">
        <f>IF(ISNA(VLOOKUP(A138,'Données projet'!$A$87:$I$107,4,0)),0,VLOOKUP(A138,'Données projet'!$A$87:$I$107,4,0))</f>
        <v>65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68.081697859094461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4.5474735088646412E-13</v>
      </c>
      <c r="BZ138" s="14">
        <f>BY138*VLOOKUP('Données projet'!$B$12,Paramètres!$A$1:$I$89,3,0)*VLOOKUP('Données projet'!$B$12,Paramètres!$A$1:$I$89,5,0)</f>
        <v>3.6179699236527089E-13</v>
      </c>
      <c r="CA138" s="14">
        <f t="shared" si="147"/>
        <v>4.6796319415916035E-12</v>
      </c>
      <c r="CB138" s="22">
        <f t="shared" si="118"/>
        <v>8.7804887266415556E-12</v>
      </c>
      <c r="CC138" s="62">
        <f t="shared" si="119"/>
        <v>286.29955881668843</v>
      </c>
      <c r="CD138" s="62">
        <f ca="1">AVERAGE(OFFSET($CC$3,0,0,'Données projet'!$E$12+1,1))-AVERAGE(OFFSET($H$3,0,0,'Données projet'!$E$12+1,1))</f>
        <v>447.25854887589878</v>
      </c>
      <c r="CE138" s="62">
        <f t="shared" si="148"/>
        <v>480.13390593590157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68.081697859094461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1.1368683772161603E-13</v>
      </c>
      <c r="CU138" s="18">
        <f>CT138*VLOOKUP('Données projet'!$B$13,Paramètres!$A$1:$I$89,3,0)*VLOOKUP('Données projet'!$B$13,Paramètres!$A$1:$I$89,5,0)</f>
        <v>8.8675733422860506E-14</v>
      </c>
      <c r="CV138" s="14">
        <f t="shared" si="149"/>
        <v>1.3509285393066301E-12</v>
      </c>
      <c r="CW138" s="22">
        <f t="shared" si="121"/>
        <v>2.5073107750038623E-12</v>
      </c>
      <c r="CX138" s="62">
        <f t="shared" si="122"/>
        <v>286.29955881668218</v>
      </c>
      <c r="CY138" s="62">
        <f ca="1">AVERAGE(OFFSET($CX$3,0,0,'Données projet'!$E$13+1,1))-AVERAGE(OFFSET($H$3,0,0,'Données projet'!$E$13+1,1))</f>
        <v>308.52515801950324</v>
      </c>
      <c r="CZ138" s="62">
        <f t="shared" si="150"/>
        <v>299.05420638408953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68.081697859094461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4.5474735088646412E-13</v>
      </c>
      <c r="DP138" s="18">
        <f>DO138*VLOOKUP('Données projet'!$B$14,Paramètres!$A$1:$I$89,3,0)*VLOOKUP('Données projet'!$B$14,Paramètres!$A$1:$I$89,5,0)</f>
        <v>3.3342075766995548E-13</v>
      </c>
      <c r="DQ138" s="14">
        <f t="shared" si="151"/>
        <v>4.3537988100583648E-12</v>
      </c>
      <c r="DR138" s="22">
        <f t="shared" si="124"/>
        <v>8.1635740804601579E-12</v>
      </c>
      <c r="DS138" s="62">
        <f t="shared" si="125"/>
        <v>286.29955881668786</v>
      </c>
      <c r="DT138" s="62">
        <f ca="1">AVERAGE(OFFSET($DS$3,0,0,'Données projet'!$E$14+1,1))-AVERAGE(OFFSET($H$3,0,0,'Données projet'!$E$14+1,1))</f>
        <v>416.72317068678774</v>
      </c>
      <c r="DU138" s="62">
        <f t="shared" si="152"/>
        <v>447.32457429495537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68.081697859094461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5.6843418860808015E-14</v>
      </c>
      <c r="EK138" s="18">
        <f>EJ138*VLOOKUP('Données projet'!$B$15,Paramètres!$A$1:$I$89,3,0)*VLOOKUP('Données projet'!$B$15,Paramètres!$A$1:$I$89,5,0)</f>
        <v>5.4092197387944907E-14</v>
      </c>
      <c r="EL138" s="14">
        <f t="shared" si="153"/>
        <v>8.7287050538073676E-13</v>
      </c>
      <c r="EM138" s="22">
        <f t="shared" si="127"/>
        <v>1.6144600406554537E-12</v>
      </c>
      <c r="EN138" s="62">
        <f t="shared" si="128"/>
        <v>286.29955881668127</v>
      </c>
      <c r="EO138" s="62">
        <f ca="1">AVERAGE(OFFSET($EN$3,0,0,'Données projet'!$E$15+1,1))-AVERAGE(OFFSET($H$3,0,0,'Données projet'!$E$15+1,1))</f>
        <v>454.78867027701426</v>
      </c>
      <c r="EP138" s="62">
        <f t="shared" si="154"/>
        <v>366.45346303927056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0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68.081697859094461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>
        <f>FE138*VLOOKUP('Données projet'!$B$16,Paramètres!$A$1:$I$89,3,0)*VLOOKUP('Données projet'!$B$16,Paramètres!$A$1:$I$89,5,0)</f>
        <v>0</v>
      </c>
      <c r="FG138" s="14" t="e">
        <f t="shared" si="155"/>
        <v>#NUM!</v>
      </c>
      <c r="FH138" s="22" t="e">
        <f t="shared" si="130"/>
        <v>#NUM!</v>
      </c>
      <c r="FI138" s="62" t="e">
        <f t="shared" si="131"/>
        <v>#NUM!</v>
      </c>
      <c r="FJ138" s="62">
        <f ca="1">AVERAGE(OFFSET($FI$3,0,0,'Données projet'!$E$16+1,1))-AVERAGE(OFFSET($H$3,0,0,'Données projet'!$E$16+1,1))</f>
        <v>390.05579539539576</v>
      </c>
      <c r="FK138" s="62">
        <f t="shared" si="156"/>
        <v>323.72278615226139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projet'!$B$16,Paramètres!$A$1:$I$89,3,0)*0.475*44/12</f>
        <v>0</v>
      </c>
      <c r="FR138" s="23">
        <f>EXP(-LN(2)/25)*FR137+(1-EXP(-LN(2)/25))/(LN(2)/25)*Calculateur!FM138*Calculateur!FO138*VLOOKUP('Données projet'!$B$16,Paramètres!$A$1:$I$89,3,0)*0.475*44/12</f>
        <v>0</v>
      </c>
      <c r="FS138" s="23">
        <f>EXP(-LN(2)/2)*FS137+(1-EXP(-LN(2)/2))/(LN(2)/2)*FM138*FP138*VLOOKUP('Données projet'!$B$16,Paramètres!$A$1:$I$89,3,0)*0.475*44/12</f>
        <v>0</v>
      </c>
      <c r="FT138" s="24">
        <f t="shared" si="132"/>
        <v>0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68.081697859094461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>
        <f>VLOOKUP(A138,'Données projet'!$A$243:$I$263,2,0)</f>
        <v>366</v>
      </c>
      <c r="FX138" s="13">
        <f>VLOOKUP(A138,'Données projet'!$A$243:$I$263,9,0)</f>
        <v>4.0666666666666664</v>
      </c>
      <c r="FY138" s="13">
        <f t="array" ref="FY138">INDEX(FX:FX,MIN(IF(ISNUMBER(FX138:FX334),ROW(FX138:FX334),"")))</f>
        <v>4.0666666666666664</v>
      </c>
      <c r="FZ138" s="13">
        <f>IF('Données projet'!$A$244&gt;35,FZ137+FY138-GH137,IF(A138&lt;'Données projet'!$A$244,$FW$205^A138,IF(A138='Données projet'!$A$244,'Données projet'!$B$244,FZ137+FY138-GH137)))</f>
        <v>365.99999999999972</v>
      </c>
      <c r="GA138" s="18">
        <f>FZ138*VLOOKUP('Données projet'!$B$17,Paramètres!$A$1:$I$89,3,0)*VLOOKUP('Données projet'!$B$17,Paramètres!$A$1:$I$89,5,0)</f>
        <v>353.99519999999973</v>
      </c>
      <c r="GB138" s="14">
        <f t="shared" si="157"/>
        <v>82.384620192632156</v>
      </c>
      <c r="GC138" s="22">
        <f t="shared" si="133"/>
        <v>760.02818683550049</v>
      </c>
      <c r="GD138" s="62">
        <f t="shared" si="134"/>
        <v>1046.3277456521801</v>
      </c>
      <c r="GE138" s="62">
        <f ca="1">AVERAGE(OFFSET($GD$3,0,0,'Données projet'!$E$17+1,1))-AVERAGE(OFFSET($H$3,0,0,'Données projet'!$E$17+1,1))</f>
        <v>578.44111602076555</v>
      </c>
      <c r="GF138" s="62">
        <f t="shared" si="158"/>
        <v>368.08542661432784</v>
      </c>
      <c r="GG138" s="16">
        <f>IF(ISNA(VLOOKUP(A138,'Données projet'!$A$243:$I$263,3,0)),0,VLOOKUP(A138,'Données projet'!$A$243:$I$263,3,0))</f>
        <v>12</v>
      </c>
      <c r="GH138" s="16">
        <f>IF(ISNA(VLOOKUP(A138,'Données projet'!$A$243:$I$263,4,0)),0,VLOOKUP(A138,'Données projet'!$A$243:$I$263,4,0))</f>
        <v>65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>
        <f>EXP(-LN(2)/35)*GL137+(1-EXP(-LN(2)/35))/(LN(2)/35)*GH138*GI138*VLOOKUP('Données projet'!$B$17,Paramètres!$A$1:$I$89,3,0)*0.475*44/12</f>
        <v>0</v>
      </c>
      <c r="GM138" s="23">
        <f>EXP(-LN(2)/25)*GM137+(1-EXP(-LN(2)/25))/(LN(2)/25)*Calculateur!GH138*Calculateur!GJ138*VLOOKUP('Données projet'!$B$17,Paramètres!$A$1:$I$89,3,0)*0.475*44/12</f>
        <v>0</v>
      </c>
      <c r="GN138" s="23">
        <f>EXP(-LN(2)/2)*GN137+(1-EXP(-LN(2)/2))/(LN(2)/2)*GH138*GK138*VLOOKUP('Données projet'!$B$17,Paramètres!$A$1:$I$89,3,0)*0.475*44/12</f>
        <v>0</v>
      </c>
      <c r="GO138" s="23">
        <f t="shared" si="135"/>
        <v>0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68.081697859094461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4.0735000000000001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14.936166666666667</v>
      </c>
      <c r="H139" s="70">
        <f t="shared" si="110"/>
        <v>196.922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68.114976112558082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3.6</v>
      </c>
      <c r="N139" s="14">
        <f>IF('Données projet'!$A$36&gt;35,N138+M139-V138,IF(A139&lt;'Données projet'!$A$36,$K$205^A139,IF(A139='Données projet'!$A$36,'Données projet'!$B$36,N138+M139-V138)))</f>
        <v>304.59999999999974</v>
      </c>
      <c r="O139" s="14">
        <f>N139*VLOOKUP('Données projet'!$B$9,Paramètres!$A$1:$I$89,3,0)*VLOOKUP('Données projet'!$B$9,Paramètres!$A$1:$I$89,5,0)</f>
        <v>275.60207999999977</v>
      </c>
      <c r="P139" s="14">
        <f t="shared" si="141"/>
        <v>66.036747345007257</v>
      </c>
      <c r="Q139" s="22">
        <f t="shared" si="108"/>
        <v>595.02095762588726</v>
      </c>
      <c r="R139" s="62">
        <f t="shared" si="109"/>
        <v>881.44253670526689</v>
      </c>
      <c r="S139" s="62">
        <f ca="1">AVERAGE(OFFSET($R$3,0,0,'Données projet'!$E$9+1,1))-AVERAGE(OFFSET($H$3,0,0,'Données projet'!$E$9+1,1))</f>
        <v>546.11281471711925</v>
      </c>
      <c r="T139" s="62">
        <f t="shared" si="142"/>
        <v>348.18069831447099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68.114976112558082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4.9333333333333336</v>
      </c>
      <c r="AI139" s="14">
        <f>IF('Données projet'!$A$62&gt;35,AI138+AH139-AQ138,IF(A139&lt;'Données projet'!$A$62,$AF$205^A139,IF(A139='Données projet'!$A$62,'Données projet'!$B$62,AI138+AH139-AQ138)))</f>
        <v>501.93333333333271</v>
      </c>
      <c r="AJ139" s="14">
        <f>AI139*VLOOKUP('Données projet'!$B$10,Paramètres!$A$1:$I$89,3,0)*VLOOKUP('Données projet'!$B$10,Paramètres!$A$1:$I$89,5,0)</f>
        <v>430.65879999999947</v>
      </c>
      <c r="AK139" s="14">
        <f t="shared" si="143"/>
        <v>97.965299752381441</v>
      </c>
      <c r="AL139" s="22">
        <f t="shared" si="112"/>
        <v>920.6869737353968</v>
      </c>
      <c r="AM139" s="62">
        <f t="shared" si="113"/>
        <v>1207.1085528147764</v>
      </c>
      <c r="AN139" s="62">
        <f ca="1">AVERAGE(OFFSET($AM$3,0,0,'Données projet'!$E$10+1,1))-AVERAGE(OFFSET($H$3,0,0,'Données projet'!$E$10+1,1))</f>
        <v>693.87994318348024</v>
      </c>
      <c r="AO139" s="62">
        <f t="shared" si="144"/>
        <v>327.71043739333641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68.114976112558082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3.6</v>
      </c>
      <c r="BD139" s="13">
        <f>IF('Données projet'!$A$88&gt;35,BD138+BC139-BL138,IF(A139&lt;'Données projet'!$A$88,$BA$205^A139,IF(A139='Données projet'!$A$88,'Données projet'!$B$88,BD138+BC139-BL138)))</f>
        <v>304.59999999999974</v>
      </c>
      <c r="BE139" s="14">
        <f>BD139*VLOOKUP('Données projet'!$B$11,Paramètres!$A$1:$I$89,3,0)*VLOOKUP('Données projet'!$B$11,Paramètres!$A$1:$I$89,5,0)</f>
        <v>256.59503999999981</v>
      </c>
      <c r="BF139" s="14">
        <f t="shared" si="145"/>
        <v>61.996022171529184</v>
      </c>
      <c r="BG139" s="22">
        <f t="shared" si="115"/>
        <v>554.87943328207973</v>
      </c>
      <c r="BH139" s="62">
        <f t="shared" si="116"/>
        <v>841.30101236145936</v>
      </c>
      <c r="BI139" s="62">
        <f ca="1">AVERAGE(OFFSET($BH$3,0,0,'Données projet'!$E$11+1,1))-AVERAGE(OFFSET($H$3,0,0,'Données projet'!$E$11+1,1))</f>
        <v>513.7388209355762</v>
      </c>
      <c r="BJ139" s="62">
        <f t="shared" si="146"/>
        <v>328.24603121433927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68.114976112558082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4.5474735088646412E-13</v>
      </c>
      <c r="BZ139" s="14">
        <f>BY139*VLOOKUP('Données projet'!$B$12,Paramètres!$A$1:$I$89,3,0)*VLOOKUP('Données projet'!$B$12,Paramètres!$A$1:$I$89,5,0)</f>
        <v>3.6179699236527089E-13</v>
      </c>
      <c r="CA139" s="14">
        <f t="shared" si="147"/>
        <v>4.6796319415916035E-12</v>
      </c>
      <c r="CB139" s="22">
        <f t="shared" si="118"/>
        <v>8.7804887266415556E-12</v>
      </c>
      <c r="CC139" s="62">
        <f t="shared" si="119"/>
        <v>286.42157907938838</v>
      </c>
      <c r="CD139" s="62">
        <f ca="1">AVERAGE(OFFSET($CC$3,0,0,'Données projet'!$E$12+1,1))-AVERAGE(OFFSET($H$3,0,0,'Données projet'!$E$12+1,1))</f>
        <v>447.25854887589878</v>
      </c>
      <c r="CE139" s="62">
        <f t="shared" si="148"/>
        <v>480.13390593590157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68.114976112558082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1.1368683772161603E-13</v>
      </c>
      <c r="CU139" s="18">
        <f>CT139*VLOOKUP('Données projet'!$B$13,Paramètres!$A$1:$I$89,3,0)*VLOOKUP('Données projet'!$B$13,Paramètres!$A$1:$I$89,5,0)</f>
        <v>8.8675733422860506E-14</v>
      </c>
      <c r="CV139" s="14">
        <f t="shared" si="149"/>
        <v>1.3509285393066301E-12</v>
      </c>
      <c r="CW139" s="22">
        <f t="shared" si="121"/>
        <v>2.5073107750038623E-12</v>
      </c>
      <c r="CX139" s="62">
        <f t="shared" si="122"/>
        <v>286.42157907938213</v>
      </c>
      <c r="CY139" s="62">
        <f ca="1">AVERAGE(OFFSET($CX$3,0,0,'Données projet'!$E$13+1,1))-AVERAGE(OFFSET($H$3,0,0,'Données projet'!$E$13+1,1))</f>
        <v>308.52515801950324</v>
      </c>
      <c r="CZ139" s="62">
        <f t="shared" si="150"/>
        <v>299.05420638408953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68.114976112558082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4.5474735088646412E-13</v>
      </c>
      <c r="DP139" s="18">
        <f>DO139*VLOOKUP('Données projet'!$B$14,Paramètres!$A$1:$I$89,3,0)*VLOOKUP('Données projet'!$B$14,Paramètres!$A$1:$I$89,5,0)</f>
        <v>3.3342075766995548E-13</v>
      </c>
      <c r="DQ139" s="14">
        <f t="shared" si="151"/>
        <v>4.3537988100583648E-12</v>
      </c>
      <c r="DR139" s="22">
        <f t="shared" si="124"/>
        <v>8.1635740804601579E-12</v>
      </c>
      <c r="DS139" s="62">
        <f t="shared" si="125"/>
        <v>286.42157907938781</v>
      </c>
      <c r="DT139" s="62">
        <f ca="1">AVERAGE(OFFSET($DS$3,0,0,'Données projet'!$E$14+1,1))-AVERAGE(OFFSET($H$3,0,0,'Données projet'!$E$14+1,1))</f>
        <v>416.72317068678774</v>
      </c>
      <c r="DU139" s="62">
        <f t="shared" si="152"/>
        <v>447.32457429495537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68.114976112558082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5.6843418860808015E-14</v>
      </c>
      <c r="EK139" s="18">
        <f>EJ139*VLOOKUP('Données projet'!$B$15,Paramètres!$A$1:$I$89,3,0)*VLOOKUP('Données projet'!$B$15,Paramètres!$A$1:$I$89,5,0)</f>
        <v>5.4092197387944907E-14</v>
      </c>
      <c r="EL139" s="14">
        <f t="shared" si="153"/>
        <v>8.7287050538073676E-13</v>
      </c>
      <c r="EM139" s="22">
        <f t="shared" si="127"/>
        <v>1.6144600406554537E-12</v>
      </c>
      <c r="EN139" s="62">
        <f t="shared" si="128"/>
        <v>286.42157907938122</v>
      </c>
      <c r="EO139" s="62">
        <f ca="1">AVERAGE(OFFSET($EN$3,0,0,'Données projet'!$E$15+1,1))-AVERAGE(OFFSET($H$3,0,0,'Données projet'!$E$15+1,1))</f>
        <v>454.78867027701426</v>
      </c>
      <c r="EP139" s="62">
        <f t="shared" si="154"/>
        <v>366.45346303927056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0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68.114976112558082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>
        <f>FE139*VLOOKUP('Données projet'!$B$16,Paramètres!$A$1:$I$89,3,0)*VLOOKUP('Données projet'!$B$16,Paramètres!$A$1:$I$89,5,0)</f>
        <v>0</v>
      </c>
      <c r="FG139" s="14" t="e">
        <f t="shared" si="155"/>
        <v>#NUM!</v>
      </c>
      <c r="FH139" s="22" t="e">
        <f t="shared" si="130"/>
        <v>#NUM!</v>
      </c>
      <c r="FI139" s="62" t="e">
        <f t="shared" si="131"/>
        <v>#NUM!</v>
      </c>
      <c r="FJ139" s="62">
        <f ca="1">AVERAGE(OFFSET($FI$3,0,0,'Données projet'!$E$16+1,1))-AVERAGE(OFFSET($H$3,0,0,'Données projet'!$E$16+1,1))</f>
        <v>390.05579539539576</v>
      </c>
      <c r="FK139" s="62">
        <f t="shared" si="156"/>
        <v>323.72278615226139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projet'!$B$16,Paramètres!$A$1:$I$89,3,0)*0.475*44/12</f>
        <v>0</v>
      </c>
      <c r="FR139" s="23">
        <f>EXP(-LN(2)/25)*FR138+(1-EXP(-LN(2)/25))/(LN(2)/25)*Calculateur!FM139*Calculateur!FO139*VLOOKUP('Données projet'!$B$16,Paramètres!$A$1:$I$89,3,0)*0.475*44/12</f>
        <v>0</v>
      </c>
      <c r="FS139" s="23">
        <f>EXP(-LN(2)/2)*FS138+(1-EXP(-LN(2)/2))/(LN(2)/2)*FM139*FP139*VLOOKUP('Données projet'!$B$16,Paramètres!$A$1:$I$89,3,0)*0.475*44/12</f>
        <v>0</v>
      </c>
      <c r="FT139" s="24">
        <f t="shared" si="132"/>
        <v>0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68.114976112558082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3.6</v>
      </c>
      <c r="FZ139" s="13">
        <f>IF('Données projet'!$A$244&gt;35,FZ138+FY139-GH138,IF(A139&lt;'Données projet'!$A$244,$FW$205^A139,IF(A139='Données projet'!$A$244,'Données projet'!$B$244,FZ138+FY139-GH138)))</f>
        <v>304.59999999999974</v>
      </c>
      <c r="GA139" s="18">
        <f>FZ139*VLOOKUP('Données projet'!$B$17,Paramètres!$A$1:$I$89,3,0)*VLOOKUP('Données projet'!$B$17,Paramètres!$A$1:$I$89,5,0)</f>
        <v>294.60911999999973</v>
      </c>
      <c r="GB139" s="14">
        <f t="shared" si="157"/>
        <v>70.045138051595032</v>
      </c>
      <c r="GC139" s="22">
        <f t="shared" si="133"/>
        <v>635.10616610652744</v>
      </c>
      <c r="GD139" s="62">
        <f t="shared" si="134"/>
        <v>921.52774518590707</v>
      </c>
      <c r="GE139" s="62">
        <f ca="1">AVERAGE(OFFSET($GD$3,0,0,'Données projet'!$E$17+1,1))-AVERAGE(OFFSET($H$3,0,0,'Données projet'!$E$17+1,1))</f>
        <v>578.44111602076555</v>
      </c>
      <c r="GF139" s="62">
        <f t="shared" si="158"/>
        <v>368.08542661432784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>
        <f>EXP(-LN(2)/35)*GL138+(1-EXP(-LN(2)/35))/(LN(2)/35)*GH139*GI139*VLOOKUP('Données projet'!$B$17,Paramètres!$A$1:$I$89,3,0)*0.475*44/12</f>
        <v>0</v>
      </c>
      <c r="GM139" s="23">
        <f>EXP(-LN(2)/25)*GM138+(1-EXP(-LN(2)/25))/(LN(2)/25)*Calculateur!GH139*Calculateur!GJ139*VLOOKUP('Données projet'!$B$17,Paramètres!$A$1:$I$89,3,0)*0.475*44/12</f>
        <v>0</v>
      </c>
      <c r="GN139" s="23">
        <f>EXP(-LN(2)/2)*GN138+(1-EXP(-LN(2)/2))/(LN(2)/2)*GH139*GK139*VLOOKUP('Données projet'!$B$17,Paramètres!$A$1:$I$89,3,0)*0.475*44/12</f>
        <v>0</v>
      </c>
      <c r="GO139" s="23">
        <f t="shared" si="135"/>
        <v>0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68.114976112558082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4.0735000000000001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14.936166666666667</v>
      </c>
      <c r="H140" s="70">
        <f t="shared" si="110"/>
        <v>196.922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68.147677062723133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3.6</v>
      </c>
      <c r="N140" s="14">
        <f>IF('Données projet'!$A$36&gt;35,N139+M140-V139,IF(A140&lt;'Données projet'!$A$36,$K$205^A140,IF(A140='Données projet'!$A$36,'Données projet'!$B$36,N139+M140-V139)))</f>
        <v>308.19999999999976</v>
      </c>
      <c r="O140" s="14">
        <f>N140*VLOOKUP('Données projet'!$B$9,Paramètres!$A$1:$I$89,3,0)*VLOOKUP('Données projet'!$B$9,Paramètres!$A$1:$I$89,5,0)</f>
        <v>278.85935999999981</v>
      </c>
      <c r="P140" s="14">
        <f t="shared" si="141"/>
        <v>66.725901622172387</v>
      </c>
      <c r="Q140" s="22">
        <f t="shared" si="108"/>
        <v>601.89433065861647</v>
      </c>
      <c r="R140" s="62">
        <f t="shared" si="109"/>
        <v>888.43581322193461</v>
      </c>
      <c r="S140" s="62">
        <f ca="1">AVERAGE(OFFSET($R$3,0,0,'Données projet'!$E$9+1,1))-AVERAGE(OFFSET($H$3,0,0,'Données projet'!$E$9+1,1))</f>
        <v>546.11281471711925</v>
      </c>
      <c r="T140" s="62">
        <f t="shared" si="142"/>
        <v>348.18069831447099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68.147677062723133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4.9333333333333336</v>
      </c>
      <c r="AI140" s="14">
        <f>IF('Données projet'!$A$62&gt;35,AI139+AH140-AQ139,IF(A140&lt;'Données projet'!$A$62,$AF$205^A140,IF(A140='Données projet'!$A$62,'Données projet'!$B$62,AI139+AH140-AQ139)))</f>
        <v>506.86666666666605</v>
      </c>
      <c r="AJ140" s="14">
        <f>AI140*VLOOKUP('Données projet'!$B$10,Paramètres!$A$1:$I$89,3,0)*VLOOKUP('Données projet'!$B$10,Paramètres!$A$1:$I$89,5,0)</f>
        <v>434.89159999999953</v>
      </c>
      <c r="AK140" s="14">
        <f t="shared" si="143"/>
        <v>98.815604895945327</v>
      </c>
      <c r="AL140" s="22">
        <f t="shared" si="112"/>
        <v>929.54004852710386</v>
      </c>
      <c r="AM140" s="62">
        <f t="shared" si="113"/>
        <v>1216.081531090422</v>
      </c>
      <c r="AN140" s="62">
        <f ca="1">AVERAGE(OFFSET($AM$3,0,0,'Données projet'!$E$10+1,1))-AVERAGE(OFFSET($H$3,0,0,'Données projet'!$E$10+1,1))</f>
        <v>693.87994318348024</v>
      </c>
      <c r="AO140" s="62">
        <f t="shared" si="144"/>
        <v>327.71043739333641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68.147677062723133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3.6</v>
      </c>
      <c r="BD140" s="13">
        <f>IF('Données projet'!$A$88&gt;35,BD139+BC140-BL139,IF(A140&lt;'Données projet'!$A$88,$BA$205^A140,IF(A140='Données projet'!$A$88,'Données projet'!$B$88,BD139+BC140-BL139)))</f>
        <v>308.19999999999976</v>
      </c>
      <c r="BE140" s="14">
        <f>BD140*VLOOKUP('Données projet'!$B$11,Paramètres!$A$1:$I$89,3,0)*VLOOKUP('Données projet'!$B$11,Paramètres!$A$1:$I$89,5,0)</f>
        <v>259.62767999999983</v>
      </c>
      <c r="BF140" s="14">
        <f t="shared" si="145"/>
        <v>62.643007760076095</v>
      </c>
      <c r="BG140" s="22">
        <f t="shared" si="115"/>
        <v>561.28811451546551</v>
      </c>
      <c r="BH140" s="62">
        <f t="shared" si="116"/>
        <v>847.82959707878365</v>
      </c>
      <c r="BI140" s="62">
        <f ca="1">AVERAGE(OFFSET($BH$3,0,0,'Données projet'!$E$11+1,1))-AVERAGE(OFFSET($H$3,0,0,'Données projet'!$E$11+1,1))</f>
        <v>513.7388209355762</v>
      </c>
      <c r="BJ140" s="62">
        <f t="shared" si="146"/>
        <v>328.24603121433927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68.147677062723133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4.5474735088646412E-13</v>
      </c>
      <c r="BZ140" s="14">
        <f>BY140*VLOOKUP('Données projet'!$B$12,Paramètres!$A$1:$I$89,3,0)*VLOOKUP('Données projet'!$B$12,Paramètres!$A$1:$I$89,5,0)</f>
        <v>3.6179699236527089E-13</v>
      </c>
      <c r="CA140" s="14">
        <f t="shared" si="147"/>
        <v>4.6796319415916035E-12</v>
      </c>
      <c r="CB140" s="22">
        <f t="shared" si="118"/>
        <v>8.7804887266415556E-12</v>
      </c>
      <c r="CC140" s="62">
        <f t="shared" si="119"/>
        <v>286.54148256332689</v>
      </c>
      <c r="CD140" s="62">
        <f ca="1">AVERAGE(OFFSET($CC$3,0,0,'Données projet'!$E$12+1,1))-AVERAGE(OFFSET($H$3,0,0,'Données projet'!$E$12+1,1))</f>
        <v>447.25854887589878</v>
      </c>
      <c r="CE140" s="62">
        <f t="shared" si="148"/>
        <v>480.13390593590157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68.147677062723133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1.1368683772161603E-13</v>
      </c>
      <c r="CU140" s="18">
        <f>CT140*VLOOKUP('Données projet'!$B$13,Paramètres!$A$1:$I$89,3,0)*VLOOKUP('Données projet'!$B$13,Paramètres!$A$1:$I$89,5,0)</f>
        <v>8.8675733422860506E-14</v>
      </c>
      <c r="CV140" s="14">
        <f t="shared" si="149"/>
        <v>1.3509285393066301E-12</v>
      </c>
      <c r="CW140" s="22">
        <f t="shared" si="121"/>
        <v>2.5073107750038623E-12</v>
      </c>
      <c r="CX140" s="62">
        <f t="shared" si="122"/>
        <v>286.54148256332064</v>
      </c>
      <c r="CY140" s="62">
        <f ca="1">AVERAGE(OFFSET($CX$3,0,0,'Données projet'!$E$13+1,1))-AVERAGE(OFFSET($H$3,0,0,'Données projet'!$E$13+1,1))</f>
        <v>308.52515801950324</v>
      </c>
      <c r="CZ140" s="62">
        <f t="shared" si="150"/>
        <v>299.05420638408953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68.147677062723133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4.5474735088646412E-13</v>
      </c>
      <c r="DP140" s="18">
        <f>DO140*VLOOKUP('Données projet'!$B$14,Paramètres!$A$1:$I$89,3,0)*VLOOKUP('Données projet'!$B$14,Paramètres!$A$1:$I$89,5,0)</f>
        <v>3.3342075766995548E-13</v>
      </c>
      <c r="DQ140" s="14">
        <f t="shared" si="151"/>
        <v>4.3537988100583648E-12</v>
      </c>
      <c r="DR140" s="22">
        <f t="shared" si="124"/>
        <v>8.1635740804601579E-12</v>
      </c>
      <c r="DS140" s="62">
        <f t="shared" si="125"/>
        <v>286.54148256332633</v>
      </c>
      <c r="DT140" s="62">
        <f ca="1">AVERAGE(OFFSET($DS$3,0,0,'Données projet'!$E$14+1,1))-AVERAGE(OFFSET($H$3,0,0,'Données projet'!$E$14+1,1))</f>
        <v>416.72317068678774</v>
      </c>
      <c r="DU140" s="62">
        <f t="shared" si="152"/>
        <v>447.32457429495537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68.147677062723133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5.6843418860808015E-14</v>
      </c>
      <c r="EK140" s="18">
        <f>EJ140*VLOOKUP('Données projet'!$B$15,Paramètres!$A$1:$I$89,3,0)*VLOOKUP('Données projet'!$B$15,Paramètres!$A$1:$I$89,5,0)</f>
        <v>5.4092197387944907E-14</v>
      </c>
      <c r="EL140" s="14">
        <f t="shared" si="153"/>
        <v>8.7287050538073676E-13</v>
      </c>
      <c r="EM140" s="22">
        <f t="shared" si="127"/>
        <v>1.6144600406554537E-12</v>
      </c>
      <c r="EN140" s="62">
        <f t="shared" si="128"/>
        <v>286.54148256331973</v>
      </c>
      <c r="EO140" s="62">
        <f ca="1">AVERAGE(OFFSET($EN$3,0,0,'Données projet'!$E$15+1,1))-AVERAGE(OFFSET($H$3,0,0,'Données projet'!$E$15+1,1))</f>
        <v>454.78867027701426</v>
      </c>
      <c r="EP140" s="62">
        <f t="shared" si="154"/>
        <v>366.45346303927056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0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68.147677062723133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>
        <f>FE140*VLOOKUP('Données projet'!$B$16,Paramètres!$A$1:$I$89,3,0)*VLOOKUP('Données projet'!$B$16,Paramètres!$A$1:$I$89,5,0)</f>
        <v>0</v>
      </c>
      <c r="FG140" s="14" t="e">
        <f t="shared" si="155"/>
        <v>#NUM!</v>
      </c>
      <c r="FH140" s="22" t="e">
        <f t="shared" si="130"/>
        <v>#NUM!</v>
      </c>
      <c r="FI140" s="62" t="e">
        <f t="shared" si="131"/>
        <v>#NUM!</v>
      </c>
      <c r="FJ140" s="62">
        <f ca="1">AVERAGE(OFFSET($FI$3,0,0,'Données projet'!$E$16+1,1))-AVERAGE(OFFSET($H$3,0,0,'Données projet'!$E$16+1,1))</f>
        <v>390.05579539539576</v>
      </c>
      <c r="FK140" s="62">
        <f t="shared" si="156"/>
        <v>323.72278615226139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projet'!$B$16,Paramètres!$A$1:$I$89,3,0)*0.475*44/12</f>
        <v>0</v>
      </c>
      <c r="FR140" s="23">
        <f>EXP(-LN(2)/25)*FR139+(1-EXP(-LN(2)/25))/(LN(2)/25)*Calculateur!FM140*Calculateur!FO140*VLOOKUP('Données projet'!$B$16,Paramètres!$A$1:$I$89,3,0)*0.475*44/12</f>
        <v>0</v>
      </c>
      <c r="FS140" s="23">
        <f>EXP(-LN(2)/2)*FS139+(1-EXP(-LN(2)/2))/(LN(2)/2)*FM140*FP140*VLOOKUP('Données projet'!$B$16,Paramètres!$A$1:$I$89,3,0)*0.475*44/12</f>
        <v>0</v>
      </c>
      <c r="FT140" s="24">
        <f t="shared" si="132"/>
        <v>0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68.147677062723133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3.6</v>
      </c>
      <c r="FZ140" s="13">
        <f>IF('Données projet'!$A$244&gt;35,FZ139+FY140-GH139,IF(A140&lt;'Données projet'!$A$244,$FW$205^A140,IF(A140='Données projet'!$A$244,'Données projet'!$B$244,FZ139+FY140-GH139)))</f>
        <v>308.19999999999976</v>
      </c>
      <c r="GA140" s="18">
        <f>FZ140*VLOOKUP('Données projet'!$B$17,Paramètres!$A$1:$I$89,3,0)*VLOOKUP('Données projet'!$B$17,Paramètres!$A$1:$I$89,5,0)</f>
        <v>298.09103999999979</v>
      </c>
      <c r="GB140" s="14">
        <f t="shared" si="157"/>
        <v>70.776123577436934</v>
      </c>
      <c r="GC140" s="22">
        <f t="shared" si="133"/>
        <v>642.44364323070226</v>
      </c>
      <c r="GD140" s="62">
        <f t="shared" si="134"/>
        <v>928.98512579402041</v>
      </c>
      <c r="GE140" s="62">
        <f ca="1">AVERAGE(OFFSET($GD$3,0,0,'Données projet'!$E$17+1,1))-AVERAGE(OFFSET($H$3,0,0,'Données projet'!$E$17+1,1))</f>
        <v>578.44111602076555</v>
      </c>
      <c r="GF140" s="62">
        <f t="shared" si="158"/>
        <v>368.08542661432784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>
        <f>EXP(-LN(2)/35)*GL139+(1-EXP(-LN(2)/35))/(LN(2)/35)*GH140*GI140*VLOOKUP('Données projet'!$B$17,Paramètres!$A$1:$I$89,3,0)*0.475*44/12</f>
        <v>0</v>
      </c>
      <c r="GM140" s="23">
        <f>EXP(-LN(2)/25)*GM139+(1-EXP(-LN(2)/25))/(LN(2)/25)*Calculateur!GH140*Calculateur!GJ140*VLOOKUP('Données projet'!$B$17,Paramètres!$A$1:$I$89,3,0)*0.475*44/12</f>
        <v>0</v>
      </c>
      <c r="GN140" s="23">
        <f>EXP(-LN(2)/2)*GN139+(1-EXP(-LN(2)/2))/(LN(2)/2)*GH140*GK140*VLOOKUP('Données projet'!$B$17,Paramètres!$A$1:$I$89,3,0)*0.475*44/12</f>
        <v>0</v>
      </c>
      <c r="GO140" s="23">
        <f t="shared" si="135"/>
        <v>0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68.147677062723133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4.0735000000000001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14.936166666666667</v>
      </c>
      <c r="H141" s="70">
        <f t="shared" si="110"/>
        <v>196.922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68.179810724511185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3.6</v>
      </c>
      <c r="N141" s="14">
        <f>IF('Données projet'!$A$36&gt;35,N140+M141-V140,IF(A141&lt;'Données projet'!$A$36,$K$205^A141,IF(A141='Données projet'!$A$36,'Données projet'!$B$36,N140+M141-V140)))</f>
        <v>311.79999999999978</v>
      </c>
      <c r="O141" s="14">
        <f>N141*VLOOKUP('Données projet'!$B$9,Paramètres!$A$1:$I$89,3,0)*VLOOKUP('Données projet'!$B$9,Paramètres!$A$1:$I$89,5,0)</f>
        <v>282.11663999999979</v>
      </c>
      <c r="P141" s="14">
        <f t="shared" si="141"/>
        <v>67.414119514142186</v>
      </c>
      <c r="Q141" s="22">
        <f t="shared" si="108"/>
        <v>608.76607282046393</v>
      </c>
      <c r="R141" s="62">
        <f t="shared" si="109"/>
        <v>895.42537881033832</v>
      </c>
      <c r="S141" s="62">
        <f ca="1">AVERAGE(OFFSET($R$3,0,0,'Données projet'!$E$9+1,1))-AVERAGE(OFFSET($H$3,0,0,'Données projet'!$E$9+1,1))</f>
        <v>546.11281471711925</v>
      </c>
      <c r="T141" s="62">
        <f t="shared" si="142"/>
        <v>348.18069831447099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68.179810724511185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4.9333333333333336</v>
      </c>
      <c r="AI141" s="14">
        <f>IF('Données projet'!$A$62&gt;35,AI140+AH141-AQ140,IF(A141&lt;'Données projet'!$A$62,$AF$205^A141,IF(A141='Données projet'!$A$62,'Données projet'!$B$62,AI140+AH141-AQ140)))</f>
        <v>511.79999999999939</v>
      </c>
      <c r="AJ141" s="14">
        <f>AI141*VLOOKUP('Données projet'!$B$10,Paramètres!$A$1:$I$89,3,0)*VLOOKUP('Données projet'!$B$10,Paramètres!$A$1:$I$89,5,0)</f>
        <v>439.12439999999953</v>
      </c>
      <c r="AK141" s="14">
        <f t="shared" si="143"/>
        <v>99.664947240177099</v>
      </c>
      <c r="AL141" s="22">
        <f t="shared" si="112"/>
        <v>938.39144644330747</v>
      </c>
      <c r="AM141" s="62">
        <f t="shared" si="113"/>
        <v>1225.0507524331817</v>
      </c>
      <c r="AN141" s="62">
        <f ca="1">AVERAGE(OFFSET($AM$3,0,0,'Données projet'!$E$10+1,1))-AVERAGE(OFFSET($H$3,0,0,'Données projet'!$E$10+1,1))</f>
        <v>693.87994318348024</v>
      </c>
      <c r="AO141" s="62">
        <f t="shared" si="144"/>
        <v>327.71043739333641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68.179810724511185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3.6</v>
      </c>
      <c r="BD141" s="13">
        <f>IF('Données projet'!$A$88&gt;35,BD140+BC141-BL140,IF(A141&lt;'Données projet'!$A$88,$BA$205^A141,IF(A141='Données projet'!$A$88,'Données projet'!$B$88,BD140+BC141-BL140)))</f>
        <v>311.79999999999978</v>
      </c>
      <c r="BE141" s="14">
        <f>BD141*VLOOKUP('Données projet'!$B$11,Paramètres!$A$1:$I$89,3,0)*VLOOKUP('Données projet'!$B$11,Paramètres!$A$1:$I$89,5,0)</f>
        <v>262.66031999999984</v>
      </c>
      <c r="BF141" s="14">
        <f t="shared" si="145"/>
        <v>63.289114259938842</v>
      </c>
      <c r="BG141" s="22">
        <f t="shared" si="115"/>
        <v>567.69526466939328</v>
      </c>
      <c r="BH141" s="62">
        <f t="shared" si="116"/>
        <v>854.35457065926767</v>
      </c>
      <c r="BI141" s="62">
        <f ca="1">AVERAGE(OFFSET($BH$3,0,0,'Données projet'!$E$11+1,1))-AVERAGE(OFFSET($H$3,0,0,'Données projet'!$E$11+1,1))</f>
        <v>513.7388209355762</v>
      </c>
      <c r="BJ141" s="62">
        <f t="shared" si="146"/>
        <v>328.24603121433927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68.179810724511185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4.5474735088646412E-13</v>
      </c>
      <c r="BZ141" s="14">
        <f>BY141*VLOOKUP('Données projet'!$B$12,Paramètres!$A$1:$I$89,3,0)*VLOOKUP('Données projet'!$B$12,Paramètres!$A$1:$I$89,5,0)</f>
        <v>3.6179699236527089E-13</v>
      </c>
      <c r="CA141" s="14">
        <f t="shared" si="147"/>
        <v>4.6796319415916035E-12</v>
      </c>
      <c r="CB141" s="22">
        <f t="shared" si="118"/>
        <v>8.7804887266415556E-12</v>
      </c>
      <c r="CC141" s="62">
        <f t="shared" si="119"/>
        <v>286.65930598988308</v>
      </c>
      <c r="CD141" s="62">
        <f ca="1">AVERAGE(OFFSET($CC$3,0,0,'Données projet'!$E$12+1,1))-AVERAGE(OFFSET($H$3,0,0,'Données projet'!$E$12+1,1))</f>
        <v>447.25854887589878</v>
      </c>
      <c r="CE141" s="62">
        <f t="shared" si="148"/>
        <v>480.13390593590157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68.179810724511185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1.1368683772161603E-13</v>
      </c>
      <c r="CU141" s="18">
        <f>CT141*VLOOKUP('Données projet'!$B$13,Paramètres!$A$1:$I$89,3,0)*VLOOKUP('Données projet'!$B$13,Paramètres!$A$1:$I$89,5,0)</f>
        <v>8.8675733422860506E-14</v>
      </c>
      <c r="CV141" s="14">
        <f t="shared" si="149"/>
        <v>1.3509285393066301E-12</v>
      </c>
      <c r="CW141" s="22">
        <f t="shared" si="121"/>
        <v>2.5073107750038623E-12</v>
      </c>
      <c r="CX141" s="62">
        <f t="shared" si="122"/>
        <v>286.65930598987683</v>
      </c>
      <c r="CY141" s="62">
        <f ca="1">AVERAGE(OFFSET($CX$3,0,0,'Données projet'!$E$13+1,1))-AVERAGE(OFFSET($H$3,0,0,'Données projet'!$E$13+1,1))</f>
        <v>308.52515801950324</v>
      </c>
      <c r="CZ141" s="62">
        <f t="shared" si="150"/>
        <v>299.05420638408953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68.179810724511185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4.5474735088646412E-13</v>
      </c>
      <c r="DP141" s="18">
        <f>DO141*VLOOKUP('Données projet'!$B$14,Paramètres!$A$1:$I$89,3,0)*VLOOKUP('Données projet'!$B$14,Paramètres!$A$1:$I$89,5,0)</f>
        <v>3.3342075766995548E-13</v>
      </c>
      <c r="DQ141" s="14">
        <f t="shared" si="151"/>
        <v>4.3537988100583648E-12</v>
      </c>
      <c r="DR141" s="22">
        <f t="shared" si="124"/>
        <v>8.1635740804601579E-12</v>
      </c>
      <c r="DS141" s="62">
        <f t="shared" si="125"/>
        <v>286.65930598988251</v>
      </c>
      <c r="DT141" s="62">
        <f ca="1">AVERAGE(OFFSET($DS$3,0,0,'Données projet'!$E$14+1,1))-AVERAGE(OFFSET($H$3,0,0,'Données projet'!$E$14+1,1))</f>
        <v>416.72317068678774</v>
      </c>
      <c r="DU141" s="62">
        <f t="shared" si="152"/>
        <v>447.32457429495537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68.179810724511185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5.6843418860808015E-14</v>
      </c>
      <c r="EK141" s="18">
        <f>EJ141*VLOOKUP('Données projet'!$B$15,Paramètres!$A$1:$I$89,3,0)*VLOOKUP('Données projet'!$B$15,Paramètres!$A$1:$I$89,5,0)</f>
        <v>5.4092197387944907E-14</v>
      </c>
      <c r="EL141" s="14">
        <f t="shared" si="153"/>
        <v>8.7287050538073676E-13</v>
      </c>
      <c r="EM141" s="22">
        <f t="shared" si="127"/>
        <v>1.6144600406554537E-12</v>
      </c>
      <c r="EN141" s="62">
        <f t="shared" si="128"/>
        <v>286.65930598987592</v>
      </c>
      <c r="EO141" s="62">
        <f ca="1">AVERAGE(OFFSET($EN$3,0,0,'Données projet'!$E$15+1,1))-AVERAGE(OFFSET($H$3,0,0,'Données projet'!$E$15+1,1))</f>
        <v>454.78867027701426</v>
      </c>
      <c r="EP141" s="62">
        <f t="shared" si="154"/>
        <v>366.45346303927056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0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68.179810724511185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>
        <f>FE141*VLOOKUP('Données projet'!$B$16,Paramètres!$A$1:$I$89,3,0)*VLOOKUP('Données projet'!$B$16,Paramètres!$A$1:$I$89,5,0)</f>
        <v>0</v>
      </c>
      <c r="FG141" s="14" t="e">
        <f t="shared" si="155"/>
        <v>#NUM!</v>
      </c>
      <c r="FH141" s="22" t="e">
        <f t="shared" si="130"/>
        <v>#NUM!</v>
      </c>
      <c r="FI141" s="62" t="e">
        <f t="shared" si="131"/>
        <v>#NUM!</v>
      </c>
      <c r="FJ141" s="62">
        <f ca="1">AVERAGE(OFFSET($FI$3,0,0,'Données projet'!$E$16+1,1))-AVERAGE(OFFSET($H$3,0,0,'Données projet'!$E$16+1,1))</f>
        <v>390.05579539539576</v>
      </c>
      <c r="FK141" s="62">
        <f t="shared" si="156"/>
        <v>323.72278615226139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projet'!$B$16,Paramètres!$A$1:$I$89,3,0)*0.475*44/12</f>
        <v>0</v>
      </c>
      <c r="FR141" s="23">
        <f>EXP(-LN(2)/25)*FR140+(1-EXP(-LN(2)/25))/(LN(2)/25)*Calculateur!FM141*Calculateur!FO141*VLOOKUP('Données projet'!$B$16,Paramètres!$A$1:$I$89,3,0)*0.475*44/12</f>
        <v>0</v>
      </c>
      <c r="FS141" s="23">
        <f>EXP(-LN(2)/2)*FS140+(1-EXP(-LN(2)/2))/(LN(2)/2)*FM141*FP141*VLOOKUP('Données projet'!$B$16,Paramètres!$A$1:$I$89,3,0)*0.475*44/12</f>
        <v>0</v>
      </c>
      <c r="FT141" s="24">
        <f t="shared" si="132"/>
        <v>0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68.179810724511185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3.6</v>
      </c>
      <c r="FZ141" s="13">
        <f>IF('Données projet'!$A$244&gt;35,FZ140+FY141-GH140,IF(A141&lt;'Données projet'!$A$244,$FW$205^A141,IF(A141='Données projet'!$A$244,'Données projet'!$B$244,FZ140+FY141-GH140)))</f>
        <v>311.79999999999978</v>
      </c>
      <c r="GA141" s="18">
        <f>FZ141*VLOOKUP('Données projet'!$B$17,Paramètres!$A$1:$I$89,3,0)*VLOOKUP('Données projet'!$B$17,Paramètres!$A$1:$I$89,5,0)</f>
        <v>301.5729599999998</v>
      </c>
      <c r="GB141" s="14">
        <f t="shared" si="157"/>
        <v>71.506115880067313</v>
      </c>
      <c r="GC141" s="22">
        <f t="shared" si="133"/>
        <v>649.77939049111683</v>
      </c>
      <c r="GD141" s="62">
        <f t="shared" si="134"/>
        <v>936.43869648099121</v>
      </c>
      <c r="GE141" s="62">
        <f ca="1">AVERAGE(OFFSET($GD$3,0,0,'Données projet'!$E$17+1,1))-AVERAGE(OFFSET($H$3,0,0,'Données projet'!$E$17+1,1))</f>
        <v>578.44111602076555</v>
      </c>
      <c r="GF141" s="62">
        <f t="shared" si="158"/>
        <v>368.08542661432784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>
        <f>EXP(-LN(2)/35)*GL140+(1-EXP(-LN(2)/35))/(LN(2)/35)*GH141*GI141*VLOOKUP('Données projet'!$B$17,Paramètres!$A$1:$I$89,3,0)*0.475*44/12</f>
        <v>0</v>
      </c>
      <c r="GM141" s="23">
        <f>EXP(-LN(2)/25)*GM140+(1-EXP(-LN(2)/25))/(LN(2)/25)*Calculateur!GH141*Calculateur!GJ141*VLOOKUP('Données projet'!$B$17,Paramètres!$A$1:$I$89,3,0)*0.475*44/12</f>
        <v>0</v>
      </c>
      <c r="GN141" s="23">
        <f>EXP(-LN(2)/2)*GN140+(1-EXP(-LN(2)/2))/(LN(2)/2)*GH141*GK141*VLOOKUP('Données projet'!$B$17,Paramètres!$A$1:$I$89,3,0)*0.475*44/12</f>
        <v>0</v>
      </c>
      <c r="GO141" s="23">
        <f t="shared" si="135"/>
        <v>0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68.179810724511185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4.0735000000000001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14.936166666666667</v>
      </c>
      <c r="H142" s="70">
        <f t="shared" si="110"/>
        <v>196.922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68.211386939107328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3.6</v>
      </c>
      <c r="N142" s="14">
        <f>IF('Données projet'!$A$36&gt;35,N141+M142-V141,IF(A142&lt;'Données projet'!$A$36,$K$205^A142,IF(A142='Données projet'!$A$36,'Données projet'!$B$36,N141+M142-V141)))</f>
        <v>315.39999999999981</v>
      </c>
      <c r="O142" s="14">
        <f>N142*VLOOKUP('Données projet'!$B$9,Paramètres!$A$1:$I$89,3,0)*VLOOKUP('Données projet'!$B$9,Paramètres!$A$1:$I$89,5,0)</f>
        <v>285.37391999999983</v>
      </c>
      <c r="P142" s="14">
        <f t="shared" si="141"/>
        <v>68.101413083167643</v>
      </c>
      <c r="Q142" s="22">
        <f t="shared" si="108"/>
        <v>615.63620511984993</v>
      </c>
      <c r="R142" s="62">
        <f t="shared" si="109"/>
        <v>902.41129056324348</v>
      </c>
      <c r="S142" s="62">
        <f ca="1">AVERAGE(OFFSET($R$3,0,0,'Données projet'!$E$9+1,1))-AVERAGE(OFFSET($H$3,0,0,'Données projet'!$E$9+1,1))</f>
        <v>546.11281471711925</v>
      </c>
      <c r="T142" s="62">
        <f t="shared" si="142"/>
        <v>348.18069831447099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68.211386939107328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4.9333333333333336</v>
      </c>
      <c r="AI142" s="14">
        <f>IF('Données projet'!$A$62&gt;35,AI141+AH142-AQ141,IF(A142&lt;'Données projet'!$A$62,$AF$205^A142,IF(A142='Données projet'!$A$62,'Données projet'!$B$62,AI141+AH142-AQ141)))</f>
        <v>516.73333333333267</v>
      </c>
      <c r="AJ142" s="14">
        <f>AI142*VLOOKUP('Données projet'!$B$10,Paramètres!$A$1:$I$89,3,0)*VLOOKUP('Données projet'!$B$10,Paramètres!$A$1:$I$89,5,0)</f>
        <v>443.35719999999947</v>
      </c>
      <c r="AK142" s="14">
        <f t="shared" si="143"/>
        <v>100.51333714044823</v>
      </c>
      <c r="AL142" s="22">
        <f t="shared" si="112"/>
        <v>947.24118551961294</v>
      </c>
      <c r="AM142" s="62">
        <f t="shared" si="113"/>
        <v>1234.0162709630065</v>
      </c>
      <c r="AN142" s="62">
        <f ca="1">AVERAGE(OFFSET($AM$3,0,0,'Données projet'!$E$10+1,1))-AVERAGE(OFFSET($H$3,0,0,'Données projet'!$E$10+1,1))</f>
        <v>693.87994318348024</v>
      </c>
      <c r="AO142" s="62">
        <f t="shared" si="144"/>
        <v>327.71043739333641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68.211386939107328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3.6</v>
      </c>
      <c r="BD142" s="13">
        <f>IF('Données projet'!$A$88&gt;35,BD141+BC142-BL141,IF(A142&lt;'Données projet'!$A$88,$BA$205^A142,IF(A142='Données projet'!$A$88,'Données projet'!$B$88,BD141+BC142-BL141)))</f>
        <v>315.39999999999981</v>
      </c>
      <c r="BE142" s="14">
        <f>BD142*VLOOKUP('Données projet'!$B$11,Paramètres!$A$1:$I$89,3,0)*VLOOKUP('Données projet'!$B$11,Paramètres!$A$1:$I$89,5,0)</f>
        <v>265.69295999999986</v>
      </c>
      <c r="BF142" s="14">
        <f t="shared" si="145"/>
        <v>63.93435299529078</v>
      </c>
      <c r="BG142" s="22">
        <f t="shared" si="115"/>
        <v>574.10090346679783</v>
      </c>
      <c r="BH142" s="62">
        <f t="shared" si="116"/>
        <v>860.87598891019138</v>
      </c>
      <c r="BI142" s="62">
        <f ca="1">AVERAGE(OFFSET($BH$3,0,0,'Données projet'!$E$11+1,1))-AVERAGE(OFFSET($H$3,0,0,'Données projet'!$E$11+1,1))</f>
        <v>513.7388209355762</v>
      </c>
      <c r="BJ142" s="62">
        <f t="shared" si="146"/>
        <v>328.24603121433927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68.211386939107328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4.5474735088646412E-13</v>
      </c>
      <c r="BZ142" s="14">
        <f>BY142*VLOOKUP('Données projet'!$B$12,Paramètres!$A$1:$I$89,3,0)*VLOOKUP('Données projet'!$B$12,Paramètres!$A$1:$I$89,5,0)</f>
        <v>3.6179699236527089E-13</v>
      </c>
      <c r="CA142" s="14">
        <f t="shared" si="147"/>
        <v>4.6796319415916035E-12</v>
      </c>
      <c r="CB142" s="22">
        <f t="shared" si="118"/>
        <v>8.7804887266415556E-12</v>
      </c>
      <c r="CC142" s="62">
        <f t="shared" si="119"/>
        <v>286.7750854434023</v>
      </c>
      <c r="CD142" s="62">
        <f ca="1">AVERAGE(OFFSET($CC$3,0,0,'Données projet'!$E$12+1,1))-AVERAGE(OFFSET($H$3,0,0,'Données projet'!$E$12+1,1))</f>
        <v>447.25854887589878</v>
      </c>
      <c r="CE142" s="62">
        <f t="shared" si="148"/>
        <v>480.13390593590157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68.211386939107328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1.1368683772161603E-13</v>
      </c>
      <c r="CU142" s="18">
        <f>CT142*VLOOKUP('Données projet'!$B$13,Paramètres!$A$1:$I$89,3,0)*VLOOKUP('Données projet'!$B$13,Paramètres!$A$1:$I$89,5,0)</f>
        <v>8.8675733422860506E-14</v>
      </c>
      <c r="CV142" s="14">
        <f t="shared" si="149"/>
        <v>1.3509285393066301E-12</v>
      </c>
      <c r="CW142" s="22">
        <f t="shared" si="121"/>
        <v>2.5073107750038623E-12</v>
      </c>
      <c r="CX142" s="62">
        <f t="shared" si="122"/>
        <v>286.77508544339605</v>
      </c>
      <c r="CY142" s="62">
        <f ca="1">AVERAGE(OFFSET($CX$3,0,0,'Données projet'!$E$13+1,1))-AVERAGE(OFFSET($H$3,0,0,'Données projet'!$E$13+1,1))</f>
        <v>308.52515801950324</v>
      </c>
      <c r="CZ142" s="62">
        <f t="shared" si="150"/>
        <v>299.05420638408953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68.211386939107328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4.5474735088646412E-13</v>
      </c>
      <c r="DP142" s="18">
        <f>DO142*VLOOKUP('Données projet'!$B$14,Paramètres!$A$1:$I$89,3,0)*VLOOKUP('Données projet'!$B$14,Paramètres!$A$1:$I$89,5,0)</f>
        <v>3.3342075766995548E-13</v>
      </c>
      <c r="DQ142" s="14">
        <f t="shared" si="151"/>
        <v>4.3537988100583648E-12</v>
      </c>
      <c r="DR142" s="22">
        <f t="shared" si="124"/>
        <v>8.1635740804601579E-12</v>
      </c>
      <c r="DS142" s="62">
        <f t="shared" si="125"/>
        <v>286.77508544340174</v>
      </c>
      <c r="DT142" s="62">
        <f ca="1">AVERAGE(OFFSET($DS$3,0,0,'Données projet'!$E$14+1,1))-AVERAGE(OFFSET($H$3,0,0,'Données projet'!$E$14+1,1))</f>
        <v>416.72317068678774</v>
      </c>
      <c r="DU142" s="62">
        <f t="shared" si="152"/>
        <v>447.32457429495537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68.211386939107328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5.6843418860808015E-14</v>
      </c>
      <c r="EK142" s="18">
        <f>EJ142*VLOOKUP('Données projet'!$B$15,Paramètres!$A$1:$I$89,3,0)*VLOOKUP('Données projet'!$B$15,Paramètres!$A$1:$I$89,5,0)</f>
        <v>5.4092197387944907E-14</v>
      </c>
      <c r="EL142" s="14">
        <f t="shared" si="153"/>
        <v>8.7287050538073676E-13</v>
      </c>
      <c r="EM142" s="22">
        <f t="shared" si="127"/>
        <v>1.6144600406554537E-12</v>
      </c>
      <c r="EN142" s="62">
        <f t="shared" si="128"/>
        <v>286.77508544339514</v>
      </c>
      <c r="EO142" s="62">
        <f ca="1">AVERAGE(OFFSET($EN$3,0,0,'Données projet'!$E$15+1,1))-AVERAGE(OFFSET($H$3,0,0,'Données projet'!$E$15+1,1))</f>
        <v>454.78867027701426</v>
      </c>
      <c r="EP142" s="62">
        <f t="shared" si="154"/>
        <v>366.45346303927056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0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68.211386939107328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>
        <f>FE142*VLOOKUP('Données projet'!$B$16,Paramètres!$A$1:$I$89,3,0)*VLOOKUP('Données projet'!$B$16,Paramètres!$A$1:$I$89,5,0)</f>
        <v>0</v>
      </c>
      <c r="FG142" s="14" t="e">
        <f t="shared" si="155"/>
        <v>#NUM!</v>
      </c>
      <c r="FH142" s="22" t="e">
        <f t="shared" si="130"/>
        <v>#NUM!</v>
      </c>
      <c r="FI142" s="62" t="e">
        <f t="shared" si="131"/>
        <v>#NUM!</v>
      </c>
      <c r="FJ142" s="62">
        <f ca="1">AVERAGE(OFFSET($FI$3,0,0,'Données projet'!$E$16+1,1))-AVERAGE(OFFSET($H$3,0,0,'Données projet'!$E$16+1,1))</f>
        <v>390.05579539539576</v>
      </c>
      <c r="FK142" s="62">
        <f t="shared" si="156"/>
        <v>323.72278615226139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projet'!$B$16,Paramètres!$A$1:$I$89,3,0)*0.475*44/12</f>
        <v>0</v>
      </c>
      <c r="FR142" s="23">
        <f>EXP(-LN(2)/25)*FR141+(1-EXP(-LN(2)/25))/(LN(2)/25)*Calculateur!FM142*Calculateur!FO142*VLOOKUP('Données projet'!$B$16,Paramètres!$A$1:$I$89,3,0)*0.475*44/12</f>
        <v>0</v>
      </c>
      <c r="FS142" s="23">
        <f>EXP(-LN(2)/2)*FS141+(1-EXP(-LN(2)/2))/(LN(2)/2)*FM142*FP142*VLOOKUP('Données projet'!$B$16,Paramètres!$A$1:$I$89,3,0)*0.475*44/12</f>
        <v>0</v>
      </c>
      <c r="FT142" s="24">
        <f t="shared" si="132"/>
        <v>0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68.211386939107328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3.6</v>
      </c>
      <c r="FZ142" s="13">
        <f>IF('Données projet'!$A$244&gt;35,FZ141+FY142-GH141,IF(A142&lt;'Données projet'!$A$244,$FW$205^A142,IF(A142='Données projet'!$A$244,'Données projet'!$B$244,FZ141+FY142-GH141)))</f>
        <v>315.39999999999981</v>
      </c>
      <c r="GA142" s="18">
        <f>FZ142*VLOOKUP('Données projet'!$B$17,Paramètres!$A$1:$I$89,3,0)*VLOOKUP('Données projet'!$B$17,Paramètres!$A$1:$I$89,5,0)</f>
        <v>305.05487999999986</v>
      </c>
      <c r="GB142" s="14">
        <f t="shared" si="157"/>
        <v>72.235127753908458</v>
      </c>
      <c r="GC142" s="22">
        <f t="shared" si="133"/>
        <v>657.11343017139018</v>
      </c>
      <c r="GD142" s="62">
        <f t="shared" si="134"/>
        <v>943.88851561478373</v>
      </c>
      <c r="GE142" s="62">
        <f ca="1">AVERAGE(OFFSET($GD$3,0,0,'Données projet'!$E$17+1,1))-AVERAGE(OFFSET($H$3,0,0,'Données projet'!$E$17+1,1))</f>
        <v>578.44111602076555</v>
      </c>
      <c r="GF142" s="62">
        <f t="shared" si="158"/>
        <v>368.08542661432784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>
        <f>EXP(-LN(2)/35)*GL141+(1-EXP(-LN(2)/35))/(LN(2)/35)*GH142*GI142*VLOOKUP('Données projet'!$B$17,Paramètres!$A$1:$I$89,3,0)*0.475*44/12</f>
        <v>0</v>
      </c>
      <c r="GM142" s="23">
        <f>EXP(-LN(2)/25)*GM141+(1-EXP(-LN(2)/25))/(LN(2)/25)*Calculateur!GH142*Calculateur!GJ142*VLOOKUP('Données projet'!$B$17,Paramètres!$A$1:$I$89,3,0)*0.475*44/12</f>
        <v>0</v>
      </c>
      <c r="GN142" s="23">
        <f>EXP(-LN(2)/2)*GN141+(1-EXP(-LN(2)/2))/(LN(2)/2)*GH142*GK142*VLOOKUP('Données projet'!$B$17,Paramètres!$A$1:$I$89,3,0)*0.475*44/12</f>
        <v>0</v>
      </c>
      <c r="GO142" s="23">
        <f t="shared" si="135"/>
        <v>0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68.211386939107328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4.0735000000000001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14.936166666666667</v>
      </c>
      <c r="H143" s="70">
        <f t="shared" si="110"/>
        <v>196.922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68.242415376974066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3.6</v>
      </c>
      <c r="N143" s="14">
        <f>IF('Données projet'!$A$36&gt;35,N142+M143-V142,IF(A143&lt;'Données projet'!$A$36,$K$205^A143,IF(A143='Données projet'!$A$36,'Données projet'!$B$36,N142+M143-V142)))</f>
        <v>318.99999999999983</v>
      </c>
      <c r="O143" s="14">
        <f>N143*VLOOKUP('Données projet'!$B$9,Paramètres!$A$1:$I$89,3,0)*VLOOKUP('Données projet'!$B$9,Paramètres!$A$1:$I$89,5,0)</f>
        <v>288.63119999999986</v>
      </c>
      <c r="P143" s="14">
        <f t="shared" si="141"/>
        <v>68.787794100289204</v>
      </c>
      <c r="Q143" s="22">
        <f t="shared" si="108"/>
        <v>622.50474805800343</v>
      </c>
      <c r="R143" s="62">
        <f t="shared" si="109"/>
        <v>909.39360444024169</v>
      </c>
      <c r="S143" s="62">
        <f ca="1">AVERAGE(OFFSET($R$3,0,0,'Données projet'!$E$9+1,1))-AVERAGE(OFFSET($H$3,0,0,'Données projet'!$E$9+1,1))</f>
        <v>546.11281471711925</v>
      </c>
      <c r="T143" s="62">
        <f t="shared" si="142"/>
        <v>348.18069831447099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68.242415376974066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4.9333333333333336</v>
      </c>
      <c r="AI143" s="14">
        <f>IF('Données projet'!$A$62&gt;35,AI142+AH143-AQ142,IF(A143&lt;'Données projet'!$A$62,$AF$205^A143,IF(A143='Données projet'!$A$62,'Données projet'!$B$62,AI142+AH143-AQ142)))</f>
        <v>521.66666666666595</v>
      </c>
      <c r="AJ143" s="14">
        <f>AI143*VLOOKUP('Données projet'!$B$10,Paramètres!$A$1:$I$89,3,0)*VLOOKUP('Données projet'!$B$10,Paramètres!$A$1:$I$89,5,0)</f>
        <v>447.58999999999941</v>
      </c>
      <c r="AK143" s="14">
        <f t="shared" si="143"/>
        <v>101.36078474300044</v>
      </c>
      <c r="AL143" s="22">
        <f t="shared" si="112"/>
        <v>956.08928342739136</v>
      </c>
      <c r="AM143" s="62">
        <f t="shared" si="113"/>
        <v>1242.9781398096295</v>
      </c>
      <c r="AN143" s="62">
        <f ca="1">AVERAGE(OFFSET($AM$3,0,0,'Données projet'!$E$10+1,1))-AVERAGE(OFFSET($H$3,0,0,'Données projet'!$E$10+1,1))</f>
        <v>693.87994318348024</v>
      </c>
      <c r="AO143" s="62">
        <f t="shared" si="144"/>
        <v>327.71043739333641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68.242415376974066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3.6</v>
      </c>
      <c r="BD143" s="13">
        <f>IF('Données projet'!$A$88&gt;35,BD142+BC143-BL142,IF(A143&lt;'Données projet'!$A$88,$BA$205^A143,IF(A143='Données projet'!$A$88,'Données projet'!$B$88,BD142+BC143-BL142)))</f>
        <v>318.99999999999983</v>
      </c>
      <c r="BE143" s="14">
        <f>BD143*VLOOKUP('Données projet'!$B$11,Paramètres!$A$1:$I$89,3,0)*VLOOKUP('Données projet'!$B$11,Paramètres!$A$1:$I$89,5,0)</f>
        <v>268.72559999999987</v>
      </c>
      <c r="BF143" s="14">
        <f t="shared" si="145"/>
        <v>64.578735016913811</v>
      </c>
      <c r="BG143" s="22">
        <f t="shared" si="115"/>
        <v>580.50505015445799</v>
      </c>
      <c r="BH143" s="62">
        <f t="shared" si="116"/>
        <v>867.39390653669625</v>
      </c>
      <c r="BI143" s="62">
        <f ca="1">AVERAGE(OFFSET($BH$3,0,0,'Données projet'!$E$11+1,1))-AVERAGE(OFFSET($H$3,0,0,'Données projet'!$E$11+1,1))</f>
        <v>513.7388209355762</v>
      </c>
      <c r="BJ143" s="62">
        <f t="shared" si="146"/>
        <v>328.24603121433927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68.242415376974066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4.5474735088646412E-13</v>
      </c>
      <c r="BZ143" s="14">
        <f>BY143*VLOOKUP('Données projet'!$B$12,Paramètres!$A$1:$I$89,3,0)*VLOOKUP('Données projet'!$B$12,Paramètres!$A$1:$I$89,5,0)</f>
        <v>3.6179699236527089E-13</v>
      </c>
      <c r="CA143" s="14">
        <f t="shared" si="147"/>
        <v>4.6796319415916035E-12</v>
      </c>
      <c r="CB143" s="22">
        <f t="shared" si="118"/>
        <v>8.7804887266415556E-12</v>
      </c>
      <c r="CC143" s="62">
        <f t="shared" si="119"/>
        <v>286.88885638224696</v>
      </c>
      <c r="CD143" s="62">
        <f ca="1">AVERAGE(OFFSET($CC$3,0,0,'Données projet'!$E$12+1,1))-AVERAGE(OFFSET($H$3,0,0,'Données projet'!$E$12+1,1))</f>
        <v>447.25854887589878</v>
      </c>
      <c r="CE143" s="62">
        <f t="shared" si="148"/>
        <v>480.13390593590157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68.242415376974066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1.1368683772161603E-13</v>
      </c>
      <c r="CU143" s="18">
        <f>CT143*VLOOKUP('Données projet'!$B$13,Paramètres!$A$1:$I$89,3,0)*VLOOKUP('Données projet'!$B$13,Paramètres!$A$1:$I$89,5,0)</f>
        <v>8.8675733422860506E-14</v>
      </c>
      <c r="CV143" s="14">
        <f t="shared" si="149"/>
        <v>1.3509285393066301E-12</v>
      </c>
      <c r="CW143" s="22">
        <f t="shared" si="121"/>
        <v>2.5073107750038623E-12</v>
      </c>
      <c r="CX143" s="62">
        <f t="shared" si="122"/>
        <v>286.8888563822407</v>
      </c>
      <c r="CY143" s="62">
        <f ca="1">AVERAGE(OFFSET($CX$3,0,0,'Données projet'!$E$13+1,1))-AVERAGE(OFFSET($H$3,0,0,'Données projet'!$E$13+1,1))</f>
        <v>308.52515801950324</v>
      </c>
      <c r="CZ143" s="62">
        <f t="shared" si="150"/>
        <v>299.05420638408953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68.242415376974066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4.5474735088646412E-13</v>
      </c>
      <c r="DP143" s="18">
        <f>DO143*VLOOKUP('Données projet'!$B$14,Paramètres!$A$1:$I$89,3,0)*VLOOKUP('Données projet'!$B$14,Paramètres!$A$1:$I$89,5,0)</f>
        <v>3.3342075766995548E-13</v>
      </c>
      <c r="DQ143" s="14">
        <f t="shared" si="151"/>
        <v>4.3537988100583648E-12</v>
      </c>
      <c r="DR143" s="22">
        <f t="shared" si="124"/>
        <v>8.1635740804601579E-12</v>
      </c>
      <c r="DS143" s="62">
        <f t="shared" si="125"/>
        <v>286.88885638224639</v>
      </c>
      <c r="DT143" s="62">
        <f ca="1">AVERAGE(OFFSET($DS$3,0,0,'Données projet'!$E$14+1,1))-AVERAGE(OFFSET($H$3,0,0,'Données projet'!$E$14+1,1))</f>
        <v>416.72317068678774</v>
      </c>
      <c r="DU143" s="62">
        <f t="shared" si="152"/>
        <v>447.32457429495537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68.242415376974066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5.6843418860808015E-14</v>
      </c>
      <c r="EK143" s="18">
        <f>EJ143*VLOOKUP('Données projet'!$B$15,Paramètres!$A$1:$I$89,3,0)*VLOOKUP('Données projet'!$B$15,Paramètres!$A$1:$I$89,5,0)</f>
        <v>5.4092197387944907E-14</v>
      </c>
      <c r="EL143" s="14">
        <f t="shared" si="153"/>
        <v>8.7287050538073676E-13</v>
      </c>
      <c r="EM143" s="22">
        <f t="shared" si="127"/>
        <v>1.6144600406554537E-12</v>
      </c>
      <c r="EN143" s="62">
        <f t="shared" si="128"/>
        <v>286.88885638223979</v>
      </c>
      <c r="EO143" s="62">
        <f ca="1">AVERAGE(OFFSET($EN$3,0,0,'Données projet'!$E$15+1,1))-AVERAGE(OFFSET($H$3,0,0,'Données projet'!$E$15+1,1))</f>
        <v>454.78867027701426</v>
      </c>
      <c r="EP143" s="62">
        <f t="shared" si="154"/>
        <v>366.45346303927056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0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68.242415376974066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>
        <f>FE143*VLOOKUP('Données projet'!$B$16,Paramètres!$A$1:$I$89,3,0)*VLOOKUP('Données projet'!$B$16,Paramètres!$A$1:$I$89,5,0)</f>
        <v>0</v>
      </c>
      <c r="FG143" s="14" t="e">
        <f t="shared" si="155"/>
        <v>#NUM!</v>
      </c>
      <c r="FH143" s="22" t="e">
        <f t="shared" si="130"/>
        <v>#NUM!</v>
      </c>
      <c r="FI143" s="62" t="e">
        <f t="shared" si="131"/>
        <v>#NUM!</v>
      </c>
      <c r="FJ143" s="62">
        <f ca="1">AVERAGE(OFFSET($FI$3,0,0,'Données projet'!$E$16+1,1))-AVERAGE(OFFSET($H$3,0,0,'Données projet'!$E$16+1,1))</f>
        <v>390.05579539539576</v>
      </c>
      <c r="FK143" s="62">
        <f t="shared" si="156"/>
        <v>323.72278615226139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projet'!$B$16,Paramètres!$A$1:$I$89,3,0)*0.475*44/12</f>
        <v>0</v>
      </c>
      <c r="FR143" s="23">
        <f>EXP(-LN(2)/25)*FR142+(1-EXP(-LN(2)/25))/(LN(2)/25)*Calculateur!FM143*Calculateur!FO143*VLOOKUP('Données projet'!$B$16,Paramètres!$A$1:$I$89,3,0)*0.475*44/12</f>
        <v>0</v>
      </c>
      <c r="FS143" s="23">
        <f>EXP(-LN(2)/2)*FS142+(1-EXP(-LN(2)/2))/(LN(2)/2)*FM143*FP143*VLOOKUP('Données projet'!$B$16,Paramètres!$A$1:$I$89,3,0)*0.475*44/12</f>
        <v>0</v>
      </c>
      <c r="FT143" s="24">
        <f t="shared" si="132"/>
        <v>0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68.242415376974066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3.6</v>
      </c>
      <c r="FZ143" s="13">
        <f>IF('Données projet'!$A$244&gt;35,FZ142+FY143-GH142,IF(A143&lt;'Données projet'!$A$244,$FW$205^A143,IF(A143='Données projet'!$A$244,'Données projet'!$B$244,FZ142+FY143-GH142)))</f>
        <v>318.99999999999983</v>
      </c>
      <c r="GA143" s="18">
        <f>FZ143*VLOOKUP('Données projet'!$B$17,Paramètres!$A$1:$I$89,3,0)*VLOOKUP('Données projet'!$B$17,Paramètres!$A$1:$I$89,5,0)</f>
        <v>308.53679999999986</v>
      </c>
      <c r="GB143" s="14">
        <f t="shared" si="157"/>
        <v>72.963171684496103</v>
      </c>
      <c r="GC143" s="22">
        <f t="shared" si="133"/>
        <v>664.44578401716376</v>
      </c>
      <c r="GD143" s="62">
        <f t="shared" si="134"/>
        <v>951.33464039940191</v>
      </c>
      <c r="GE143" s="62">
        <f ca="1">AVERAGE(OFFSET($GD$3,0,0,'Données projet'!$E$17+1,1))-AVERAGE(OFFSET($H$3,0,0,'Données projet'!$E$17+1,1))</f>
        <v>578.44111602076555</v>
      </c>
      <c r="GF143" s="62">
        <f t="shared" si="158"/>
        <v>368.08542661432784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>
        <f>EXP(-LN(2)/35)*GL142+(1-EXP(-LN(2)/35))/(LN(2)/35)*GH143*GI143*VLOOKUP('Données projet'!$B$17,Paramètres!$A$1:$I$89,3,0)*0.475*44/12</f>
        <v>0</v>
      </c>
      <c r="GM143" s="23">
        <f>EXP(-LN(2)/25)*GM142+(1-EXP(-LN(2)/25))/(LN(2)/25)*Calculateur!GH143*Calculateur!GJ143*VLOOKUP('Données projet'!$B$17,Paramètres!$A$1:$I$89,3,0)*0.475*44/12</f>
        <v>0</v>
      </c>
      <c r="GN143" s="23">
        <f>EXP(-LN(2)/2)*GN142+(1-EXP(-LN(2)/2))/(LN(2)/2)*GH143*GK143*VLOOKUP('Données projet'!$B$17,Paramètres!$A$1:$I$89,3,0)*0.475*44/12</f>
        <v>0</v>
      </c>
      <c r="GO143" s="23">
        <f t="shared" si="135"/>
        <v>0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68.242415376974066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4.0735000000000001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14.936166666666667</v>
      </c>
      <c r="H144" s="70">
        <f t="shared" si="110"/>
        <v>196.922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68.272905540813014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3.6</v>
      </c>
      <c r="N144" s="14">
        <f>IF('Données projet'!$A$36&gt;35,N143+M144-V143,IF(A144&lt;'Données projet'!$A$36,$K$205^A144,IF(A144='Données projet'!$A$36,'Données projet'!$B$36,N143+M144-V143)))</f>
        <v>322.59999999999985</v>
      </c>
      <c r="O144" s="14">
        <f>N144*VLOOKUP('Données projet'!$B$9,Paramètres!$A$1:$I$89,3,0)*VLOOKUP('Données projet'!$B$9,Paramètres!$A$1:$I$89,5,0)</f>
        <v>291.88847999999984</v>
      </c>
      <c r="P144" s="14">
        <f t="shared" si="141"/>
        <v>69.473274055573441</v>
      </c>
      <c r="Q144" s="22">
        <f t="shared" si="108"/>
        <v>629.37172164679021</v>
      </c>
      <c r="R144" s="62">
        <f t="shared" si="109"/>
        <v>916.37237529643789</v>
      </c>
      <c r="S144" s="62">
        <f ca="1">AVERAGE(OFFSET($R$3,0,0,'Données projet'!$E$9+1,1))-AVERAGE(OFFSET($H$3,0,0,'Données projet'!$E$9+1,1))</f>
        <v>546.11281471711925</v>
      </c>
      <c r="T144" s="62">
        <f t="shared" si="142"/>
        <v>348.18069831447099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68.272905540813014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4.9333333333333336</v>
      </c>
      <c r="AI144" s="14">
        <f>IF('Données projet'!$A$62&gt;35,AI143+AH144-AQ143,IF(A144&lt;'Données projet'!$A$62,$AF$205^A144,IF(A144='Données projet'!$A$62,'Données projet'!$B$62,AI143+AH144-AQ143)))</f>
        <v>526.59999999999923</v>
      </c>
      <c r="AJ144" s="14">
        <f>AI144*VLOOKUP('Données projet'!$B$10,Paramètres!$A$1:$I$89,3,0)*VLOOKUP('Données projet'!$B$10,Paramètres!$A$1:$I$89,5,0)</f>
        <v>451.8227999999994</v>
      </c>
      <c r="AK144" s="14">
        <f t="shared" si="143"/>
        <v>102.20729999110594</v>
      </c>
      <c r="AL144" s="22">
        <f t="shared" si="112"/>
        <v>964.93575748450849</v>
      </c>
      <c r="AM144" s="62">
        <f t="shared" si="113"/>
        <v>1251.9364111341563</v>
      </c>
      <c r="AN144" s="62">
        <f ca="1">AVERAGE(OFFSET($AM$3,0,0,'Données projet'!$E$10+1,1))-AVERAGE(OFFSET($H$3,0,0,'Données projet'!$E$10+1,1))</f>
        <v>693.87994318348024</v>
      </c>
      <c r="AO144" s="62">
        <f t="shared" si="144"/>
        <v>327.71043739333641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68.272905540813014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3.6</v>
      </c>
      <c r="BD144" s="13">
        <f>IF('Données projet'!$A$88&gt;35,BD143+BC144-BL143,IF(A144&lt;'Données projet'!$A$88,$BA$205^A144,IF(A144='Données projet'!$A$88,'Données projet'!$B$88,BD143+BC144-BL143)))</f>
        <v>322.59999999999985</v>
      </c>
      <c r="BE144" s="14">
        <f>BD144*VLOOKUP('Données projet'!$B$11,Paramètres!$A$1:$I$89,3,0)*VLOOKUP('Données projet'!$B$11,Paramètres!$A$1:$I$89,5,0)</f>
        <v>271.75823999999989</v>
      </c>
      <c r="BF144" s="14">
        <f t="shared" si="145"/>
        <v>65.222271111808354</v>
      </c>
      <c r="BG144" s="22">
        <f t="shared" si="115"/>
        <v>586.90772351973271</v>
      </c>
      <c r="BH144" s="62">
        <f t="shared" si="116"/>
        <v>873.9083771693804</v>
      </c>
      <c r="BI144" s="62">
        <f ca="1">AVERAGE(OFFSET($BH$3,0,0,'Données projet'!$E$11+1,1))-AVERAGE(OFFSET($H$3,0,0,'Données projet'!$E$11+1,1))</f>
        <v>513.7388209355762</v>
      </c>
      <c r="BJ144" s="62">
        <f t="shared" si="146"/>
        <v>328.24603121433927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68.272905540813014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4.5474735088646412E-13</v>
      </c>
      <c r="BZ144" s="14">
        <f>BY144*VLOOKUP('Données projet'!$B$12,Paramètres!$A$1:$I$89,3,0)*VLOOKUP('Données projet'!$B$12,Paramètres!$A$1:$I$89,5,0)</f>
        <v>3.6179699236527089E-13</v>
      </c>
      <c r="CA144" s="14">
        <f t="shared" si="147"/>
        <v>4.6796319415916035E-12</v>
      </c>
      <c r="CB144" s="22">
        <f t="shared" si="118"/>
        <v>8.7804887266415556E-12</v>
      </c>
      <c r="CC144" s="62">
        <f t="shared" si="119"/>
        <v>287.0006536496565</v>
      </c>
      <c r="CD144" s="62">
        <f ca="1">AVERAGE(OFFSET($CC$3,0,0,'Données projet'!$E$12+1,1))-AVERAGE(OFFSET($H$3,0,0,'Données projet'!$E$12+1,1))</f>
        <v>447.25854887589878</v>
      </c>
      <c r="CE144" s="62">
        <f t="shared" si="148"/>
        <v>480.13390593590157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68.272905540813014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1.1368683772161603E-13</v>
      </c>
      <c r="CU144" s="18">
        <f>CT144*VLOOKUP('Données projet'!$B$13,Paramètres!$A$1:$I$89,3,0)*VLOOKUP('Données projet'!$B$13,Paramètres!$A$1:$I$89,5,0)</f>
        <v>8.8675733422860506E-14</v>
      </c>
      <c r="CV144" s="14">
        <f t="shared" si="149"/>
        <v>1.3509285393066301E-12</v>
      </c>
      <c r="CW144" s="22">
        <f t="shared" si="121"/>
        <v>2.5073107750038623E-12</v>
      </c>
      <c r="CX144" s="62">
        <f t="shared" si="122"/>
        <v>287.00065364965025</v>
      </c>
      <c r="CY144" s="62">
        <f ca="1">AVERAGE(OFFSET($CX$3,0,0,'Données projet'!$E$13+1,1))-AVERAGE(OFFSET($H$3,0,0,'Données projet'!$E$13+1,1))</f>
        <v>308.52515801950324</v>
      </c>
      <c r="CZ144" s="62">
        <f t="shared" si="150"/>
        <v>299.05420638408953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68.272905540813014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4.5474735088646412E-13</v>
      </c>
      <c r="DP144" s="18">
        <f>DO144*VLOOKUP('Données projet'!$B$14,Paramètres!$A$1:$I$89,3,0)*VLOOKUP('Données projet'!$B$14,Paramètres!$A$1:$I$89,5,0)</f>
        <v>3.3342075766995548E-13</v>
      </c>
      <c r="DQ144" s="14">
        <f t="shared" si="151"/>
        <v>4.3537988100583648E-12</v>
      </c>
      <c r="DR144" s="22">
        <f t="shared" si="124"/>
        <v>8.1635740804601579E-12</v>
      </c>
      <c r="DS144" s="62">
        <f t="shared" si="125"/>
        <v>287.00065364965593</v>
      </c>
      <c r="DT144" s="62">
        <f ca="1">AVERAGE(OFFSET($DS$3,0,0,'Données projet'!$E$14+1,1))-AVERAGE(OFFSET($H$3,0,0,'Données projet'!$E$14+1,1))</f>
        <v>416.72317068678774</v>
      </c>
      <c r="DU144" s="62">
        <f t="shared" si="152"/>
        <v>447.32457429495537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68.272905540813014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5.6843418860808015E-14</v>
      </c>
      <c r="EK144" s="18">
        <f>EJ144*VLOOKUP('Données projet'!$B$15,Paramètres!$A$1:$I$89,3,0)*VLOOKUP('Données projet'!$B$15,Paramètres!$A$1:$I$89,5,0)</f>
        <v>5.4092197387944907E-14</v>
      </c>
      <c r="EL144" s="14">
        <f t="shared" si="153"/>
        <v>8.7287050538073676E-13</v>
      </c>
      <c r="EM144" s="22">
        <f t="shared" si="127"/>
        <v>1.6144600406554537E-12</v>
      </c>
      <c r="EN144" s="62">
        <f t="shared" si="128"/>
        <v>287.00065364964934</v>
      </c>
      <c r="EO144" s="62">
        <f ca="1">AVERAGE(OFFSET($EN$3,0,0,'Données projet'!$E$15+1,1))-AVERAGE(OFFSET($H$3,0,0,'Données projet'!$E$15+1,1))</f>
        <v>454.78867027701426</v>
      </c>
      <c r="EP144" s="62">
        <f t="shared" si="154"/>
        <v>366.45346303927056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0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68.272905540813014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>
        <f>FE144*VLOOKUP('Données projet'!$B$16,Paramètres!$A$1:$I$89,3,0)*VLOOKUP('Données projet'!$B$16,Paramètres!$A$1:$I$89,5,0)</f>
        <v>0</v>
      </c>
      <c r="FG144" s="14" t="e">
        <f t="shared" si="155"/>
        <v>#NUM!</v>
      </c>
      <c r="FH144" s="22" t="e">
        <f t="shared" si="130"/>
        <v>#NUM!</v>
      </c>
      <c r="FI144" s="62" t="e">
        <f t="shared" si="131"/>
        <v>#NUM!</v>
      </c>
      <c r="FJ144" s="62">
        <f ca="1">AVERAGE(OFFSET($FI$3,0,0,'Données projet'!$E$16+1,1))-AVERAGE(OFFSET($H$3,0,0,'Données projet'!$E$16+1,1))</f>
        <v>390.05579539539576</v>
      </c>
      <c r="FK144" s="62">
        <f t="shared" si="156"/>
        <v>323.72278615226139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projet'!$B$16,Paramètres!$A$1:$I$89,3,0)*0.475*44/12</f>
        <v>0</v>
      </c>
      <c r="FR144" s="23">
        <f>EXP(-LN(2)/25)*FR143+(1-EXP(-LN(2)/25))/(LN(2)/25)*Calculateur!FM144*Calculateur!FO144*VLOOKUP('Données projet'!$B$16,Paramètres!$A$1:$I$89,3,0)*0.475*44/12</f>
        <v>0</v>
      </c>
      <c r="FS144" s="23">
        <f>EXP(-LN(2)/2)*FS143+(1-EXP(-LN(2)/2))/(LN(2)/2)*FM144*FP144*VLOOKUP('Données projet'!$B$16,Paramètres!$A$1:$I$89,3,0)*0.475*44/12</f>
        <v>0</v>
      </c>
      <c r="FT144" s="24">
        <f t="shared" si="132"/>
        <v>0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68.272905540813014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3.6</v>
      </c>
      <c r="FZ144" s="13">
        <f>IF('Données projet'!$A$244&gt;35,FZ143+FY144-GH143,IF(A144&lt;'Données projet'!$A$244,$FW$205^A144,IF(A144='Données projet'!$A$244,'Données projet'!$B$244,FZ143+FY144-GH143)))</f>
        <v>322.59999999999985</v>
      </c>
      <c r="GA144" s="18">
        <f>FZ144*VLOOKUP('Données projet'!$B$17,Paramètres!$A$1:$I$89,3,0)*VLOOKUP('Données projet'!$B$17,Paramètres!$A$1:$I$89,5,0)</f>
        <v>312.01871999999986</v>
      </c>
      <c r="GB144" s="14">
        <f t="shared" si="157"/>
        <v>73.69025985933655</v>
      </c>
      <c r="GC144" s="22">
        <f t="shared" si="133"/>
        <v>671.77647325501084</v>
      </c>
      <c r="GD144" s="62">
        <f t="shared" si="134"/>
        <v>958.77712690465864</v>
      </c>
      <c r="GE144" s="62">
        <f ca="1">AVERAGE(OFFSET($GD$3,0,0,'Données projet'!$E$17+1,1))-AVERAGE(OFFSET($H$3,0,0,'Données projet'!$E$17+1,1))</f>
        <v>578.44111602076555</v>
      </c>
      <c r="GF144" s="62">
        <f t="shared" si="158"/>
        <v>368.08542661432784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>
        <f>EXP(-LN(2)/35)*GL143+(1-EXP(-LN(2)/35))/(LN(2)/35)*GH144*GI144*VLOOKUP('Données projet'!$B$17,Paramètres!$A$1:$I$89,3,0)*0.475*44/12</f>
        <v>0</v>
      </c>
      <c r="GM144" s="23">
        <f>EXP(-LN(2)/25)*GM143+(1-EXP(-LN(2)/25))/(LN(2)/25)*Calculateur!GH144*Calculateur!GJ144*VLOOKUP('Données projet'!$B$17,Paramètres!$A$1:$I$89,3,0)*0.475*44/12</f>
        <v>0</v>
      </c>
      <c r="GN144" s="23">
        <f>EXP(-LN(2)/2)*GN143+(1-EXP(-LN(2)/2))/(LN(2)/2)*GH144*GK144*VLOOKUP('Données projet'!$B$17,Paramètres!$A$1:$I$89,3,0)*0.475*44/12</f>
        <v>0</v>
      </c>
      <c r="GO144" s="23">
        <f t="shared" si="135"/>
        <v>0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68.272905540813014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4.0735000000000001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14.936166666666667</v>
      </c>
      <c r="H145" s="70">
        <f t="shared" si="110"/>
        <v>196.922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68.302866768475155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3.6</v>
      </c>
      <c r="N145" s="14">
        <f>IF('Données projet'!$A$36&gt;35,N144+M145-V144,IF(A145&lt;'Données projet'!$A$36,$K$205^A145,IF(A145='Données projet'!$A$36,'Données projet'!$B$36,N144+M145-V144)))</f>
        <v>326.19999999999987</v>
      </c>
      <c r="O145" s="14">
        <f>N145*VLOOKUP('Données projet'!$B$9,Paramètres!$A$1:$I$89,3,0)*VLOOKUP('Données projet'!$B$9,Paramètres!$A$1:$I$89,5,0)</f>
        <v>295.14575999999988</v>
      </c>
      <c r="P145" s="14">
        <f t="shared" si="141"/>
        <v>70.157864167878188</v>
      </c>
      <c r="Q145" s="22">
        <f t="shared" si="108"/>
        <v>636.237145425721</v>
      </c>
      <c r="R145" s="62">
        <f t="shared" si="109"/>
        <v>923.3476569101299</v>
      </c>
      <c r="S145" s="62">
        <f ca="1">AVERAGE(OFFSET($R$3,0,0,'Données projet'!$E$9+1,1))-AVERAGE(OFFSET($H$3,0,0,'Données projet'!$E$9+1,1))</f>
        <v>546.11281471711925</v>
      </c>
      <c r="T145" s="62">
        <f t="shared" si="142"/>
        <v>348.18069831447099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68.302866768475155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4.9333333333333336</v>
      </c>
      <c r="AI145" s="14">
        <f>IF('Données projet'!$A$62&gt;35,AI144+AH145-AQ144,IF(A145&lt;'Données projet'!$A$62,$AF$205^A145,IF(A145='Données projet'!$A$62,'Données projet'!$B$62,AI144+AH145-AQ144)))</f>
        <v>531.53333333333251</v>
      </c>
      <c r="AJ145" s="14">
        <f>AI145*VLOOKUP('Données projet'!$B$10,Paramètres!$A$1:$I$89,3,0)*VLOOKUP('Données projet'!$B$10,Paramètres!$A$1:$I$89,5,0)</f>
        <v>456.05559999999934</v>
      </c>
      <c r="AK145" s="14">
        <f t="shared" si="143"/>
        <v>103.05289263099067</v>
      </c>
      <c r="AL145" s="22">
        <f t="shared" si="112"/>
        <v>973.78062466564097</v>
      </c>
      <c r="AM145" s="62">
        <f t="shared" si="113"/>
        <v>1260.89113615005</v>
      </c>
      <c r="AN145" s="62">
        <f ca="1">AVERAGE(OFFSET($AM$3,0,0,'Données projet'!$E$10+1,1))-AVERAGE(OFFSET($H$3,0,0,'Données projet'!$E$10+1,1))</f>
        <v>693.87994318348024</v>
      </c>
      <c r="AO145" s="62">
        <f t="shared" si="144"/>
        <v>327.71043739333641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68.302866768475155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3.6</v>
      </c>
      <c r="BD145" s="13">
        <f>IF('Données projet'!$A$88&gt;35,BD144+BC145-BL144,IF(A145&lt;'Données projet'!$A$88,$BA$205^A145,IF(A145='Données projet'!$A$88,'Données projet'!$B$88,BD144+BC145-BL144)))</f>
        <v>326.19999999999987</v>
      </c>
      <c r="BE145" s="14">
        <f>BD145*VLOOKUP('Données projet'!$B$11,Paramètres!$A$1:$I$89,3,0)*VLOOKUP('Données projet'!$B$11,Paramètres!$A$1:$I$89,5,0)</f>
        <v>274.7908799999999</v>
      </c>
      <c r="BF145" s="14">
        <f t="shared" si="145"/>
        <v>65.86497181236102</v>
      </c>
      <c r="BG145" s="22">
        <f t="shared" si="115"/>
        <v>593.30894190652862</v>
      </c>
      <c r="BH145" s="62">
        <f t="shared" si="116"/>
        <v>880.41945339093752</v>
      </c>
      <c r="BI145" s="62">
        <f ca="1">AVERAGE(OFFSET($BH$3,0,0,'Données projet'!$E$11+1,1))-AVERAGE(OFFSET($H$3,0,0,'Données projet'!$E$11+1,1))</f>
        <v>513.7388209355762</v>
      </c>
      <c r="BJ145" s="62">
        <f t="shared" si="146"/>
        <v>328.24603121433927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68.302866768475155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4.5474735088646412E-13</v>
      </c>
      <c r="BZ145" s="14">
        <f>BY145*VLOOKUP('Données projet'!$B$12,Paramètres!$A$1:$I$89,3,0)*VLOOKUP('Données projet'!$B$12,Paramètres!$A$1:$I$89,5,0)</f>
        <v>3.6179699236527089E-13</v>
      </c>
      <c r="CA145" s="14">
        <f t="shared" si="147"/>
        <v>4.6796319415916035E-12</v>
      </c>
      <c r="CB145" s="22">
        <f t="shared" si="118"/>
        <v>8.7804887266415556E-12</v>
      </c>
      <c r="CC145" s="62">
        <f t="shared" si="119"/>
        <v>287.11051148441766</v>
      </c>
      <c r="CD145" s="62">
        <f ca="1">AVERAGE(OFFSET($CC$3,0,0,'Données projet'!$E$12+1,1))-AVERAGE(OFFSET($H$3,0,0,'Données projet'!$E$12+1,1))</f>
        <v>447.25854887589878</v>
      </c>
      <c r="CE145" s="62">
        <f t="shared" si="148"/>
        <v>480.13390593590157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68.302866768475155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1.1368683772161603E-13</v>
      </c>
      <c r="CU145" s="18">
        <f>CT145*VLOOKUP('Données projet'!$B$13,Paramètres!$A$1:$I$89,3,0)*VLOOKUP('Données projet'!$B$13,Paramètres!$A$1:$I$89,5,0)</f>
        <v>8.8675733422860506E-14</v>
      </c>
      <c r="CV145" s="14">
        <f t="shared" si="149"/>
        <v>1.3509285393066301E-12</v>
      </c>
      <c r="CW145" s="22">
        <f t="shared" si="121"/>
        <v>2.5073107750038623E-12</v>
      </c>
      <c r="CX145" s="62">
        <f t="shared" si="122"/>
        <v>287.1105114844114</v>
      </c>
      <c r="CY145" s="62">
        <f ca="1">AVERAGE(OFFSET($CX$3,0,0,'Données projet'!$E$13+1,1))-AVERAGE(OFFSET($H$3,0,0,'Données projet'!$E$13+1,1))</f>
        <v>308.52515801950324</v>
      </c>
      <c r="CZ145" s="62">
        <f t="shared" si="150"/>
        <v>299.05420638408953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68.302866768475155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4.5474735088646412E-13</v>
      </c>
      <c r="DP145" s="18">
        <f>DO145*VLOOKUP('Données projet'!$B$14,Paramètres!$A$1:$I$89,3,0)*VLOOKUP('Données projet'!$B$14,Paramètres!$A$1:$I$89,5,0)</f>
        <v>3.3342075766995548E-13</v>
      </c>
      <c r="DQ145" s="14">
        <f t="shared" si="151"/>
        <v>4.3537988100583648E-12</v>
      </c>
      <c r="DR145" s="22">
        <f t="shared" si="124"/>
        <v>8.1635740804601579E-12</v>
      </c>
      <c r="DS145" s="62">
        <f t="shared" si="125"/>
        <v>287.11051148441709</v>
      </c>
      <c r="DT145" s="62">
        <f ca="1">AVERAGE(OFFSET($DS$3,0,0,'Données projet'!$E$14+1,1))-AVERAGE(OFFSET($H$3,0,0,'Données projet'!$E$14+1,1))</f>
        <v>416.72317068678774</v>
      </c>
      <c r="DU145" s="62">
        <f t="shared" si="152"/>
        <v>447.32457429495537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68.302866768475155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5.6843418860808015E-14</v>
      </c>
      <c r="EK145" s="18">
        <f>EJ145*VLOOKUP('Données projet'!$B$15,Paramètres!$A$1:$I$89,3,0)*VLOOKUP('Données projet'!$B$15,Paramètres!$A$1:$I$89,5,0)</f>
        <v>5.4092197387944907E-14</v>
      </c>
      <c r="EL145" s="14">
        <f t="shared" si="153"/>
        <v>8.7287050538073676E-13</v>
      </c>
      <c r="EM145" s="22">
        <f t="shared" si="127"/>
        <v>1.6144600406554537E-12</v>
      </c>
      <c r="EN145" s="62">
        <f t="shared" si="128"/>
        <v>287.11051148441049</v>
      </c>
      <c r="EO145" s="62">
        <f ca="1">AVERAGE(OFFSET($EN$3,0,0,'Données projet'!$E$15+1,1))-AVERAGE(OFFSET($H$3,0,0,'Données projet'!$E$15+1,1))</f>
        <v>454.78867027701426</v>
      </c>
      <c r="EP145" s="62">
        <f t="shared" si="154"/>
        <v>366.45346303927056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0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68.302866768475155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>
        <f>FE145*VLOOKUP('Données projet'!$B$16,Paramètres!$A$1:$I$89,3,0)*VLOOKUP('Données projet'!$B$16,Paramètres!$A$1:$I$89,5,0)</f>
        <v>0</v>
      </c>
      <c r="FG145" s="14" t="e">
        <f t="shared" si="155"/>
        <v>#NUM!</v>
      </c>
      <c r="FH145" s="22" t="e">
        <f t="shared" si="130"/>
        <v>#NUM!</v>
      </c>
      <c r="FI145" s="62" t="e">
        <f t="shared" si="131"/>
        <v>#NUM!</v>
      </c>
      <c r="FJ145" s="62">
        <f ca="1">AVERAGE(OFFSET($FI$3,0,0,'Données projet'!$E$16+1,1))-AVERAGE(OFFSET($H$3,0,0,'Données projet'!$E$16+1,1))</f>
        <v>390.05579539539576</v>
      </c>
      <c r="FK145" s="62">
        <f t="shared" si="156"/>
        <v>323.72278615226139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projet'!$B$16,Paramètres!$A$1:$I$89,3,0)*0.475*44/12</f>
        <v>0</v>
      </c>
      <c r="FR145" s="23">
        <f>EXP(-LN(2)/25)*FR144+(1-EXP(-LN(2)/25))/(LN(2)/25)*Calculateur!FM145*Calculateur!FO145*VLOOKUP('Données projet'!$B$16,Paramètres!$A$1:$I$89,3,0)*0.475*44/12</f>
        <v>0</v>
      </c>
      <c r="FS145" s="23">
        <f>EXP(-LN(2)/2)*FS144+(1-EXP(-LN(2)/2))/(LN(2)/2)*FM145*FP145*VLOOKUP('Données projet'!$B$16,Paramètres!$A$1:$I$89,3,0)*0.475*44/12</f>
        <v>0</v>
      </c>
      <c r="FT145" s="24">
        <f t="shared" si="132"/>
        <v>0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68.302866768475155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3.6</v>
      </c>
      <c r="FZ145" s="13">
        <f>IF('Données projet'!$A$244&gt;35,FZ144+FY145-GH144,IF(A145&lt;'Données projet'!$A$244,$FW$205^A145,IF(A145='Données projet'!$A$244,'Données projet'!$B$244,FZ144+FY145-GH144)))</f>
        <v>326.19999999999987</v>
      </c>
      <c r="GA145" s="18">
        <f>FZ145*VLOOKUP('Données projet'!$B$17,Paramètres!$A$1:$I$89,3,0)*VLOOKUP('Données projet'!$B$17,Paramètres!$A$1:$I$89,5,0)</f>
        <v>315.50063999999986</v>
      </c>
      <c r="GB145" s="14">
        <f t="shared" si="157"/>
        <v>74.416404178265864</v>
      </c>
      <c r="GC145" s="22">
        <f t="shared" si="133"/>
        <v>679.10551861047941</v>
      </c>
      <c r="GD145" s="62">
        <f t="shared" si="134"/>
        <v>966.21603009488831</v>
      </c>
      <c r="GE145" s="62">
        <f ca="1">AVERAGE(OFFSET($GD$3,0,0,'Données projet'!$E$17+1,1))-AVERAGE(OFFSET($H$3,0,0,'Données projet'!$E$17+1,1))</f>
        <v>578.44111602076555</v>
      </c>
      <c r="GF145" s="62">
        <f t="shared" si="158"/>
        <v>368.08542661432784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>
        <f>EXP(-LN(2)/35)*GL144+(1-EXP(-LN(2)/35))/(LN(2)/35)*GH145*GI145*VLOOKUP('Données projet'!$B$17,Paramètres!$A$1:$I$89,3,0)*0.475*44/12</f>
        <v>0</v>
      </c>
      <c r="GM145" s="23">
        <f>EXP(-LN(2)/25)*GM144+(1-EXP(-LN(2)/25))/(LN(2)/25)*Calculateur!GH145*Calculateur!GJ145*VLOOKUP('Données projet'!$B$17,Paramètres!$A$1:$I$89,3,0)*0.475*44/12</f>
        <v>0</v>
      </c>
      <c r="GN145" s="23">
        <f>EXP(-LN(2)/2)*GN144+(1-EXP(-LN(2)/2))/(LN(2)/2)*GH145*GK145*VLOOKUP('Données projet'!$B$17,Paramètres!$A$1:$I$89,3,0)*0.475*44/12</f>
        <v>0</v>
      </c>
      <c r="GO145" s="23">
        <f t="shared" si="135"/>
        <v>0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68.302866768475155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4.0735000000000001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14.936166666666667</v>
      </c>
      <c r="H146" s="70">
        <f t="shared" si="110"/>
        <v>196.922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68.332308235820619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3.6</v>
      </c>
      <c r="N146" s="14">
        <f>IF('Données projet'!$A$36&gt;35,N145+M146-V145,IF(A146&lt;'Données projet'!$A$36,$K$205^A146,IF(A146='Données projet'!$A$36,'Données projet'!$B$36,N145+M146-V145)))</f>
        <v>329.7999999999999</v>
      </c>
      <c r="O146" s="14">
        <f>N146*VLOOKUP('Données projet'!$B$9,Paramètres!$A$1:$I$89,3,0)*VLOOKUP('Données projet'!$B$9,Paramètres!$A$1:$I$89,5,0)</f>
        <v>298.40303999999992</v>
      </c>
      <c r="P146" s="14">
        <f t="shared" si="141"/>
        <v>70.841575394175464</v>
      </c>
      <c r="Q146" s="22">
        <f t="shared" si="108"/>
        <v>643.1010384781888</v>
      </c>
      <c r="R146" s="62">
        <f t="shared" si="109"/>
        <v>930.31950200953111</v>
      </c>
      <c r="S146" s="62">
        <f ca="1">AVERAGE(OFFSET($R$3,0,0,'Données projet'!$E$9+1,1))-AVERAGE(OFFSET($H$3,0,0,'Données projet'!$E$9+1,1))</f>
        <v>546.11281471711925</v>
      </c>
      <c r="T146" s="62">
        <f t="shared" si="142"/>
        <v>348.18069831447099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68.332308235820619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4.9333333333333336</v>
      </c>
      <c r="AI146" s="14">
        <f>IF('Données projet'!$A$62&gt;35,AI145+AH146-AQ145,IF(A146&lt;'Données projet'!$A$62,$AF$205^A146,IF(A146='Données projet'!$A$62,'Données projet'!$B$62,AI145+AH146-AQ145)))</f>
        <v>536.46666666666579</v>
      </c>
      <c r="AJ146" s="14">
        <f>AI146*VLOOKUP('Données projet'!$B$10,Paramètres!$A$1:$I$89,3,0)*VLOOKUP('Données projet'!$B$10,Paramètres!$A$1:$I$89,5,0)</f>
        <v>460.28839999999934</v>
      </c>
      <c r="AK146" s="14">
        <f t="shared" si="143"/>
        <v>103.89757221753055</v>
      </c>
      <c r="AL146" s="22">
        <f t="shared" si="112"/>
        <v>982.62390161219776</v>
      </c>
      <c r="AM146" s="62">
        <f t="shared" si="113"/>
        <v>1269.8423651435401</v>
      </c>
      <c r="AN146" s="62">
        <f ca="1">AVERAGE(OFFSET($AM$3,0,0,'Données projet'!$E$10+1,1))-AVERAGE(OFFSET($H$3,0,0,'Données projet'!$E$10+1,1))</f>
        <v>693.87994318348024</v>
      </c>
      <c r="AO146" s="62">
        <f t="shared" si="144"/>
        <v>327.71043739333641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68.332308235820619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3.6</v>
      </c>
      <c r="BD146" s="13">
        <f>IF('Données projet'!$A$88&gt;35,BD145+BC146-BL145,IF(A146&lt;'Données projet'!$A$88,$BA$205^A146,IF(A146='Données projet'!$A$88,'Données projet'!$B$88,BD145+BC146-BL145)))</f>
        <v>329.7999999999999</v>
      </c>
      <c r="BE146" s="14">
        <f>BD146*VLOOKUP('Données projet'!$B$11,Paramètres!$A$1:$I$89,3,0)*VLOOKUP('Données projet'!$B$11,Paramètres!$A$1:$I$89,5,0)</f>
        <v>277.82351999999992</v>
      </c>
      <c r="BF146" s="14">
        <f t="shared" si="145"/>
        <v>66.50684740509719</v>
      </c>
      <c r="BG146" s="22">
        <f t="shared" si="115"/>
        <v>599.70872323054414</v>
      </c>
      <c r="BH146" s="62">
        <f t="shared" si="116"/>
        <v>886.92718676188633</v>
      </c>
      <c r="BI146" s="62">
        <f ca="1">AVERAGE(OFFSET($BH$3,0,0,'Données projet'!$E$11+1,1))-AVERAGE(OFFSET($H$3,0,0,'Données projet'!$E$11+1,1))</f>
        <v>513.7388209355762</v>
      </c>
      <c r="BJ146" s="62">
        <f t="shared" si="146"/>
        <v>328.24603121433927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68.332308235820619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4.5474735088646412E-13</v>
      </c>
      <c r="BZ146" s="14">
        <f>BY146*VLOOKUP('Données projet'!$B$12,Paramètres!$A$1:$I$89,3,0)*VLOOKUP('Données projet'!$B$12,Paramètres!$A$1:$I$89,5,0)</f>
        <v>3.6179699236527089E-13</v>
      </c>
      <c r="CA146" s="14">
        <f t="shared" si="147"/>
        <v>4.6796319415916035E-12</v>
      </c>
      <c r="CB146" s="22">
        <f t="shared" si="118"/>
        <v>8.7804887266415556E-12</v>
      </c>
      <c r="CC146" s="62">
        <f t="shared" si="119"/>
        <v>287.21846353135101</v>
      </c>
      <c r="CD146" s="62">
        <f ca="1">AVERAGE(OFFSET($CC$3,0,0,'Données projet'!$E$12+1,1))-AVERAGE(OFFSET($H$3,0,0,'Données projet'!$E$12+1,1))</f>
        <v>447.25854887589878</v>
      </c>
      <c r="CE146" s="62">
        <f t="shared" si="148"/>
        <v>480.13390593590157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68.332308235820619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1.1368683772161603E-13</v>
      </c>
      <c r="CU146" s="18">
        <f>CT146*VLOOKUP('Données projet'!$B$13,Paramètres!$A$1:$I$89,3,0)*VLOOKUP('Données projet'!$B$13,Paramètres!$A$1:$I$89,5,0)</f>
        <v>8.8675733422860506E-14</v>
      </c>
      <c r="CV146" s="14">
        <f t="shared" si="149"/>
        <v>1.3509285393066301E-12</v>
      </c>
      <c r="CW146" s="22">
        <f t="shared" si="121"/>
        <v>2.5073107750038623E-12</v>
      </c>
      <c r="CX146" s="62">
        <f t="shared" si="122"/>
        <v>287.21846353134475</v>
      </c>
      <c r="CY146" s="62">
        <f ca="1">AVERAGE(OFFSET($CX$3,0,0,'Données projet'!$E$13+1,1))-AVERAGE(OFFSET($H$3,0,0,'Données projet'!$E$13+1,1))</f>
        <v>308.52515801950324</v>
      </c>
      <c r="CZ146" s="62">
        <f t="shared" si="150"/>
        <v>299.05420638408953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68.332308235820619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4.5474735088646412E-13</v>
      </c>
      <c r="DP146" s="18">
        <f>DO146*VLOOKUP('Données projet'!$B$14,Paramètres!$A$1:$I$89,3,0)*VLOOKUP('Données projet'!$B$14,Paramètres!$A$1:$I$89,5,0)</f>
        <v>3.3342075766995548E-13</v>
      </c>
      <c r="DQ146" s="14">
        <f t="shared" si="151"/>
        <v>4.3537988100583648E-12</v>
      </c>
      <c r="DR146" s="22">
        <f t="shared" si="124"/>
        <v>8.1635740804601579E-12</v>
      </c>
      <c r="DS146" s="62">
        <f t="shared" si="125"/>
        <v>287.21846353135044</v>
      </c>
      <c r="DT146" s="62">
        <f ca="1">AVERAGE(OFFSET($DS$3,0,0,'Données projet'!$E$14+1,1))-AVERAGE(OFFSET($H$3,0,0,'Données projet'!$E$14+1,1))</f>
        <v>416.72317068678774</v>
      </c>
      <c r="DU146" s="62">
        <f t="shared" si="152"/>
        <v>447.32457429495537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68.332308235820619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5.6843418860808015E-14</v>
      </c>
      <c r="EK146" s="18">
        <f>EJ146*VLOOKUP('Données projet'!$B$15,Paramètres!$A$1:$I$89,3,0)*VLOOKUP('Données projet'!$B$15,Paramètres!$A$1:$I$89,5,0)</f>
        <v>5.4092197387944907E-14</v>
      </c>
      <c r="EL146" s="14">
        <f t="shared" si="153"/>
        <v>8.7287050538073676E-13</v>
      </c>
      <c r="EM146" s="22">
        <f t="shared" si="127"/>
        <v>1.6144600406554537E-12</v>
      </c>
      <c r="EN146" s="62">
        <f t="shared" si="128"/>
        <v>287.21846353134384</v>
      </c>
      <c r="EO146" s="62">
        <f ca="1">AVERAGE(OFFSET($EN$3,0,0,'Données projet'!$E$15+1,1))-AVERAGE(OFFSET($H$3,0,0,'Données projet'!$E$15+1,1))</f>
        <v>454.78867027701426</v>
      </c>
      <c r="EP146" s="62">
        <f t="shared" si="154"/>
        <v>366.45346303927056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0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68.332308235820619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>
        <f>FE146*VLOOKUP('Données projet'!$B$16,Paramètres!$A$1:$I$89,3,0)*VLOOKUP('Données projet'!$B$16,Paramètres!$A$1:$I$89,5,0)</f>
        <v>0</v>
      </c>
      <c r="FG146" s="14" t="e">
        <f t="shared" si="155"/>
        <v>#NUM!</v>
      </c>
      <c r="FH146" s="22" t="e">
        <f t="shared" si="130"/>
        <v>#NUM!</v>
      </c>
      <c r="FI146" s="62" t="e">
        <f t="shared" si="131"/>
        <v>#NUM!</v>
      </c>
      <c r="FJ146" s="62">
        <f ca="1">AVERAGE(OFFSET($FI$3,0,0,'Données projet'!$E$16+1,1))-AVERAGE(OFFSET($H$3,0,0,'Données projet'!$E$16+1,1))</f>
        <v>390.05579539539576</v>
      </c>
      <c r="FK146" s="62">
        <f t="shared" si="156"/>
        <v>323.72278615226139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projet'!$B$16,Paramètres!$A$1:$I$89,3,0)*0.475*44/12</f>
        <v>0</v>
      </c>
      <c r="FR146" s="23">
        <f>EXP(-LN(2)/25)*FR145+(1-EXP(-LN(2)/25))/(LN(2)/25)*Calculateur!FM146*Calculateur!FO146*VLOOKUP('Données projet'!$B$16,Paramètres!$A$1:$I$89,3,0)*0.475*44/12</f>
        <v>0</v>
      </c>
      <c r="FS146" s="23">
        <f>EXP(-LN(2)/2)*FS145+(1-EXP(-LN(2)/2))/(LN(2)/2)*FM146*FP146*VLOOKUP('Données projet'!$B$16,Paramètres!$A$1:$I$89,3,0)*0.475*44/12</f>
        <v>0</v>
      </c>
      <c r="FT146" s="24">
        <f t="shared" si="132"/>
        <v>0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68.332308235820619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3.6</v>
      </c>
      <c r="FZ146" s="13">
        <f>IF('Données projet'!$A$244&gt;35,FZ145+FY146-GH145,IF(A146&lt;'Données projet'!$A$244,$FW$205^A146,IF(A146='Données projet'!$A$244,'Données projet'!$B$244,FZ145+FY146-GH145)))</f>
        <v>329.7999999999999</v>
      </c>
      <c r="GA146" s="18">
        <f>FZ146*VLOOKUP('Données projet'!$B$17,Paramètres!$A$1:$I$89,3,0)*VLOOKUP('Données projet'!$B$17,Paramètres!$A$1:$I$89,5,0)</f>
        <v>318.98255999999992</v>
      </c>
      <c r="GB146" s="14">
        <f t="shared" si="157"/>
        <v>75.141616263337383</v>
      </c>
      <c r="GC146" s="22">
        <f t="shared" si="133"/>
        <v>686.43294032531242</v>
      </c>
      <c r="GD146" s="62">
        <f t="shared" si="134"/>
        <v>973.65140385665472</v>
      </c>
      <c r="GE146" s="62">
        <f ca="1">AVERAGE(OFFSET($GD$3,0,0,'Données projet'!$E$17+1,1))-AVERAGE(OFFSET($H$3,0,0,'Données projet'!$E$17+1,1))</f>
        <v>578.44111602076555</v>
      </c>
      <c r="GF146" s="62">
        <f t="shared" si="158"/>
        <v>368.08542661432784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>
        <f>EXP(-LN(2)/35)*GL145+(1-EXP(-LN(2)/35))/(LN(2)/35)*GH146*GI146*VLOOKUP('Données projet'!$B$17,Paramètres!$A$1:$I$89,3,0)*0.475*44/12</f>
        <v>0</v>
      </c>
      <c r="GM146" s="23">
        <f>EXP(-LN(2)/25)*GM145+(1-EXP(-LN(2)/25))/(LN(2)/25)*Calculateur!GH146*Calculateur!GJ146*VLOOKUP('Données projet'!$B$17,Paramètres!$A$1:$I$89,3,0)*0.475*44/12</f>
        <v>0</v>
      </c>
      <c r="GN146" s="23">
        <f>EXP(-LN(2)/2)*GN145+(1-EXP(-LN(2)/2))/(LN(2)/2)*GH146*GK146*VLOOKUP('Données projet'!$B$17,Paramètres!$A$1:$I$89,3,0)*0.475*44/12</f>
        <v>0</v>
      </c>
      <c r="GO146" s="23">
        <f t="shared" si="135"/>
        <v>0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68.332308235820619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4.0735000000000001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14.936166666666667</v>
      </c>
      <c r="H147" s="70">
        <f t="shared" si="110"/>
        <v>196.922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68.361238959528905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3.6</v>
      </c>
      <c r="N147" s="14">
        <f>IF('Données projet'!$A$36&gt;35,N146+M147-V146,IF(A147&lt;'Données projet'!$A$36,$K$205^A147,IF(A147='Données projet'!$A$36,'Données projet'!$B$36,N146+M147-V146)))</f>
        <v>333.39999999999992</v>
      </c>
      <c r="O147" s="14">
        <f>N147*VLOOKUP('Données projet'!$B$9,Paramètres!$A$1:$I$89,3,0)*VLOOKUP('Données projet'!$B$9,Paramètres!$A$1:$I$89,5,0)</f>
        <v>301.6603199999999</v>
      </c>
      <c r="P147" s="14">
        <f t="shared" si="141"/>
        <v>71.524418438455001</v>
      </c>
      <c r="Q147" s="22">
        <f t="shared" si="108"/>
        <v>649.96341944697565</v>
      </c>
      <c r="R147" s="62">
        <f t="shared" si="109"/>
        <v>937.28796229858165</v>
      </c>
      <c r="S147" s="62">
        <f ca="1">AVERAGE(OFFSET($R$3,0,0,'Données projet'!$E$9+1,1))-AVERAGE(OFFSET($H$3,0,0,'Données projet'!$E$9+1,1))</f>
        <v>546.11281471711925</v>
      </c>
      <c r="T147" s="62">
        <f t="shared" si="142"/>
        <v>348.18069831447099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68.361238959528905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4.9333333333333336</v>
      </c>
      <c r="AI147" s="14">
        <f>IF('Données projet'!$A$62&gt;35,AI146+AH147-AQ146,IF(A147&lt;'Données projet'!$A$62,$AF$205^A147,IF(A147='Données projet'!$A$62,'Données projet'!$B$62,AI146+AH147-AQ146)))</f>
        <v>541.39999999999907</v>
      </c>
      <c r="AJ147" s="14">
        <f>AI147*VLOOKUP('Données projet'!$B$10,Paramètres!$A$1:$I$89,3,0)*VLOOKUP('Données projet'!$B$10,Paramètres!$A$1:$I$89,5,0)</f>
        <v>464.52119999999928</v>
      </c>
      <c r="AK147" s="14">
        <f t="shared" si="143"/>
        <v>104.74134811973262</v>
      </c>
      <c r="AL147" s="22">
        <f t="shared" si="112"/>
        <v>991.46560464186643</v>
      </c>
      <c r="AM147" s="62">
        <f t="shared" si="113"/>
        <v>1278.7901474934724</v>
      </c>
      <c r="AN147" s="62">
        <f ca="1">AVERAGE(OFFSET($AM$3,0,0,'Données projet'!$E$10+1,1))-AVERAGE(OFFSET($H$3,0,0,'Données projet'!$E$10+1,1))</f>
        <v>693.87994318348024</v>
      </c>
      <c r="AO147" s="62">
        <f t="shared" si="144"/>
        <v>327.71043739333641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68.361238959528905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3.6</v>
      </c>
      <c r="BD147" s="13">
        <f>IF('Données projet'!$A$88&gt;35,BD146+BC147-BL146,IF(A147&lt;'Données projet'!$A$88,$BA$205^A147,IF(A147='Données projet'!$A$88,'Données projet'!$B$88,BD146+BC147-BL146)))</f>
        <v>333.39999999999992</v>
      </c>
      <c r="BE147" s="14">
        <f>BD147*VLOOKUP('Données projet'!$B$11,Paramètres!$A$1:$I$89,3,0)*VLOOKUP('Données projet'!$B$11,Paramètres!$A$1:$I$89,5,0)</f>
        <v>280.85615999999999</v>
      </c>
      <c r="BF147" s="14">
        <f t="shared" si="145"/>
        <v>67.147907939039939</v>
      </c>
      <c r="BG147" s="22">
        <f t="shared" si="115"/>
        <v>606.10708499382793</v>
      </c>
      <c r="BH147" s="62">
        <f t="shared" si="116"/>
        <v>893.43162784543392</v>
      </c>
      <c r="BI147" s="62">
        <f ca="1">AVERAGE(OFFSET($BH$3,0,0,'Données projet'!$E$11+1,1))-AVERAGE(OFFSET($H$3,0,0,'Données projet'!$E$11+1,1))</f>
        <v>513.7388209355762</v>
      </c>
      <c r="BJ147" s="62">
        <f t="shared" si="146"/>
        <v>328.24603121433927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68.361238959528905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4.5474735088646412E-13</v>
      </c>
      <c r="BZ147" s="14">
        <f>BY147*VLOOKUP('Données projet'!$B$12,Paramètres!$A$1:$I$89,3,0)*VLOOKUP('Données projet'!$B$12,Paramètres!$A$1:$I$89,5,0)</f>
        <v>3.6179699236527089E-13</v>
      </c>
      <c r="CA147" s="14">
        <f t="shared" si="147"/>
        <v>4.6796319415916035E-12</v>
      </c>
      <c r="CB147" s="22">
        <f t="shared" si="118"/>
        <v>8.7804887266415556E-12</v>
      </c>
      <c r="CC147" s="62">
        <f t="shared" si="119"/>
        <v>287.32454285161475</v>
      </c>
      <c r="CD147" s="62">
        <f ca="1">AVERAGE(OFFSET($CC$3,0,0,'Données projet'!$E$12+1,1))-AVERAGE(OFFSET($H$3,0,0,'Données projet'!$E$12+1,1))</f>
        <v>447.25854887589878</v>
      </c>
      <c r="CE147" s="62">
        <f t="shared" si="148"/>
        <v>480.13390593590157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68.361238959528905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1.1368683772161603E-13</v>
      </c>
      <c r="CU147" s="18">
        <f>CT147*VLOOKUP('Données projet'!$B$13,Paramètres!$A$1:$I$89,3,0)*VLOOKUP('Données projet'!$B$13,Paramètres!$A$1:$I$89,5,0)</f>
        <v>8.8675733422860506E-14</v>
      </c>
      <c r="CV147" s="14">
        <f t="shared" si="149"/>
        <v>1.3509285393066301E-12</v>
      </c>
      <c r="CW147" s="22">
        <f t="shared" si="121"/>
        <v>2.5073107750038623E-12</v>
      </c>
      <c r="CX147" s="62">
        <f t="shared" si="122"/>
        <v>287.3245428516085</v>
      </c>
      <c r="CY147" s="62">
        <f ca="1">AVERAGE(OFFSET($CX$3,0,0,'Données projet'!$E$13+1,1))-AVERAGE(OFFSET($H$3,0,0,'Données projet'!$E$13+1,1))</f>
        <v>308.52515801950324</v>
      </c>
      <c r="CZ147" s="62">
        <f t="shared" si="150"/>
        <v>299.05420638408953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68.361238959528905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4.5474735088646412E-13</v>
      </c>
      <c r="DP147" s="18">
        <f>DO147*VLOOKUP('Données projet'!$B$14,Paramètres!$A$1:$I$89,3,0)*VLOOKUP('Données projet'!$B$14,Paramètres!$A$1:$I$89,5,0)</f>
        <v>3.3342075766995548E-13</v>
      </c>
      <c r="DQ147" s="14">
        <f t="shared" si="151"/>
        <v>4.3537988100583648E-12</v>
      </c>
      <c r="DR147" s="22">
        <f t="shared" si="124"/>
        <v>8.1635740804601579E-12</v>
      </c>
      <c r="DS147" s="62">
        <f t="shared" si="125"/>
        <v>287.32454285161418</v>
      </c>
      <c r="DT147" s="62">
        <f ca="1">AVERAGE(OFFSET($DS$3,0,0,'Données projet'!$E$14+1,1))-AVERAGE(OFFSET($H$3,0,0,'Données projet'!$E$14+1,1))</f>
        <v>416.72317068678774</v>
      </c>
      <c r="DU147" s="62">
        <f t="shared" si="152"/>
        <v>447.32457429495537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68.361238959528905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5.6843418860808015E-14</v>
      </c>
      <c r="EK147" s="18">
        <f>EJ147*VLOOKUP('Données projet'!$B$15,Paramètres!$A$1:$I$89,3,0)*VLOOKUP('Données projet'!$B$15,Paramètres!$A$1:$I$89,5,0)</f>
        <v>5.4092197387944907E-14</v>
      </c>
      <c r="EL147" s="14">
        <f t="shared" si="153"/>
        <v>8.7287050538073676E-13</v>
      </c>
      <c r="EM147" s="22">
        <f t="shared" si="127"/>
        <v>1.6144600406554537E-12</v>
      </c>
      <c r="EN147" s="62">
        <f t="shared" si="128"/>
        <v>287.32454285160759</v>
      </c>
      <c r="EO147" s="62">
        <f ca="1">AVERAGE(OFFSET($EN$3,0,0,'Données projet'!$E$15+1,1))-AVERAGE(OFFSET($H$3,0,0,'Données projet'!$E$15+1,1))</f>
        <v>454.78867027701426</v>
      </c>
      <c r="EP147" s="62">
        <f t="shared" si="154"/>
        <v>366.45346303927056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0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68.361238959528905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>
        <f>FE147*VLOOKUP('Données projet'!$B$16,Paramètres!$A$1:$I$89,3,0)*VLOOKUP('Données projet'!$B$16,Paramètres!$A$1:$I$89,5,0)</f>
        <v>0</v>
      </c>
      <c r="FG147" s="14" t="e">
        <f t="shared" si="155"/>
        <v>#NUM!</v>
      </c>
      <c r="FH147" s="22" t="e">
        <f t="shared" si="130"/>
        <v>#NUM!</v>
      </c>
      <c r="FI147" s="62" t="e">
        <f t="shared" si="131"/>
        <v>#NUM!</v>
      </c>
      <c r="FJ147" s="62">
        <f ca="1">AVERAGE(OFFSET($FI$3,0,0,'Données projet'!$E$16+1,1))-AVERAGE(OFFSET($H$3,0,0,'Données projet'!$E$16+1,1))</f>
        <v>390.05579539539576</v>
      </c>
      <c r="FK147" s="62">
        <f t="shared" si="156"/>
        <v>323.72278615226139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projet'!$B$16,Paramètres!$A$1:$I$89,3,0)*0.475*44/12</f>
        <v>0</v>
      </c>
      <c r="FR147" s="23">
        <f>EXP(-LN(2)/25)*FR146+(1-EXP(-LN(2)/25))/(LN(2)/25)*Calculateur!FM147*Calculateur!FO147*VLOOKUP('Données projet'!$B$16,Paramètres!$A$1:$I$89,3,0)*0.475*44/12</f>
        <v>0</v>
      </c>
      <c r="FS147" s="23">
        <f>EXP(-LN(2)/2)*FS146+(1-EXP(-LN(2)/2))/(LN(2)/2)*FM147*FP147*VLOOKUP('Données projet'!$B$16,Paramètres!$A$1:$I$89,3,0)*0.475*44/12</f>
        <v>0</v>
      </c>
      <c r="FT147" s="24">
        <f t="shared" si="132"/>
        <v>0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68.361238959528905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3.6</v>
      </c>
      <c r="FZ147" s="13">
        <f>IF('Données projet'!$A$244&gt;35,FZ146+FY147-GH146,IF(A147&lt;'Données projet'!$A$244,$FW$205^A147,IF(A147='Données projet'!$A$244,'Données projet'!$B$244,FZ146+FY147-GH146)))</f>
        <v>333.39999999999992</v>
      </c>
      <c r="GA147" s="18">
        <f>FZ147*VLOOKUP('Données projet'!$B$17,Paramètres!$A$1:$I$89,3,0)*VLOOKUP('Données projet'!$B$17,Paramètres!$A$1:$I$89,5,0)</f>
        <v>322.46447999999992</v>
      </c>
      <c r="GB147" s="14">
        <f t="shared" si="157"/>
        <v>75.865907468266684</v>
      </c>
      <c r="GC147" s="22">
        <f t="shared" si="133"/>
        <v>693.75875817389772</v>
      </c>
      <c r="GD147" s="62">
        <f t="shared" si="134"/>
        <v>981.08330102550372</v>
      </c>
      <c r="GE147" s="62">
        <f ca="1">AVERAGE(OFFSET($GD$3,0,0,'Données projet'!$E$17+1,1))-AVERAGE(OFFSET($H$3,0,0,'Données projet'!$E$17+1,1))</f>
        <v>578.44111602076555</v>
      </c>
      <c r="GF147" s="62">
        <f t="shared" si="158"/>
        <v>368.08542661432784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>
        <f>EXP(-LN(2)/35)*GL146+(1-EXP(-LN(2)/35))/(LN(2)/35)*GH147*GI147*VLOOKUP('Données projet'!$B$17,Paramètres!$A$1:$I$89,3,0)*0.475*44/12</f>
        <v>0</v>
      </c>
      <c r="GM147" s="23">
        <f>EXP(-LN(2)/25)*GM146+(1-EXP(-LN(2)/25))/(LN(2)/25)*Calculateur!GH147*Calculateur!GJ147*VLOOKUP('Données projet'!$B$17,Paramètres!$A$1:$I$89,3,0)*0.475*44/12</f>
        <v>0</v>
      </c>
      <c r="GN147" s="23">
        <f>EXP(-LN(2)/2)*GN146+(1-EXP(-LN(2)/2))/(LN(2)/2)*GH147*GK147*VLOOKUP('Données projet'!$B$17,Paramètres!$A$1:$I$89,3,0)*0.475*44/12</f>
        <v>0</v>
      </c>
      <c r="GO147" s="23">
        <f t="shared" si="135"/>
        <v>0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68.361238959528905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4.0735000000000001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14.936166666666667</v>
      </c>
      <c r="H148" s="70">
        <f t="shared" si="110"/>
        <v>196.922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68.389667799860248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3.6</v>
      </c>
      <c r="N148" s="14">
        <f>IF('Données projet'!$A$36&gt;35,N147+M148-V147,IF(A148&lt;'Données projet'!$A$36,$K$205^A148,IF(A148='Données projet'!$A$36,'Données projet'!$B$36,N147+M148-V147)))</f>
        <v>336.99999999999994</v>
      </c>
      <c r="O148" s="14">
        <f>N148*VLOOKUP('Données projet'!$B$9,Paramètres!$A$1:$I$89,3,0)*VLOOKUP('Données projet'!$B$9,Paramètres!$A$1:$I$89,5,0)</f>
        <v>304.91759999999994</v>
      </c>
      <c r="P148" s="14">
        <f t="shared" si="141"/>
        <v>72.20640376023259</v>
      </c>
      <c r="Q148" s="22">
        <f t="shared" si="108"/>
        <v>656.82430654907159</v>
      </c>
      <c r="R148" s="62">
        <f t="shared" si="109"/>
        <v>944.25308848189252</v>
      </c>
      <c r="S148" s="62">
        <f ca="1">AVERAGE(OFFSET($R$3,0,0,'Données projet'!$E$9+1,1))-AVERAGE(OFFSET($H$3,0,0,'Données projet'!$E$9+1,1))</f>
        <v>546.11281471711925</v>
      </c>
      <c r="T148" s="62">
        <f t="shared" si="142"/>
        <v>348.18069831447099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68.389667799860248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4.9333333333333336</v>
      </c>
      <c r="AI148" s="14">
        <f>IF('Données projet'!$A$62&gt;35,AI147+AH148-AQ147,IF(A148&lt;'Données projet'!$A$62,$AF$205^A148,IF(A148='Données projet'!$A$62,'Données projet'!$B$62,AI147+AH148-AQ147)))</f>
        <v>546.33333333333235</v>
      </c>
      <c r="AJ148" s="14">
        <f>AI148*VLOOKUP('Données projet'!$B$10,Paramètres!$A$1:$I$89,3,0)*VLOOKUP('Données projet'!$B$10,Paramètres!$A$1:$I$89,5,0)</f>
        <v>468.75399999999922</v>
      </c>
      <c r="AK148" s="14">
        <f t="shared" si="143"/>
        <v>105.58422952601143</v>
      </c>
      <c r="AL148" s="22">
        <f t="shared" si="112"/>
        <v>1000.3057497578019</v>
      </c>
      <c r="AM148" s="62">
        <f t="shared" si="113"/>
        <v>1287.7345316906228</v>
      </c>
      <c r="AN148" s="62">
        <f ca="1">AVERAGE(OFFSET($AM$3,0,0,'Données projet'!$E$10+1,1))-AVERAGE(OFFSET($H$3,0,0,'Données projet'!$E$10+1,1))</f>
        <v>693.87994318348024</v>
      </c>
      <c r="AO148" s="62">
        <f t="shared" si="144"/>
        <v>327.71043739333641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68.389667799860248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3.6</v>
      </c>
      <c r="BD148" s="13">
        <f>IF('Données projet'!$A$88&gt;35,BD147+BC148-BL147,IF(A148&lt;'Données projet'!$A$88,$BA$205^A148,IF(A148='Données projet'!$A$88,'Données projet'!$B$88,BD147+BC148-BL147)))</f>
        <v>336.99999999999994</v>
      </c>
      <c r="BE148" s="14">
        <f>BD148*VLOOKUP('Données projet'!$B$11,Paramètres!$A$1:$I$89,3,0)*VLOOKUP('Données projet'!$B$11,Paramètres!$A$1:$I$89,5,0)</f>
        <v>283.8888</v>
      </c>
      <c r="BF148" s="14">
        <f t="shared" si="145"/>
        <v>67.788163233697134</v>
      </c>
      <c r="BG148" s="22">
        <f t="shared" si="115"/>
        <v>612.50404429868911</v>
      </c>
      <c r="BH148" s="62">
        <f t="shared" si="116"/>
        <v>899.93282623151003</v>
      </c>
      <c r="BI148" s="62">
        <f ca="1">AVERAGE(OFFSET($BH$3,0,0,'Données projet'!$E$11+1,1))-AVERAGE(OFFSET($H$3,0,0,'Données projet'!$E$11+1,1))</f>
        <v>513.7388209355762</v>
      </c>
      <c r="BJ148" s="62">
        <f t="shared" si="146"/>
        <v>328.24603121433927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68.389667799860248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4.5474735088646412E-13</v>
      </c>
      <c r="BZ148" s="14">
        <f>BY148*VLOOKUP('Données projet'!$B$12,Paramètres!$A$1:$I$89,3,0)*VLOOKUP('Données projet'!$B$12,Paramètres!$A$1:$I$89,5,0)</f>
        <v>3.6179699236527089E-13</v>
      </c>
      <c r="CA148" s="14">
        <f t="shared" si="147"/>
        <v>4.6796319415916035E-12</v>
      </c>
      <c r="CB148" s="22">
        <f t="shared" si="118"/>
        <v>8.7804887266415556E-12</v>
      </c>
      <c r="CC148" s="62">
        <f t="shared" si="119"/>
        <v>287.42878193282968</v>
      </c>
      <c r="CD148" s="62">
        <f ca="1">AVERAGE(OFFSET($CC$3,0,0,'Données projet'!$E$12+1,1))-AVERAGE(OFFSET($H$3,0,0,'Données projet'!$E$12+1,1))</f>
        <v>447.25854887589878</v>
      </c>
      <c r="CE148" s="62">
        <f t="shared" si="148"/>
        <v>480.13390593590157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68.389667799860248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1.1368683772161603E-13</v>
      </c>
      <c r="CU148" s="18">
        <f>CT148*VLOOKUP('Données projet'!$B$13,Paramètres!$A$1:$I$89,3,0)*VLOOKUP('Données projet'!$B$13,Paramètres!$A$1:$I$89,5,0)</f>
        <v>8.8675733422860506E-14</v>
      </c>
      <c r="CV148" s="14">
        <f t="shared" si="149"/>
        <v>1.3509285393066301E-12</v>
      </c>
      <c r="CW148" s="22">
        <f t="shared" si="121"/>
        <v>2.5073107750038623E-12</v>
      </c>
      <c r="CX148" s="62">
        <f t="shared" si="122"/>
        <v>287.42878193282343</v>
      </c>
      <c r="CY148" s="62">
        <f ca="1">AVERAGE(OFFSET($CX$3,0,0,'Données projet'!$E$13+1,1))-AVERAGE(OFFSET($H$3,0,0,'Données projet'!$E$13+1,1))</f>
        <v>308.52515801950324</v>
      </c>
      <c r="CZ148" s="62">
        <f t="shared" si="150"/>
        <v>299.05420638408953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68.389667799860248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4.5474735088646412E-13</v>
      </c>
      <c r="DP148" s="18">
        <f>DO148*VLOOKUP('Données projet'!$B$14,Paramètres!$A$1:$I$89,3,0)*VLOOKUP('Données projet'!$B$14,Paramètres!$A$1:$I$89,5,0)</f>
        <v>3.3342075766995548E-13</v>
      </c>
      <c r="DQ148" s="14">
        <f t="shared" si="151"/>
        <v>4.3537988100583648E-12</v>
      </c>
      <c r="DR148" s="22">
        <f t="shared" si="124"/>
        <v>8.1635740804601579E-12</v>
      </c>
      <c r="DS148" s="62">
        <f t="shared" si="125"/>
        <v>287.42878193282911</v>
      </c>
      <c r="DT148" s="62">
        <f ca="1">AVERAGE(OFFSET($DS$3,0,0,'Données projet'!$E$14+1,1))-AVERAGE(OFFSET($H$3,0,0,'Données projet'!$E$14+1,1))</f>
        <v>416.72317068678774</v>
      </c>
      <c r="DU148" s="62">
        <f t="shared" si="152"/>
        <v>447.32457429495537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68.389667799860248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5.6843418860808015E-14</v>
      </c>
      <c r="EK148" s="18">
        <f>EJ148*VLOOKUP('Données projet'!$B$15,Paramètres!$A$1:$I$89,3,0)*VLOOKUP('Données projet'!$B$15,Paramètres!$A$1:$I$89,5,0)</f>
        <v>5.4092197387944907E-14</v>
      </c>
      <c r="EL148" s="14">
        <f t="shared" si="153"/>
        <v>8.7287050538073676E-13</v>
      </c>
      <c r="EM148" s="22">
        <f t="shared" si="127"/>
        <v>1.6144600406554537E-12</v>
      </c>
      <c r="EN148" s="62">
        <f t="shared" si="128"/>
        <v>287.42878193282252</v>
      </c>
      <c r="EO148" s="62">
        <f ca="1">AVERAGE(OFFSET($EN$3,0,0,'Données projet'!$E$15+1,1))-AVERAGE(OFFSET($H$3,0,0,'Données projet'!$E$15+1,1))</f>
        <v>454.78867027701426</v>
      </c>
      <c r="EP148" s="62">
        <f t="shared" si="154"/>
        <v>366.45346303927056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0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68.389667799860248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>
        <f>FE148*VLOOKUP('Données projet'!$B$16,Paramètres!$A$1:$I$89,3,0)*VLOOKUP('Données projet'!$B$16,Paramètres!$A$1:$I$89,5,0)</f>
        <v>0</v>
      </c>
      <c r="FG148" s="14" t="e">
        <f t="shared" si="155"/>
        <v>#NUM!</v>
      </c>
      <c r="FH148" s="22" t="e">
        <f t="shared" si="130"/>
        <v>#NUM!</v>
      </c>
      <c r="FI148" s="62" t="e">
        <f t="shared" si="131"/>
        <v>#NUM!</v>
      </c>
      <c r="FJ148" s="62">
        <f ca="1">AVERAGE(OFFSET($FI$3,0,0,'Données projet'!$E$16+1,1))-AVERAGE(OFFSET($H$3,0,0,'Données projet'!$E$16+1,1))</f>
        <v>390.05579539539576</v>
      </c>
      <c r="FK148" s="62">
        <f t="shared" si="156"/>
        <v>323.72278615226139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projet'!$B$16,Paramètres!$A$1:$I$89,3,0)*0.475*44/12</f>
        <v>0</v>
      </c>
      <c r="FR148" s="23">
        <f>EXP(-LN(2)/25)*FR147+(1-EXP(-LN(2)/25))/(LN(2)/25)*Calculateur!FM148*Calculateur!FO148*VLOOKUP('Données projet'!$B$16,Paramètres!$A$1:$I$89,3,0)*0.475*44/12</f>
        <v>0</v>
      </c>
      <c r="FS148" s="23">
        <f>EXP(-LN(2)/2)*FS147+(1-EXP(-LN(2)/2))/(LN(2)/2)*FM148*FP148*VLOOKUP('Données projet'!$B$16,Paramètres!$A$1:$I$89,3,0)*0.475*44/12</f>
        <v>0</v>
      </c>
      <c r="FT148" s="24">
        <f t="shared" si="132"/>
        <v>0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68.389667799860248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3.6</v>
      </c>
      <c r="FZ148" s="13">
        <f>IF('Données projet'!$A$244&gt;35,FZ147+FY148-GH147,IF(A148&lt;'Données projet'!$A$244,$FW$205^A148,IF(A148='Données projet'!$A$244,'Données projet'!$B$244,FZ147+FY148-GH147)))</f>
        <v>336.99999999999994</v>
      </c>
      <c r="GA148" s="18">
        <f>FZ148*VLOOKUP('Données projet'!$B$17,Paramètres!$A$1:$I$89,3,0)*VLOOKUP('Données projet'!$B$17,Paramètres!$A$1:$I$89,5,0)</f>
        <v>325.94639999999998</v>
      </c>
      <c r="GB148" s="14">
        <f t="shared" si="157"/>
        <v>76.589288887456064</v>
      </c>
      <c r="GC148" s="22">
        <f t="shared" si="133"/>
        <v>701.08299147898595</v>
      </c>
      <c r="GD148" s="62">
        <f t="shared" si="134"/>
        <v>988.51177341180687</v>
      </c>
      <c r="GE148" s="62">
        <f ca="1">AVERAGE(OFFSET($GD$3,0,0,'Données projet'!$E$17+1,1))-AVERAGE(OFFSET($H$3,0,0,'Données projet'!$E$17+1,1))</f>
        <v>578.44111602076555</v>
      </c>
      <c r="GF148" s="62">
        <f t="shared" si="158"/>
        <v>368.08542661432784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>
        <f>EXP(-LN(2)/35)*GL147+(1-EXP(-LN(2)/35))/(LN(2)/35)*GH148*GI148*VLOOKUP('Données projet'!$B$17,Paramètres!$A$1:$I$89,3,0)*0.475*44/12</f>
        <v>0</v>
      </c>
      <c r="GM148" s="23">
        <f>EXP(-LN(2)/25)*GM147+(1-EXP(-LN(2)/25))/(LN(2)/25)*Calculateur!GH148*Calculateur!GJ148*VLOOKUP('Données projet'!$B$17,Paramètres!$A$1:$I$89,3,0)*0.475*44/12</f>
        <v>0</v>
      </c>
      <c r="GN148" s="23">
        <f>EXP(-LN(2)/2)*GN147+(1-EXP(-LN(2)/2))/(LN(2)/2)*GH148*GK148*VLOOKUP('Données projet'!$B$17,Paramètres!$A$1:$I$89,3,0)*0.475*44/12</f>
        <v>0</v>
      </c>
      <c r="GO148" s="23">
        <f t="shared" si="135"/>
        <v>0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68.389667799860248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4.0735000000000001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14.936166666666667</v>
      </c>
      <c r="H149" s="70">
        <f t="shared" si="110"/>
        <v>196.922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68.417603463369218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3.6</v>
      </c>
      <c r="N149" s="14">
        <f>IF('Données projet'!$A$36&gt;35,N148+M149-V148,IF(A149&lt;'Données projet'!$A$36,$K$205^A149,IF(A149='Données projet'!$A$36,'Données projet'!$B$36,N148+M149-V148)))</f>
        <v>340.59999999999997</v>
      </c>
      <c r="O149" s="14">
        <f>N149*VLOOKUP('Données projet'!$B$9,Paramètres!$A$1:$I$89,3,0)*VLOOKUP('Données projet'!$B$9,Paramètres!$A$1:$I$89,5,0)</f>
        <v>308.17487999999997</v>
      </c>
      <c r="P149" s="14">
        <f t="shared" si="141"/>
        <v>72.887541582684676</v>
      </c>
      <c r="Q149" s="22">
        <f t="shared" si="108"/>
        <v>663.68371758984233</v>
      </c>
      <c r="R149" s="62">
        <f t="shared" si="109"/>
        <v>951.21493028886289</v>
      </c>
      <c r="S149" s="62">
        <f ca="1">AVERAGE(OFFSET($R$3,0,0,'Données projet'!$E$9+1,1))-AVERAGE(OFFSET($H$3,0,0,'Données projet'!$E$9+1,1))</f>
        <v>546.11281471711925</v>
      </c>
      <c r="T149" s="62">
        <f t="shared" si="142"/>
        <v>348.18069831447099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68.417603463369218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4.9333333333333336</v>
      </c>
      <c r="AI149" s="14">
        <f>IF('Données projet'!$A$62&gt;35,AI148+AH149-AQ148,IF(A149&lt;'Données projet'!$A$62,$AF$205^A149,IF(A149='Données projet'!$A$62,'Données projet'!$B$62,AI148+AH149-AQ148)))</f>
        <v>551.26666666666563</v>
      </c>
      <c r="AJ149" s="14">
        <f>AI149*VLOOKUP('Données projet'!$B$10,Paramètres!$A$1:$I$89,3,0)*VLOOKUP('Données projet'!$B$10,Paramètres!$A$1:$I$89,5,0)</f>
        <v>472.98679999999922</v>
      </c>
      <c r="AK149" s="14">
        <f t="shared" si="143"/>
        <v>106.42622544926738</v>
      </c>
      <c r="AL149" s="22">
        <f t="shared" si="112"/>
        <v>1009.1443526574726</v>
      </c>
      <c r="AM149" s="62">
        <f t="shared" si="113"/>
        <v>1296.6755653564931</v>
      </c>
      <c r="AN149" s="62">
        <f ca="1">AVERAGE(OFFSET($AM$3,0,0,'Données projet'!$E$10+1,1))-AVERAGE(OFFSET($H$3,0,0,'Données projet'!$E$10+1,1))</f>
        <v>693.87994318348024</v>
      </c>
      <c r="AO149" s="62">
        <f t="shared" si="144"/>
        <v>327.71043739333641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68.417603463369218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3.6</v>
      </c>
      <c r="BD149" s="13">
        <f>IF('Données projet'!$A$88&gt;35,BD148+BC149-BL148,IF(A149&lt;'Données projet'!$A$88,$BA$205^A149,IF(A149='Données projet'!$A$88,'Données projet'!$B$88,BD148+BC149-BL148)))</f>
        <v>340.59999999999997</v>
      </c>
      <c r="BE149" s="14">
        <f>BD149*VLOOKUP('Données projet'!$B$11,Paramètres!$A$1:$I$89,3,0)*VLOOKUP('Données projet'!$B$11,Paramètres!$A$1:$I$89,5,0)</f>
        <v>286.92144000000002</v>
      </c>
      <c r="BF149" s="14">
        <f t="shared" si="145"/>
        <v>68.427622886698941</v>
      </c>
      <c r="BG149" s="22">
        <f t="shared" si="115"/>
        <v>618.89961786100059</v>
      </c>
      <c r="BH149" s="62">
        <f t="shared" si="116"/>
        <v>906.43083056002115</v>
      </c>
      <c r="BI149" s="62">
        <f ca="1">AVERAGE(OFFSET($BH$3,0,0,'Données projet'!$E$11+1,1))-AVERAGE(OFFSET($H$3,0,0,'Données projet'!$E$11+1,1))</f>
        <v>513.7388209355762</v>
      </c>
      <c r="BJ149" s="62">
        <f t="shared" si="146"/>
        <v>328.24603121433927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68.417603463369218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4.5474735088646412E-13</v>
      </c>
      <c r="BZ149" s="14">
        <f>BY149*VLOOKUP('Données projet'!$B$12,Paramètres!$A$1:$I$89,3,0)*VLOOKUP('Données projet'!$B$12,Paramètres!$A$1:$I$89,5,0)</f>
        <v>3.6179699236527089E-13</v>
      </c>
      <c r="CA149" s="14">
        <f t="shared" si="147"/>
        <v>4.6796319415916035E-12</v>
      </c>
      <c r="CB149" s="22">
        <f t="shared" si="118"/>
        <v>8.7804887266415556E-12</v>
      </c>
      <c r="CC149" s="62">
        <f t="shared" si="119"/>
        <v>287.53121269902925</v>
      </c>
      <c r="CD149" s="62">
        <f ca="1">AVERAGE(OFFSET($CC$3,0,0,'Données projet'!$E$12+1,1))-AVERAGE(OFFSET($H$3,0,0,'Données projet'!$E$12+1,1))</f>
        <v>447.25854887589878</v>
      </c>
      <c r="CE149" s="62">
        <f t="shared" si="148"/>
        <v>480.13390593590157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68.417603463369218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1.1368683772161603E-13</v>
      </c>
      <c r="CU149" s="18">
        <f>CT149*VLOOKUP('Données projet'!$B$13,Paramètres!$A$1:$I$89,3,0)*VLOOKUP('Données projet'!$B$13,Paramètres!$A$1:$I$89,5,0)</f>
        <v>8.8675733422860506E-14</v>
      </c>
      <c r="CV149" s="14">
        <f t="shared" si="149"/>
        <v>1.3509285393066301E-12</v>
      </c>
      <c r="CW149" s="22">
        <f t="shared" si="121"/>
        <v>2.5073107750038623E-12</v>
      </c>
      <c r="CX149" s="62">
        <f t="shared" si="122"/>
        <v>287.531212699023</v>
      </c>
      <c r="CY149" s="62">
        <f ca="1">AVERAGE(OFFSET($CX$3,0,0,'Données projet'!$E$13+1,1))-AVERAGE(OFFSET($H$3,0,0,'Données projet'!$E$13+1,1))</f>
        <v>308.52515801950324</v>
      </c>
      <c r="CZ149" s="62">
        <f t="shared" si="150"/>
        <v>299.05420638408953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68.417603463369218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4.5474735088646412E-13</v>
      </c>
      <c r="DP149" s="18">
        <f>DO149*VLOOKUP('Données projet'!$B$14,Paramètres!$A$1:$I$89,3,0)*VLOOKUP('Données projet'!$B$14,Paramètres!$A$1:$I$89,5,0)</f>
        <v>3.3342075766995548E-13</v>
      </c>
      <c r="DQ149" s="14">
        <f t="shared" si="151"/>
        <v>4.3537988100583648E-12</v>
      </c>
      <c r="DR149" s="22">
        <f t="shared" si="124"/>
        <v>8.1635740804601579E-12</v>
      </c>
      <c r="DS149" s="62">
        <f t="shared" si="125"/>
        <v>287.53121269902869</v>
      </c>
      <c r="DT149" s="62">
        <f ca="1">AVERAGE(OFFSET($DS$3,0,0,'Données projet'!$E$14+1,1))-AVERAGE(OFFSET($H$3,0,0,'Données projet'!$E$14+1,1))</f>
        <v>416.72317068678774</v>
      </c>
      <c r="DU149" s="62">
        <f t="shared" si="152"/>
        <v>447.32457429495537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68.417603463369218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5.6843418860808015E-14</v>
      </c>
      <c r="EK149" s="18">
        <f>EJ149*VLOOKUP('Données projet'!$B$15,Paramètres!$A$1:$I$89,3,0)*VLOOKUP('Données projet'!$B$15,Paramètres!$A$1:$I$89,5,0)</f>
        <v>5.4092197387944907E-14</v>
      </c>
      <c r="EL149" s="14">
        <f t="shared" si="153"/>
        <v>8.7287050538073676E-13</v>
      </c>
      <c r="EM149" s="22">
        <f t="shared" si="127"/>
        <v>1.6144600406554537E-12</v>
      </c>
      <c r="EN149" s="62">
        <f t="shared" si="128"/>
        <v>287.53121269902209</v>
      </c>
      <c r="EO149" s="62">
        <f ca="1">AVERAGE(OFFSET($EN$3,0,0,'Données projet'!$E$15+1,1))-AVERAGE(OFFSET($H$3,0,0,'Données projet'!$E$15+1,1))</f>
        <v>454.78867027701426</v>
      </c>
      <c r="EP149" s="62">
        <f t="shared" si="154"/>
        <v>366.45346303927056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0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68.417603463369218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>
        <f>FE149*VLOOKUP('Données projet'!$B$16,Paramètres!$A$1:$I$89,3,0)*VLOOKUP('Données projet'!$B$16,Paramètres!$A$1:$I$89,5,0)</f>
        <v>0</v>
      </c>
      <c r="FG149" s="14" t="e">
        <f t="shared" si="155"/>
        <v>#NUM!</v>
      </c>
      <c r="FH149" s="22" t="e">
        <f t="shared" si="130"/>
        <v>#NUM!</v>
      </c>
      <c r="FI149" s="62" t="e">
        <f t="shared" si="131"/>
        <v>#NUM!</v>
      </c>
      <c r="FJ149" s="62">
        <f ca="1">AVERAGE(OFFSET($FI$3,0,0,'Données projet'!$E$16+1,1))-AVERAGE(OFFSET($H$3,0,0,'Données projet'!$E$16+1,1))</f>
        <v>390.05579539539576</v>
      </c>
      <c r="FK149" s="62">
        <f t="shared" si="156"/>
        <v>323.72278615226139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projet'!$B$16,Paramètres!$A$1:$I$89,3,0)*0.475*44/12</f>
        <v>0</v>
      </c>
      <c r="FR149" s="23">
        <f>EXP(-LN(2)/25)*FR148+(1-EXP(-LN(2)/25))/(LN(2)/25)*Calculateur!FM149*Calculateur!FO149*VLOOKUP('Données projet'!$B$16,Paramètres!$A$1:$I$89,3,0)*0.475*44/12</f>
        <v>0</v>
      </c>
      <c r="FS149" s="23">
        <f>EXP(-LN(2)/2)*FS148+(1-EXP(-LN(2)/2))/(LN(2)/2)*FM149*FP149*VLOOKUP('Données projet'!$B$16,Paramètres!$A$1:$I$89,3,0)*0.475*44/12</f>
        <v>0</v>
      </c>
      <c r="FT149" s="24">
        <f t="shared" si="132"/>
        <v>0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68.417603463369218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3.6</v>
      </c>
      <c r="FZ149" s="13">
        <f>IF('Données projet'!$A$244&gt;35,FZ148+FY149-GH148,IF(A149&lt;'Données projet'!$A$244,$FW$205^A149,IF(A149='Données projet'!$A$244,'Données projet'!$B$244,FZ148+FY149-GH148)))</f>
        <v>340.59999999999997</v>
      </c>
      <c r="GA149" s="18">
        <f>FZ149*VLOOKUP('Données projet'!$B$17,Paramètres!$A$1:$I$89,3,0)*VLOOKUP('Données projet'!$B$17,Paramètres!$A$1:$I$89,5,0)</f>
        <v>329.42831999999999</v>
      </c>
      <c r="GB149" s="14">
        <f t="shared" si="157"/>
        <v>77.311771364622246</v>
      </c>
      <c r="GC149" s="22">
        <f t="shared" si="133"/>
        <v>708.40565912671707</v>
      </c>
      <c r="GD149" s="62">
        <f t="shared" si="134"/>
        <v>995.93687182573763</v>
      </c>
      <c r="GE149" s="62">
        <f ca="1">AVERAGE(OFFSET($GD$3,0,0,'Données projet'!$E$17+1,1))-AVERAGE(OFFSET($H$3,0,0,'Données projet'!$E$17+1,1))</f>
        <v>578.44111602076555</v>
      </c>
      <c r="GF149" s="62">
        <f t="shared" si="158"/>
        <v>368.08542661432784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>
        <f>EXP(-LN(2)/35)*GL148+(1-EXP(-LN(2)/35))/(LN(2)/35)*GH149*GI149*VLOOKUP('Données projet'!$B$17,Paramètres!$A$1:$I$89,3,0)*0.475*44/12</f>
        <v>0</v>
      </c>
      <c r="GM149" s="23">
        <f>EXP(-LN(2)/25)*GM148+(1-EXP(-LN(2)/25))/(LN(2)/25)*Calculateur!GH149*Calculateur!GJ149*VLOOKUP('Données projet'!$B$17,Paramètres!$A$1:$I$89,3,0)*0.475*44/12</f>
        <v>0</v>
      </c>
      <c r="GN149" s="23">
        <f>EXP(-LN(2)/2)*GN148+(1-EXP(-LN(2)/2))/(LN(2)/2)*GH149*GK149*VLOOKUP('Données projet'!$B$17,Paramètres!$A$1:$I$89,3,0)*0.475*44/12</f>
        <v>0</v>
      </c>
      <c r="GO149" s="23">
        <f t="shared" si="135"/>
        <v>0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68.417603463369218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4.0735000000000001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14.936166666666667</v>
      </c>
      <c r="H150" s="70">
        <f t="shared" si="110"/>
        <v>196.922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68.445054505571093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3.6</v>
      </c>
      <c r="N150" s="14">
        <f>IF('Données projet'!$A$36&gt;35,N149+M150-V149,IF(A150&lt;'Données projet'!$A$36,$K$205^A150,IF(A150='Données projet'!$A$36,'Données projet'!$B$36,N149+M150-V149)))</f>
        <v>344.2</v>
      </c>
      <c r="O150" s="14">
        <f>N150*VLOOKUP('Données projet'!$B$9,Paramètres!$A$1:$I$89,3,0)*VLOOKUP('Données projet'!$B$9,Paramètres!$A$1:$I$89,5,0)</f>
        <v>311.43215999999995</v>
      </c>
      <c r="P150" s="14">
        <f t="shared" si="141"/>
        <v>73.567841900428377</v>
      </c>
      <c r="Q150" s="22">
        <f t="shared" si="108"/>
        <v>670.54166997657933</v>
      </c>
      <c r="R150" s="62">
        <f t="shared" si="109"/>
        <v>958.17353649700658</v>
      </c>
      <c r="S150" s="62">
        <f ca="1">AVERAGE(OFFSET($R$3,0,0,'Données projet'!$E$9+1,1))-AVERAGE(OFFSET($H$3,0,0,'Données projet'!$E$9+1,1))</f>
        <v>546.11281471711925</v>
      </c>
      <c r="T150" s="62">
        <f t="shared" si="142"/>
        <v>348.18069831447099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68.445054505571093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4.9333333333333336</v>
      </c>
      <c r="AI150" s="14">
        <f>IF('Données projet'!$A$62&gt;35,AI149+AH150-AQ149,IF(A150&lt;'Données projet'!$A$62,$AF$205^A150,IF(A150='Données projet'!$A$62,'Données projet'!$B$62,AI149+AH150-AQ149)))</f>
        <v>556.19999999999891</v>
      </c>
      <c r="AJ150" s="14">
        <f>AI150*VLOOKUP('Données projet'!$B$10,Paramètres!$A$1:$I$89,3,0)*VLOOKUP('Données projet'!$B$10,Paramètres!$A$1:$I$89,5,0)</f>
        <v>477.2195999999991</v>
      </c>
      <c r="AK150" s="14">
        <f t="shared" si="143"/>
        <v>107.26734473178054</v>
      </c>
      <c r="AL150" s="22">
        <f t="shared" si="112"/>
        <v>1017.9814287411829</v>
      </c>
      <c r="AM150" s="62">
        <f t="shared" si="113"/>
        <v>1305.6132952616101</v>
      </c>
      <c r="AN150" s="62">
        <f ca="1">AVERAGE(OFFSET($AM$3,0,0,'Données projet'!$E$10+1,1))-AVERAGE(OFFSET($H$3,0,0,'Données projet'!$E$10+1,1))</f>
        <v>693.87994318348024</v>
      </c>
      <c r="AO150" s="62">
        <f t="shared" si="144"/>
        <v>327.71043739333641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68.445054505571093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3.6</v>
      </c>
      <c r="BD150" s="13">
        <f>IF('Données projet'!$A$88&gt;35,BD149+BC150-BL149,IF(A150&lt;'Données projet'!$A$88,$BA$205^A150,IF(A150='Données projet'!$A$88,'Données projet'!$B$88,BD149+BC150-BL149)))</f>
        <v>344.2</v>
      </c>
      <c r="BE150" s="14">
        <f>BD150*VLOOKUP('Données projet'!$B$11,Paramètres!$A$1:$I$89,3,0)*VLOOKUP('Données projet'!$B$11,Paramètres!$A$1:$I$89,5,0)</f>
        <v>289.95407999999998</v>
      </c>
      <c r="BF150" s="14">
        <f t="shared" si="145"/>
        <v>69.066296281101458</v>
      </c>
      <c r="BG150" s="22">
        <f t="shared" si="115"/>
        <v>625.29382202291833</v>
      </c>
      <c r="BH150" s="62">
        <f t="shared" si="116"/>
        <v>912.92568854334559</v>
      </c>
      <c r="BI150" s="62">
        <f ca="1">AVERAGE(OFFSET($BH$3,0,0,'Données projet'!$E$11+1,1))-AVERAGE(OFFSET($H$3,0,0,'Données projet'!$E$11+1,1))</f>
        <v>513.7388209355762</v>
      </c>
      <c r="BJ150" s="62">
        <f t="shared" si="146"/>
        <v>328.24603121433927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68.445054505571093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4.5474735088646412E-13</v>
      </c>
      <c r="BZ150" s="14">
        <f>BY150*VLOOKUP('Données projet'!$B$12,Paramètres!$A$1:$I$89,3,0)*VLOOKUP('Données projet'!$B$12,Paramètres!$A$1:$I$89,5,0)</f>
        <v>3.6179699236527089E-13</v>
      </c>
      <c r="CA150" s="14">
        <f t="shared" si="147"/>
        <v>4.6796319415916035E-12</v>
      </c>
      <c r="CB150" s="22">
        <f t="shared" si="118"/>
        <v>8.7804887266415556E-12</v>
      </c>
      <c r="CC150" s="62">
        <f t="shared" si="119"/>
        <v>287.63186652043606</v>
      </c>
      <c r="CD150" s="62">
        <f ca="1">AVERAGE(OFFSET($CC$3,0,0,'Données projet'!$E$12+1,1))-AVERAGE(OFFSET($H$3,0,0,'Données projet'!$E$12+1,1))</f>
        <v>447.25854887589878</v>
      </c>
      <c r="CE150" s="62">
        <f t="shared" si="148"/>
        <v>480.13390593590157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68.445054505571093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1.1368683772161603E-13</v>
      </c>
      <c r="CU150" s="18">
        <f>CT150*VLOOKUP('Données projet'!$B$13,Paramètres!$A$1:$I$89,3,0)*VLOOKUP('Données projet'!$B$13,Paramètres!$A$1:$I$89,5,0)</f>
        <v>8.8675733422860506E-14</v>
      </c>
      <c r="CV150" s="14">
        <f t="shared" si="149"/>
        <v>1.3509285393066301E-12</v>
      </c>
      <c r="CW150" s="22">
        <f t="shared" si="121"/>
        <v>2.5073107750038623E-12</v>
      </c>
      <c r="CX150" s="62">
        <f t="shared" si="122"/>
        <v>287.63186652042981</v>
      </c>
      <c r="CY150" s="62">
        <f ca="1">AVERAGE(OFFSET($CX$3,0,0,'Données projet'!$E$13+1,1))-AVERAGE(OFFSET($H$3,0,0,'Données projet'!$E$13+1,1))</f>
        <v>308.52515801950324</v>
      </c>
      <c r="CZ150" s="62">
        <f t="shared" si="150"/>
        <v>299.05420638408953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68.445054505571093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4.5474735088646412E-13</v>
      </c>
      <c r="DP150" s="18">
        <f>DO150*VLOOKUP('Données projet'!$B$14,Paramètres!$A$1:$I$89,3,0)*VLOOKUP('Données projet'!$B$14,Paramètres!$A$1:$I$89,5,0)</f>
        <v>3.3342075766995548E-13</v>
      </c>
      <c r="DQ150" s="14">
        <f t="shared" si="151"/>
        <v>4.3537988100583648E-12</v>
      </c>
      <c r="DR150" s="22">
        <f t="shared" si="124"/>
        <v>8.1635740804601579E-12</v>
      </c>
      <c r="DS150" s="62">
        <f t="shared" si="125"/>
        <v>287.63186652043549</v>
      </c>
      <c r="DT150" s="62">
        <f ca="1">AVERAGE(OFFSET($DS$3,0,0,'Données projet'!$E$14+1,1))-AVERAGE(OFFSET($H$3,0,0,'Données projet'!$E$14+1,1))</f>
        <v>416.72317068678774</v>
      </c>
      <c r="DU150" s="62">
        <f t="shared" si="152"/>
        <v>447.32457429495537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68.445054505571093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5.6843418860808015E-14</v>
      </c>
      <c r="EK150" s="18">
        <f>EJ150*VLOOKUP('Données projet'!$B$15,Paramètres!$A$1:$I$89,3,0)*VLOOKUP('Données projet'!$B$15,Paramètres!$A$1:$I$89,5,0)</f>
        <v>5.4092197387944907E-14</v>
      </c>
      <c r="EL150" s="14">
        <f t="shared" si="153"/>
        <v>8.7287050538073676E-13</v>
      </c>
      <c r="EM150" s="22">
        <f t="shared" si="127"/>
        <v>1.6144600406554537E-12</v>
      </c>
      <c r="EN150" s="62">
        <f t="shared" si="128"/>
        <v>287.6318665204289</v>
      </c>
      <c r="EO150" s="62">
        <f ca="1">AVERAGE(OFFSET($EN$3,0,0,'Données projet'!$E$15+1,1))-AVERAGE(OFFSET($H$3,0,0,'Données projet'!$E$15+1,1))</f>
        <v>454.78867027701426</v>
      </c>
      <c r="EP150" s="62">
        <f t="shared" si="154"/>
        <v>366.45346303927056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0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68.445054505571093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>
        <f>FE150*VLOOKUP('Données projet'!$B$16,Paramètres!$A$1:$I$89,3,0)*VLOOKUP('Données projet'!$B$16,Paramètres!$A$1:$I$89,5,0)</f>
        <v>0</v>
      </c>
      <c r="FG150" s="14" t="e">
        <f t="shared" si="155"/>
        <v>#NUM!</v>
      </c>
      <c r="FH150" s="22" t="e">
        <f t="shared" si="130"/>
        <v>#NUM!</v>
      </c>
      <c r="FI150" s="62" t="e">
        <f t="shared" si="131"/>
        <v>#NUM!</v>
      </c>
      <c r="FJ150" s="62">
        <f ca="1">AVERAGE(OFFSET($FI$3,0,0,'Données projet'!$E$16+1,1))-AVERAGE(OFFSET($H$3,0,0,'Données projet'!$E$16+1,1))</f>
        <v>390.05579539539576</v>
      </c>
      <c r="FK150" s="62">
        <f t="shared" si="156"/>
        <v>323.72278615226139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projet'!$B$16,Paramètres!$A$1:$I$89,3,0)*0.475*44/12</f>
        <v>0</v>
      </c>
      <c r="FR150" s="23">
        <f>EXP(-LN(2)/25)*FR149+(1-EXP(-LN(2)/25))/(LN(2)/25)*Calculateur!FM150*Calculateur!FO150*VLOOKUP('Données projet'!$B$16,Paramètres!$A$1:$I$89,3,0)*0.475*44/12</f>
        <v>0</v>
      </c>
      <c r="FS150" s="23">
        <f>EXP(-LN(2)/2)*FS149+(1-EXP(-LN(2)/2))/(LN(2)/2)*FM150*FP150*VLOOKUP('Données projet'!$B$16,Paramètres!$A$1:$I$89,3,0)*0.475*44/12</f>
        <v>0</v>
      </c>
      <c r="FT150" s="24">
        <f t="shared" si="132"/>
        <v>0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68.445054505571093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3.6</v>
      </c>
      <c r="FZ150" s="13">
        <f>IF('Données projet'!$A$244&gt;35,FZ149+FY150-GH149,IF(A150&lt;'Données projet'!$A$244,$FW$205^A150,IF(A150='Données projet'!$A$244,'Données projet'!$B$244,FZ149+FY150-GH149)))</f>
        <v>344.2</v>
      </c>
      <c r="GA150" s="18">
        <f>FZ150*VLOOKUP('Données projet'!$B$17,Paramètres!$A$1:$I$89,3,0)*VLOOKUP('Données projet'!$B$17,Paramètres!$A$1:$I$89,5,0)</f>
        <v>332.91023999999999</v>
      </c>
      <c r="GB150" s="14">
        <f t="shared" si="157"/>
        <v>78.033365501049744</v>
      </c>
      <c r="GC150" s="22">
        <f t="shared" si="133"/>
        <v>715.72677958099496</v>
      </c>
      <c r="GD150" s="62">
        <f t="shared" si="134"/>
        <v>1003.3586461014222</v>
      </c>
      <c r="GE150" s="62">
        <f ca="1">AVERAGE(OFFSET($GD$3,0,0,'Données projet'!$E$17+1,1))-AVERAGE(OFFSET($H$3,0,0,'Données projet'!$E$17+1,1))</f>
        <v>578.44111602076555</v>
      </c>
      <c r="GF150" s="62">
        <f t="shared" si="158"/>
        <v>368.08542661432784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>
        <f>EXP(-LN(2)/35)*GL149+(1-EXP(-LN(2)/35))/(LN(2)/35)*GH150*GI150*VLOOKUP('Données projet'!$B$17,Paramètres!$A$1:$I$89,3,0)*0.475*44/12</f>
        <v>0</v>
      </c>
      <c r="GM150" s="23">
        <f>EXP(-LN(2)/25)*GM149+(1-EXP(-LN(2)/25))/(LN(2)/25)*Calculateur!GH150*Calculateur!GJ150*VLOOKUP('Données projet'!$B$17,Paramètres!$A$1:$I$89,3,0)*0.475*44/12</f>
        <v>0</v>
      </c>
      <c r="GN150" s="23">
        <f>EXP(-LN(2)/2)*GN149+(1-EXP(-LN(2)/2))/(LN(2)/2)*GH150*GK150*VLOOKUP('Données projet'!$B$17,Paramètres!$A$1:$I$89,3,0)*0.475*44/12</f>
        <v>0</v>
      </c>
      <c r="GO150" s="23">
        <f t="shared" si="135"/>
        <v>0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68.445054505571093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4.0735000000000001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14.936166666666667</v>
      </c>
      <c r="H151" s="70">
        <f t="shared" si="110"/>
        <v>196.922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68.472029333562105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3.6</v>
      </c>
      <c r="N151" s="14">
        <f>IF('Données projet'!$A$36&gt;35,N150+M151-V150,IF(A151&lt;'Données projet'!$A$36,$K$205^A151,IF(A151='Données projet'!$A$36,'Données projet'!$B$36,N150+M151-V150)))</f>
        <v>347.8</v>
      </c>
      <c r="O151" s="14">
        <f>N151*VLOOKUP('Données projet'!$B$9,Paramètres!$A$1:$I$89,3,0)*VLOOKUP('Données projet'!$B$9,Paramètres!$A$1:$I$89,5,0)</f>
        <v>314.68943999999999</v>
      </c>
      <c r="P151" s="14">
        <f t="shared" si="141"/>
        <v>74.247314486967753</v>
      </c>
      <c r="Q151" s="22">
        <f t="shared" si="108"/>
        <v>677.39818073146876</v>
      </c>
      <c r="R151" s="62">
        <f t="shared" si="109"/>
        <v>965.12895495452972</v>
      </c>
      <c r="S151" s="62">
        <f ca="1">AVERAGE(OFFSET($R$3,0,0,'Données projet'!$E$9+1,1))-AVERAGE(OFFSET($H$3,0,0,'Données projet'!$E$9+1,1))</f>
        <v>546.11281471711925</v>
      </c>
      <c r="T151" s="62">
        <f t="shared" si="142"/>
        <v>348.18069831447099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68.472029333562105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4.9333333333333336</v>
      </c>
      <c r="AI151" s="14">
        <f>IF('Données projet'!$A$62&gt;35,AI150+AH151-AQ150,IF(A151&lt;'Données projet'!$A$62,$AF$205^A151,IF(A151='Données projet'!$A$62,'Données projet'!$B$62,AI150+AH151-AQ150)))</f>
        <v>561.13333333333219</v>
      </c>
      <c r="AJ151" s="14">
        <f>AI151*VLOOKUP('Données projet'!$B$10,Paramètres!$A$1:$I$89,3,0)*VLOOKUP('Données projet'!$B$10,Paramètres!$A$1:$I$89,5,0)</f>
        <v>481.45239999999905</v>
      </c>
      <c r="AK151" s="14">
        <f t="shared" si="143"/>
        <v>108.10759604992388</v>
      </c>
      <c r="AL151" s="22">
        <f t="shared" si="112"/>
        <v>1026.8169931202824</v>
      </c>
      <c r="AM151" s="62">
        <f t="shared" si="113"/>
        <v>1314.5477673433434</v>
      </c>
      <c r="AN151" s="62">
        <f ca="1">AVERAGE(OFFSET($AM$3,0,0,'Données projet'!$E$10+1,1))-AVERAGE(OFFSET($H$3,0,0,'Données projet'!$E$10+1,1))</f>
        <v>693.87994318348024</v>
      </c>
      <c r="AO151" s="62">
        <f t="shared" si="144"/>
        <v>327.71043739333641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68.472029333562105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3.6</v>
      </c>
      <c r="BD151" s="13">
        <f>IF('Données projet'!$A$88&gt;35,BD150+BC151-BL150,IF(A151&lt;'Données projet'!$A$88,$BA$205^A151,IF(A151='Données projet'!$A$88,'Données projet'!$B$88,BD150+BC151-BL150)))</f>
        <v>347.8</v>
      </c>
      <c r="BE151" s="14">
        <f>BD151*VLOOKUP('Données projet'!$B$11,Paramètres!$A$1:$I$89,3,0)*VLOOKUP('Données projet'!$B$11,Paramètres!$A$1:$I$89,5,0)</f>
        <v>292.98672000000005</v>
      </c>
      <c r="BF151" s="14">
        <f t="shared" si="145"/>
        <v>69.70419259237741</v>
      </c>
      <c r="BG151" s="22">
        <f t="shared" si="115"/>
        <v>631.68667276505732</v>
      </c>
      <c r="BH151" s="62">
        <f t="shared" si="116"/>
        <v>919.4174469881184</v>
      </c>
      <c r="BI151" s="62">
        <f ca="1">AVERAGE(OFFSET($BH$3,0,0,'Données projet'!$E$11+1,1))-AVERAGE(OFFSET($H$3,0,0,'Données projet'!$E$11+1,1))</f>
        <v>513.7388209355762</v>
      </c>
      <c r="BJ151" s="62">
        <f t="shared" si="146"/>
        <v>328.24603121433927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68.472029333562105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4.5474735088646412E-13</v>
      </c>
      <c r="BZ151" s="14">
        <f>BY151*VLOOKUP('Données projet'!$B$12,Paramètres!$A$1:$I$89,3,0)*VLOOKUP('Données projet'!$B$12,Paramètres!$A$1:$I$89,5,0)</f>
        <v>3.6179699236527089E-13</v>
      </c>
      <c r="CA151" s="14">
        <f t="shared" si="147"/>
        <v>4.6796319415916035E-12</v>
      </c>
      <c r="CB151" s="22">
        <f t="shared" si="118"/>
        <v>8.7804887266415556E-12</v>
      </c>
      <c r="CC151" s="62">
        <f t="shared" si="119"/>
        <v>287.73077422306977</v>
      </c>
      <c r="CD151" s="62">
        <f ca="1">AVERAGE(OFFSET($CC$3,0,0,'Données projet'!$E$12+1,1))-AVERAGE(OFFSET($H$3,0,0,'Données projet'!$E$12+1,1))</f>
        <v>447.25854887589878</v>
      </c>
      <c r="CE151" s="62">
        <f t="shared" si="148"/>
        <v>480.13390593590157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68.472029333562105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1.1368683772161603E-13</v>
      </c>
      <c r="CU151" s="18">
        <f>CT151*VLOOKUP('Données projet'!$B$13,Paramètres!$A$1:$I$89,3,0)*VLOOKUP('Données projet'!$B$13,Paramètres!$A$1:$I$89,5,0)</f>
        <v>8.8675733422860506E-14</v>
      </c>
      <c r="CV151" s="14">
        <f t="shared" si="149"/>
        <v>1.3509285393066301E-12</v>
      </c>
      <c r="CW151" s="22">
        <f t="shared" si="121"/>
        <v>2.5073107750038623E-12</v>
      </c>
      <c r="CX151" s="62">
        <f t="shared" si="122"/>
        <v>287.73077422306352</v>
      </c>
      <c r="CY151" s="62">
        <f ca="1">AVERAGE(OFFSET($CX$3,0,0,'Données projet'!$E$13+1,1))-AVERAGE(OFFSET($H$3,0,0,'Données projet'!$E$13+1,1))</f>
        <v>308.52515801950324</v>
      </c>
      <c r="CZ151" s="62">
        <f t="shared" si="150"/>
        <v>299.05420638408953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68.472029333562105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4.5474735088646412E-13</v>
      </c>
      <c r="DP151" s="18">
        <f>DO151*VLOOKUP('Données projet'!$B$14,Paramètres!$A$1:$I$89,3,0)*VLOOKUP('Données projet'!$B$14,Paramètres!$A$1:$I$89,5,0)</f>
        <v>3.3342075766995548E-13</v>
      </c>
      <c r="DQ151" s="14">
        <f t="shared" si="151"/>
        <v>4.3537988100583648E-12</v>
      </c>
      <c r="DR151" s="22">
        <f t="shared" si="124"/>
        <v>8.1635740804601579E-12</v>
      </c>
      <c r="DS151" s="62">
        <f t="shared" si="125"/>
        <v>287.7307742230692</v>
      </c>
      <c r="DT151" s="62">
        <f ca="1">AVERAGE(OFFSET($DS$3,0,0,'Données projet'!$E$14+1,1))-AVERAGE(OFFSET($H$3,0,0,'Données projet'!$E$14+1,1))</f>
        <v>416.72317068678774</v>
      </c>
      <c r="DU151" s="62">
        <f t="shared" si="152"/>
        <v>447.32457429495537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68.472029333562105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5.6843418860808015E-14</v>
      </c>
      <c r="EK151" s="18">
        <f>EJ151*VLOOKUP('Données projet'!$B$15,Paramètres!$A$1:$I$89,3,0)*VLOOKUP('Données projet'!$B$15,Paramètres!$A$1:$I$89,5,0)</f>
        <v>5.4092197387944907E-14</v>
      </c>
      <c r="EL151" s="14">
        <f t="shared" si="153"/>
        <v>8.7287050538073676E-13</v>
      </c>
      <c r="EM151" s="22">
        <f t="shared" si="127"/>
        <v>1.6144600406554537E-12</v>
      </c>
      <c r="EN151" s="62">
        <f t="shared" si="128"/>
        <v>287.73077422306261</v>
      </c>
      <c r="EO151" s="62">
        <f ca="1">AVERAGE(OFFSET($EN$3,0,0,'Données projet'!$E$15+1,1))-AVERAGE(OFFSET($H$3,0,0,'Données projet'!$E$15+1,1))</f>
        <v>454.78867027701426</v>
      </c>
      <c r="EP151" s="62">
        <f t="shared" si="154"/>
        <v>366.45346303927056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0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68.472029333562105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>
        <f>FE151*VLOOKUP('Données projet'!$B$16,Paramètres!$A$1:$I$89,3,0)*VLOOKUP('Données projet'!$B$16,Paramètres!$A$1:$I$89,5,0)</f>
        <v>0</v>
      </c>
      <c r="FG151" s="14" t="e">
        <f t="shared" si="155"/>
        <v>#NUM!</v>
      </c>
      <c r="FH151" s="22" t="e">
        <f t="shared" si="130"/>
        <v>#NUM!</v>
      </c>
      <c r="FI151" s="62" t="e">
        <f t="shared" si="131"/>
        <v>#NUM!</v>
      </c>
      <c r="FJ151" s="62">
        <f ca="1">AVERAGE(OFFSET($FI$3,0,0,'Données projet'!$E$16+1,1))-AVERAGE(OFFSET($H$3,0,0,'Données projet'!$E$16+1,1))</f>
        <v>390.05579539539576</v>
      </c>
      <c r="FK151" s="62">
        <f t="shared" si="156"/>
        <v>323.72278615226139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projet'!$B$16,Paramètres!$A$1:$I$89,3,0)*0.475*44/12</f>
        <v>0</v>
      </c>
      <c r="FR151" s="23">
        <f>EXP(-LN(2)/25)*FR150+(1-EXP(-LN(2)/25))/(LN(2)/25)*Calculateur!FM151*Calculateur!FO151*VLOOKUP('Données projet'!$B$16,Paramètres!$A$1:$I$89,3,0)*0.475*44/12</f>
        <v>0</v>
      </c>
      <c r="FS151" s="23">
        <f>EXP(-LN(2)/2)*FS150+(1-EXP(-LN(2)/2))/(LN(2)/2)*FM151*FP151*VLOOKUP('Données projet'!$B$16,Paramètres!$A$1:$I$89,3,0)*0.475*44/12</f>
        <v>0</v>
      </c>
      <c r="FT151" s="24">
        <f t="shared" si="132"/>
        <v>0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68.472029333562105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3.6</v>
      </c>
      <c r="FZ151" s="13">
        <f>IF('Données projet'!$A$244&gt;35,FZ150+FY151-GH150,IF(A151&lt;'Données projet'!$A$244,$FW$205^A151,IF(A151='Données projet'!$A$244,'Données projet'!$B$244,FZ150+FY151-GH150)))</f>
        <v>347.8</v>
      </c>
      <c r="GA151" s="18">
        <f>FZ151*VLOOKUP('Données projet'!$B$17,Paramètres!$A$1:$I$89,3,0)*VLOOKUP('Données projet'!$B$17,Paramètres!$A$1:$I$89,5,0)</f>
        <v>336.39215999999999</v>
      </c>
      <c r="GB151" s="14">
        <f t="shared" si="157"/>
        <v>78.754081663488421</v>
      </c>
      <c r="GC151" s="22">
        <f t="shared" si="133"/>
        <v>723.04637089724235</v>
      </c>
      <c r="GD151" s="62">
        <f t="shared" si="134"/>
        <v>1010.7771451203034</v>
      </c>
      <c r="GE151" s="62">
        <f ca="1">AVERAGE(OFFSET($GD$3,0,0,'Données projet'!$E$17+1,1))-AVERAGE(OFFSET($H$3,0,0,'Données projet'!$E$17+1,1))</f>
        <v>578.44111602076555</v>
      </c>
      <c r="GF151" s="62">
        <f t="shared" si="158"/>
        <v>368.08542661432784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>
        <f>EXP(-LN(2)/35)*GL150+(1-EXP(-LN(2)/35))/(LN(2)/35)*GH151*GI151*VLOOKUP('Données projet'!$B$17,Paramètres!$A$1:$I$89,3,0)*0.475*44/12</f>
        <v>0</v>
      </c>
      <c r="GM151" s="23">
        <f>EXP(-LN(2)/25)*GM150+(1-EXP(-LN(2)/25))/(LN(2)/25)*Calculateur!GH151*Calculateur!GJ151*VLOOKUP('Données projet'!$B$17,Paramètres!$A$1:$I$89,3,0)*0.475*44/12</f>
        <v>0</v>
      </c>
      <c r="GN151" s="23">
        <f>EXP(-LN(2)/2)*GN150+(1-EXP(-LN(2)/2))/(LN(2)/2)*GH151*GK151*VLOOKUP('Données projet'!$B$17,Paramètres!$A$1:$I$89,3,0)*0.475*44/12</f>
        <v>0</v>
      </c>
      <c r="GO151" s="23">
        <f t="shared" si="135"/>
        <v>0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68.472029333562105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4.0735000000000001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14.936166666666667</v>
      </c>
      <c r="H152" s="70">
        <f t="shared" si="110"/>
        <v>196.922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68.498536208594146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3.6</v>
      </c>
      <c r="N152" s="14">
        <f>IF('Données projet'!$A$36&gt;35,N151+M152-V151,IF(A152&lt;'Données projet'!$A$36,$K$205^A152,IF(A152='Données projet'!$A$36,'Données projet'!$B$36,N151+M152-V151)))</f>
        <v>351.40000000000003</v>
      </c>
      <c r="O152" s="14">
        <f>N152*VLOOKUP('Données projet'!$B$9,Paramètres!$A$1:$I$89,3,0)*VLOOKUP('Données projet'!$B$9,Paramètres!$A$1:$I$89,5,0)</f>
        <v>317.94672000000003</v>
      </c>
      <c r="P152" s="14">
        <f t="shared" si="141"/>
        <v>74.925968901822259</v>
      </c>
      <c r="Q152" s="22">
        <f t="shared" si="108"/>
        <v>684.25326650400712</v>
      </c>
      <c r="R152" s="62">
        <f t="shared" si="109"/>
        <v>972.08123260218565</v>
      </c>
      <c r="S152" s="62">
        <f ca="1">AVERAGE(OFFSET($R$3,0,0,'Données projet'!$E$9+1,1))-AVERAGE(OFFSET($H$3,0,0,'Données projet'!$E$9+1,1))</f>
        <v>546.11281471711925</v>
      </c>
      <c r="T152" s="62">
        <f t="shared" si="142"/>
        <v>348.18069831447099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68.498536208594146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4.9333333333333336</v>
      </c>
      <c r="AI152" s="14">
        <f>IF('Données projet'!$A$62&gt;35,AI151+AH152-AQ151,IF(A152&lt;'Données projet'!$A$62,$AF$205^A152,IF(A152='Données projet'!$A$62,'Données projet'!$B$62,AI151+AH152-AQ151)))</f>
        <v>566.06666666666547</v>
      </c>
      <c r="AJ152" s="14">
        <f>AI152*VLOOKUP('Données projet'!$B$10,Paramètres!$A$1:$I$89,3,0)*VLOOKUP('Données projet'!$B$10,Paramètres!$A$1:$I$89,5,0)</f>
        <v>485.68519999999899</v>
      </c>
      <c r="AK152" s="14">
        <f t="shared" si="143"/>
        <v>108.94698791870719</v>
      </c>
      <c r="AL152" s="22">
        <f t="shared" si="112"/>
        <v>1035.6510606250799</v>
      </c>
      <c r="AM152" s="62">
        <f t="shared" si="113"/>
        <v>1323.4790267232584</v>
      </c>
      <c r="AN152" s="62">
        <f ca="1">AVERAGE(OFFSET($AM$3,0,0,'Données projet'!$E$10+1,1))-AVERAGE(OFFSET($H$3,0,0,'Données projet'!$E$10+1,1))</f>
        <v>693.87994318348024</v>
      </c>
      <c r="AO152" s="62">
        <f t="shared" si="144"/>
        <v>327.71043739333641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68.498536208594146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3.6</v>
      </c>
      <c r="BD152" s="13">
        <f>IF('Données projet'!$A$88&gt;35,BD151+BC152-BL151,IF(A152&lt;'Données projet'!$A$88,$BA$205^A152,IF(A152='Données projet'!$A$88,'Données projet'!$B$88,BD151+BC152-BL151)))</f>
        <v>351.40000000000003</v>
      </c>
      <c r="BE152" s="14">
        <f>BD152*VLOOKUP('Données projet'!$B$11,Paramètres!$A$1:$I$89,3,0)*VLOOKUP('Données projet'!$B$11,Paramètres!$A$1:$I$89,5,0)</f>
        <v>296.01936000000006</v>
      </c>
      <c r="BF152" s="14">
        <f t="shared" si="145"/>
        <v>70.341320795108345</v>
      </c>
      <c r="BG152" s="22">
        <f t="shared" si="115"/>
        <v>638.0781857181471</v>
      </c>
      <c r="BH152" s="62">
        <f t="shared" si="116"/>
        <v>925.90615181632563</v>
      </c>
      <c r="BI152" s="62">
        <f ca="1">AVERAGE(OFFSET($BH$3,0,0,'Données projet'!$E$11+1,1))-AVERAGE(OFFSET($H$3,0,0,'Données projet'!$E$11+1,1))</f>
        <v>513.7388209355762</v>
      </c>
      <c r="BJ152" s="62">
        <f t="shared" si="146"/>
        <v>328.24603121433927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68.498536208594146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4.5474735088646412E-13</v>
      </c>
      <c r="BZ152" s="14">
        <f>BY152*VLOOKUP('Données projet'!$B$12,Paramètres!$A$1:$I$89,3,0)*VLOOKUP('Données projet'!$B$12,Paramètres!$A$1:$I$89,5,0)</f>
        <v>3.6179699236527089E-13</v>
      </c>
      <c r="CA152" s="14">
        <f t="shared" si="147"/>
        <v>4.6796319415916035E-12</v>
      </c>
      <c r="CB152" s="22">
        <f t="shared" si="118"/>
        <v>8.7804887266415556E-12</v>
      </c>
      <c r="CC152" s="62">
        <f t="shared" si="119"/>
        <v>287.82796609818729</v>
      </c>
      <c r="CD152" s="62">
        <f ca="1">AVERAGE(OFFSET($CC$3,0,0,'Données projet'!$E$12+1,1))-AVERAGE(OFFSET($H$3,0,0,'Données projet'!$E$12+1,1))</f>
        <v>447.25854887589878</v>
      </c>
      <c r="CE152" s="62">
        <f t="shared" si="148"/>
        <v>480.13390593590157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68.498536208594146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1.1368683772161603E-13</v>
      </c>
      <c r="CU152" s="18">
        <f>CT152*VLOOKUP('Données projet'!$B$13,Paramètres!$A$1:$I$89,3,0)*VLOOKUP('Données projet'!$B$13,Paramètres!$A$1:$I$89,5,0)</f>
        <v>8.8675733422860506E-14</v>
      </c>
      <c r="CV152" s="14">
        <f t="shared" si="149"/>
        <v>1.3509285393066301E-12</v>
      </c>
      <c r="CW152" s="22">
        <f t="shared" si="121"/>
        <v>2.5073107750038623E-12</v>
      </c>
      <c r="CX152" s="62">
        <f t="shared" si="122"/>
        <v>287.82796609818104</v>
      </c>
      <c r="CY152" s="62">
        <f ca="1">AVERAGE(OFFSET($CX$3,0,0,'Données projet'!$E$13+1,1))-AVERAGE(OFFSET($H$3,0,0,'Données projet'!$E$13+1,1))</f>
        <v>308.52515801950324</v>
      </c>
      <c r="CZ152" s="62">
        <f t="shared" si="150"/>
        <v>299.05420638408953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68.498536208594146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4.5474735088646412E-13</v>
      </c>
      <c r="DP152" s="18">
        <f>DO152*VLOOKUP('Données projet'!$B$14,Paramètres!$A$1:$I$89,3,0)*VLOOKUP('Données projet'!$B$14,Paramètres!$A$1:$I$89,5,0)</f>
        <v>3.3342075766995548E-13</v>
      </c>
      <c r="DQ152" s="14">
        <f t="shared" si="151"/>
        <v>4.3537988100583648E-12</v>
      </c>
      <c r="DR152" s="22">
        <f t="shared" si="124"/>
        <v>8.1635740804601579E-12</v>
      </c>
      <c r="DS152" s="62">
        <f t="shared" si="125"/>
        <v>287.82796609818672</v>
      </c>
      <c r="DT152" s="62">
        <f ca="1">AVERAGE(OFFSET($DS$3,0,0,'Données projet'!$E$14+1,1))-AVERAGE(OFFSET($H$3,0,0,'Données projet'!$E$14+1,1))</f>
        <v>416.72317068678774</v>
      </c>
      <c r="DU152" s="62">
        <f t="shared" si="152"/>
        <v>447.32457429495537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68.498536208594146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5.6843418860808015E-14</v>
      </c>
      <c r="EK152" s="18">
        <f>EJ152*VLOOKUP('Données projet'!$B$15,Paramètres!$A$1:$I$89,3,0)*VLOOKUP('Données projet'!$B$15,Paramètres!$A$1:$I$89,5,0)</f>
        <v>5.4092197387944907E-14</v>
      </c>
      <c r="EL152" s="14">
        <f t="shared" si="153"/>
        <v>8.7287050538073676E-13</v>
      </c>
      <c r="EM152" s="22">
        <f t="shared" si="127"/>
        <v>1.6144600406554537E-12</v>
      </c>
      <c r="EN152" s="62">
        <f t="shared" si="128"/>
        <v>287.82796609818013</v>
      </c>
      <c r="EO152" s="62">
        <f ca="1">AVERAGE(OFFSET($EN$3,0,0,'Données projet'!$E$15+1,1))-AVERAGE(OFFSET($H$3,0,0,'Données projet'!$E$15+1,1))</f>
        <v>454.78867027701426</v>
      </c>
      <c r="EP152" s="62">
        <f t="shared" si="154"/>
        <v>366.45346303927056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0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68.498536208594146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>
        <f>FE152*VLOOKUP('Données projet'!$B$16,Paramètres!$A$1:$I$89,3,0)*VLOOKUP('Données projet'!$B$16,Paramètres!$A$1:$I$89,5,0)</f>
        <v>0</v>
      </c>
      <c r="FG152" s="14" t="e">
        <f t="shared" si="155"/>
        <v>#NUM!</v>
      </c>
      <c r="FH152" s="22" t="e">
        <f t="shared" si="130"/>
        <v>#NUM!</v>
      </c>
      <c r="FI152" s="62" t="e">
        <f t="shared" si="131"/>
        <v>#NUM!</v>
      </c>
      <c r="FJ152" s="62">
        <f ca="1">AVERAGE(OFFSET($FI$3,0,0,'Données projet'!$E$16+1,1))-AVERAGE(OFFSET($H$3,0,0,'Données projet'!$E$16+1,1))</f>
        <v>390.05579539539576</v>
      </c>
      <c r="FK152" s="62">
        <f t="shared" si="156"/>
        <v>323.72278615226139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projet'!$B$16,Paramètres!$A$1:$I$89,3,0)*0.475*44/12</f>
        <v>0</v>
      </c>
      <c r="FR152" s="23">
        <f>EXP(-LN(2)/25)*FR151+(1-EXP(-LN(2)/25))/(LN(2)/25)*Calculateur!FM152*Calculateur!FO152*VLOOKUP('Données projet'!$B$16,Paramètres!$A$1:$I$89,3,0)*0.475*44/12</f>
        <v>0</v>
      </c>
      <c r="FS152" s="23">
        <f>EXP(-LN(2)/2)*FS151+(1-EXP(-LN(2)/2))/(LN(2)/2)*FM152*FP152*VLOOKUP('Données projet'!$B$16,Paramètres!$A$1:$I$89,3,0)*0.475*44/12</f>
        <v>0</v>
      </c>
      <c r="FT152" s="24">
        <f t="shared" si="132"/>
        <v>0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68.498536208594146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3.6</v>
      </c>
      <c r="FZ152" s="13">
        <f>IF('Données projet'!$A$244&gt;35,FZ151+FY152-GH151,IF(A152&lt;'Données projet'!$A$244,$FW$205^A152,IF(A152='Données projet'!$A$244,'Données projet'!$B$244,FZ151+FY152-GH151)))</f>
        <v>351.40000000000003</v>
      </c>
      <c r="GA152" s="18">
        <f>FZ152*VLOOKUP('Données projet'!$B$17,Paramètres!$A$1:$I$89,3,0)*VLOOKUP('Données projet'!$B$17,Paramètres!$A$1:$I$89,5,0)</f>
        <v>339.87408000000005</v>
      </c>
      <c r="GB152" s="14">
        <f t="shared" si="157"/>
        <v>79.473929991714684</v>
      </c>
      <c r="GC152" s="22">
        <f t="shared" si="133"/>
        <v>730.36445073556979</v>
      </c>
      <c r="GD152" s="62">
        <f t="shared" si="134"/>
        <v>1018.1924168337483</v>
      </c>
      <c r="GE152" s="62">
        <f ca="1">AVERAGE(OFFSET($GD$3,0,0,'Données projet'!$E$17+1,1))-AVERAGE(OFFSET($H$3,0,0,'Données projet'!$E$17+1,1))</f>
        <v>578.44111602076555</v>
      </c>
      <c r="GF152" s="62">
        <f t="shared" si="158"/>
        <v>368.08542661432784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>
        <f>EXP(-LN(2)/35)*GL151+(1-EXP(-LN(2)/35))/(LN(2)/35)*GH152*GI152*VLOOKUP('Données projet'!$B$17,Paramètres!$A$1:$I$89,3,0)*0.475*44/12</f>
        <v>0</v>
      </c>
      <c r="GM152" s="23">
        <f>EXP(-LN(2)/25)*GM151+(1-EXP(-LN(2)/25))/(LN(2)/25)*Calculateur!GH152*Calculateur!GJ152*VLOOKUP('Données projet'!$B$17,Paramètres!$A$1:$I$89,3,0)*0.475*44/12</f>
        <v>0</v>
      </c>
      <c r="GN152" s="23">
        <f>EXP(-LN(2)/2)*GN151+(1-EXP(-LN(2)/2))/(LN(2)/2)*GH152*GK152*VLOOKUP('Données projet'!$B$17,Paramètres!$A$1:$I$89,3,0)*0.475*44/12</f>
        <v>0</v>
      </c>
      <c r="GO152" s="23">
        <f t="shared" si="135"/>
        <v>0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68.498536208594146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4.0735000000000001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14.936166666666667</v>
      </c>
      <c r="H153" s="70">
        <f t="shared" si="110"/>
        <v>196.922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68.524583248604884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355</v>
      </c>
      <c r="L153" s="13">
        <f>VLOOKUP(A153,'Données projet'!$A$35:$I$55,9,0)</f>
        <v>3.6</v>
      </c>
      <c r="M153" s="13">
        <f t="array" ref="M153">INDEX(L:L,MIN(IF(ISNUMBER(L153:L349),ROW(L153:L349),"")))</f>
        <v>3.6</v>
      </c>
      <c r="N153" s="14">
        <f>IF('Données projet'!$A$36&gt;35,N152+M153-V152,IF(A153&lt;'Données projet'!$A$36,$K$205^A153,IF(A153='Données projet'!$A$36,'Données projet'!$B$36,N152+M153-V152)))</f>
        <v>355.00000000000006</v>
      </c>
      <c r="O153" s="14">
        <f>N153*VLOOKUP('Données projet'!$B$9,Paramètres!$A$1:$I$89,3,0)*VLOOKUP('Données projet'!$B$9,Paramètres!$A$1:$I$89,5,0)</f>
        <v>321.20400000000001</v>
      </c>
      <c r="P153" s="14">
        <f t="shared" si="141"/>
        <v>75.603814497354989</v>
      </c>
      <c r="Q153" s="22">
        <f t="shared" si="108"/>
        <v>691.10694358289345</v>
      </c>
      <c r="R153" s="62">
        <f t="shared" si="109"/>
        <v>979.0304154944447</v>
      </c>
      <c r="S153" s="62">
        <f ca="1">AVERAGE(OFFSET($R$3,0,0,'Données projet'!$E$9+1,1))-AVERAGE(OFFSET($H$3,0,0,'Données projet'!$E$9+1,1))</f>
        <v>546.11281471711925</v>
      </c>
      <c r="T153" s="62">
        <f t="shared" si="142"/>
        <v>348.18069831447099</v>
      </c>
      <c r="U153" s="16">
        <f>IF(ISNA(VLOOKUP(A153,'Données projet'!$A$35:$I$55,3,0)),0,VLOOKUP(A153,'Données projet'!$A$35:$I$55,3,0))</f>
        <v>13</v>
      </c>
      <c r="V153" s="16">
        <f>IF(ISNA(VLOOKUP(A153,'Données projet'!$A$35:$I$55,4,0)),0,VLOOKUP(A153,'Données projet'!$A$35:$I$55,4,0))</f>
        <v>355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68.524583248604884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>
        <f>VLOOKUP(A153,'Données projet'!$A$61:$I$81,2,0)</f>
        <v>571</v>
      </c>
      <c r="AG153" s="13">
        <f>VLOOKUP(A153,'Données projet'!$A$61:$I$81,9,0)</f>
        <v>4.9333333333333336</v>
      </c>
      <c r="AH153" s="13">
        <f t="array" ref="AH153">INDEX(AG:AG,MIN(IF(ISNUMBER(AG153:AG349),ROW(AG153:AG349),"")))</f>
        <v>4.9333333333333336</v>
      </c>
      <c r="AI153" s="14">
        <f>IF('Données projet'!$A$62&gt;35,AI152+AH153-AQ152,IF(A153&lt;'Données projet'!$A$62,$AF$205^A153,IF(A153='Données projet'!$A$62,'Données projet'!$B$62,AI152+AH153-AQ152)))</f>
        <v>570.99999999999875</v>
      </c>
      <c r="AJ153" s="14">
        <f>AI153*VLOOKUP('Données projet'!$B$10,Paramètres!$A$1:$I$89,3,0)*VLOOKUP('Données projet'!$B$10,Paramètres!$A$1:$I$89,5,0)</f>
        <v>489.91799999999898</v>
      </c>
      <c r="AK153" s="14">
        <f t="shared" si="143"/>
        <v>109.78552869615774</v>
      </c>
      <c r="AL153" s="22">
        <f t="shared" si="112"/>
        <v>1044.483645812473</v>
      </c>
      <c r="AM153" s="62">
        <f t="shared" si="113"/>
        <v>1332.4071177240244</v>
      </c>
      <c r="AN153" s="62">
        <f ca="1">AVERAGE(OFFSET($AM$3,0,0,'Données projet'!$E$10+1,1))-AVERAGE(OFFSET($H$3,0,0,'Données projet'!$E$10+1,1))</f>
        <v>693.87994318348024</v>
      </c>
      <c r="AO153" s="62">
        <f t="shared" si="144"/>
        <v>327.71043739333641</v>
      </c>
      <c r="AP153" s="16">
        <f>IF(ISNA(VLOOKUP(A153,'Données projet'!$A$61:$I$81,3,0)),0,VLOOKUP(A153,'Données projet'!$A$61:$I$81,3,0))</f>
        <v>13</v>
      </c>
      <c r="AQ153" s="16">
        <f>IF(ISNA(VLOOKUP(A153,'Données projet'!$A$61:$I$81,4,0)),0,VLOOKUP(A153,'Données projet'!$A$61:$I$81,4,0))</f>
        <v>571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68.524583248604884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>
        <f>VLOOKUP(A153,'Données projet'!$A$87:$I$107,2,0)</f>
        <v>355</v>
      </c>
      <c r="BB153" s="13">
        <f>VLOOKUP(A153,'Données projet'!$A$87:$I$107,9,0)</f>
        <v>3.6</v>
      </c>
      <c r="BC153" s="13">
        <f t="array" ref="BC153">INDEX(BB:BB,MIN(IF(ISNUMBER(BB153:BB349),ROW(BB153:BB349),"")))</f>
        <v>3.6</v>
      </c>
      <c r="BD153" s="13">
        <f>IF('Données projet'!$A$88&gt;35,BD152+BC153-BL152,IF(A153&lt;'Données projet'!$A$88,$BA$205^A153,IF(A153='Données projet'!$A$88,'Données projet'!$B$88,BD152+BC153-BL152)))</f>
        <v>355.00000000000006</v>
      </c>
      <c r="BE153" s="14">
        <f>BD153*VLOOKUP('Données projet'!$B$11,Paramètres!$A$1:$I$89,3,0)*VLOOKUP('Données projet'!$B$11,Paramètres!$A$1:$I$89,5,0)</f>
        <v>299.05200000000008</v>
      </c>
      <c r="BF153" s="14">
        <f t="shared" si="145"/>
        <v>70.97768966939546</v>
      </c>
      <c r="BG153" s="22">
        <f t="shared" si="115"/>
        <v>644.46837617419726</v>
      </c>
      <c r="BH153" s="62">
        <f t="shared" si="116"/>
        <v>932.39184808574851</v>
      </c>
      <c r="BI153" s="62">
        <f ca="1">AVERAGE(OFFSET($BH$3,0,0,'Données projet'!$E$11+1,1))-AVERAGE(OFFSET($H$3,0,0,'Données projet'!$E$11+1,1))</f>
        <v>513.7388209355762</v>
      </c>
      <c r="BJ153" s="62">
        <f t="shared" si="146"/>
        <v>328.24603121433927</v>
      </c>
      <c r="BK153" s="16">
        <f>IF(ISNA(VLOOKUP(A153,'Données projet'!$A$87:$I$107,3,0)),0,VLOOKUP(A153,'Données projet'!$A$87:$I$107,3,0))</f>
        <v>13</v>
      </c>
      <c r="BL153" s="16">
        <f>IF(ISNA(VLOOKUP(A153,'Données projet'!$A$87:$I$107,4,0)),0,VLOOKUP(A153,'Données projet'!$A$87:$I$107,4,0))</f>
        <v>355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68.524583248604884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4.5474735088646412E-13</v>
      </c>
      <c r="BZ153" s="14">
        <f>BY153*VLOOKUP('Données projet'!$B$12,Paramètres!$A$1:$I$89,3,0)*VLOOKUP('Données projet'!$B$12,Paramètres!$A$1:$I$89,5,0)</f>
        <v>3.6179699236527089E-13</v>
      </c>
      <c r="CA153" s="14">
        <f t="shared" si="147"/>
        <v>4.6796319415916035E-12</v>
      </c>
      <c r="CB153" s="22">
        <f t="shared" si="118"/>
        <v>8.7804887266415556E-12</v>
      </c>
      <c r="CC153" s="62">
        <f t="shared" si="119"/>
        <v>287.92347191156</v>
      </c>
      <c r="CD153" s="62">
        <f ca="1">AVERAGE(OFFSET($CC$3,0,0,'Données projet'!$E$12+1,1))-AVERAGE(OFFSET($H$3,0,0,'Données projet'!$E$12+1,1))</f>
        <v>447.25854887589878</v>
      </c>
      <c r="CE153" s="62">
        <f t="shared" si="148"/>
        <v>480.13390593590157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68.524583248604884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1.1368683772161603E-13</v>
      </c>
      <c r="CU153" s="18">
        <f>CT153*VLOOKUP('Données projet'!$B$13,Paramètres!$A$1:$I$89,3,0)*VLOOKUP('Données projet'!$B$13,Paramètres!$A$1:$I$89,5,0)</f>
        <v>8.8675733422860506E-14</v>
      </c>
      <c r="CV153" s="14">
        <f t="shared" si="149"/>
        <v>1.3509285393066301E-12</v>
      </c>
      <c r="CW153" s="22">
        <f t="shared" si="121"/>
        <v>2.5073107750038623E-12</v>
      </c>
      <c r="CX153" s="62">
        <f t="shared" si="122"/>
        <v>287.92347191155375</v>
      </c>
      <c r="CY153" s="62">
        <f ca="1">AVERAGE(OFFSET($CX$3,0,0,'Données projet'!$E$13+1,1))-AVERAGE(OFFSET($H$3,0,0,'Données projet'!$E$13+1,1))</f>
        <v>308.52515801950324</v>
      </c>
      <c r="CZ153" s="62">
        <f t="shared" si="150"/>
        <v>299.05420638408953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68.524583248604884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4.5474735088646412E-13</v>
      </c>
      <c r="DP153" s="18">
        <f>DO153*VLOOKUP('Données projet'!$B$14,Paramètres!$A$1:$I$89,3,0)*VLOOKUP('Données projet'!$B$14,Paramètres!$A$1:$I$89,5,0)</f>
        <v>3.3342075766995548E-13</v>
      </c>
      <c r="DQ153" s="14">
        <f t="shared" si="151"/>
        <v>4.3537988100583648E-12</v>
      </c>
      <c r="DR153" s="22">
        <f t="shared" si="124"/>
        <v>8.1635740804601579E-12</v>
      </c>
      <c r="DS153" s="62">
        <f t="shared" si="125"/>
        <v>287.92347191155943</v>
      </c>
      <c r="DT153" s="62">
        <f ca="1">AVERAGE(OFFSET($DS$3,0,0,'Données projet'!$E$14+1,1))-AVERAGE(OFFSET($H$3,0,0,'Données projet'!$E$14+1,1))</f>
        <v>416.72317068678774</v>
      </c>
      <c r="DU153" s="62">
        <f t="shared" si="152"/>
        <v>447.32457429495537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68.524583248604884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5.6843418860808015E-14</v>
      </c>
      <c r="EK153" s="18">
        <f>EJ153*VLOOKUP('Données projet'!$B$15,Paramètres!$A$1:$I$89,3,0)*VLOOKUP('Données projet'!$B$15,Paramètres!$A$1:$I$89,5,0)</f>
        <v>5.4092197387944907E-14</v>
      </c>
      <c r="EL153" s="14">
        <f t="shared" si="153"/>
        <v>8.7287050538073676E-13</v>
      </c>
      <c r="EM153" s="22">
        <f t="shared" si="127"/>
        <v>1.6144600406554537E-12</v>
      </c>
      <c r="EN153" s="62">
        <f t="shared" si="128"/>
        <v>287.92347191155284</v>
      </c>
      <c r="EO153" s="62">
        <f ca="1">AVERAGE(OFFSET($EN$3,0,0,'Données projet'!$E$15+1,1))-AVERAGE(OFFSET($H$3,0,0,'Données projet'!$E$15+1,1))</f>
        <v>454.78867027701426</v>
      </c>
      <c r="EP153" s="62">
        <f t="shared" si="154"/>
        <v>366.45346303927056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0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68.524583248604884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>
        <f>FE153*VLOOKUP('Données projet'!$B$16,Paramètres!$A$1:$I$89,3,0)*VLOOKUP('Données projet'!$B$16,Paramètres!$A$1:$I$89,5,0)</f>
        <v>0</v>
      </c>
      <c r="FG153" s="14" t="e">
        <f t="shared" si="155"/>
        <v>#NUM!</v>
      </c>
      <c r="FH153" s="22" t="e">
        <f t="shared" si="130"/>
        <v>#NUM!</v>
      </c>
      <c r="FI153" s="62" t="e">
        <f t="shared" si="131"/>
        <v>#NUM!</v>
      </c>
      <c r="FJ153" s="62">
        <f ca="1">AVERAGE(OFFSET($FI$3,0,0,'Données projet'!$E$16+1,1))-AVERAGE(OFFSET($H$3,0,0,'Données projet'!$E$16+1,1))</f>
        <v>390.05579539539576</v>
      </c>
      <c r="FK153" s="62">
        <f t="shared" si="156"/>
        <v>323.72278615226139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projet'!$B$16,Paramètres!$A$1:$I$89,3,0)*0.475*44/12</f>
        <v>0</v>
      </c>
      <c r="FR153" s="23">
        <f>EXP(-LN(2)/25)*FR152+(1-EXP(-LN(2)/25))/(LN(2)/25)*Calculateur!FM153*Calculateur!FO153*VLOOKUP('Données projet'!$B$16,Paramètres!$A$1:$I$89,3,0)*0.475*44/12</f>
        <v>0</v>
      </c>
      <c r="FS153" s="23">
        <f>EXP(-LN(2)/2)*FS152+(1-EXP(-LN(2)/2))/(LN(2)/2)*FM153*FP153*VLOOKUP('Données projet'!$B$16,Paramètres!$A$1:$I$89,3,0)*0.475*44/12</f>
        <v>0</v>
      </c>
      <c r="FT153" s="24">
        <f t="shared" si="132"/>
        <v>0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68.524583248604884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>
        <f>VLOOKUP(A153,'Données projet'!$A$243:$I$263,2,0)</f>
        <v>355</v>
      </c>
      <c r="FX153" s="13">
        <f>VLOOKUP(A153,'Données projet'!$A$243:$I$263,9,0)</f>
        <v>3.6</v>
      </c>
      <c r="FY153" s="13">
        <f t="array" ref="FY153">INDEX(FX:FX,MIN(IF(ISNUMBER(FX153:FX349),ROW(FX153:FX349),"")))</f>
        <v>3.6</v>
      </c>
      <c r="FZ153" s="13">
        <f>IF('Données projet'!$A$244&gt;35,FZ152+FY153-GH152,IF(A153&lt;'Données projet'!$A$244,$FW$205^A153,IF(A153='Données projet'!$A$244,'Données projet'!$B$244,FZ152+FY153-GH152)))</f>
        <v>355.00000000000006</v>
      </c>
      <c r="GA153" s="18">
        <f>FZ153*VLOOKUP('Données projet'!$B$17,Paramètres!$A$1:$I$89,3,0)*VLOOKUP('Données projet'!$B$17,Paramètres!$A$1:$I$89,5,0)</f>
        <v>343.35600000000005</v>
      </c>
      <c r="GB153" s="14">
        <f t="shared" si="157"/>
        <v>80.192920405774586</v>
      </c>
      <c r="GC153" s="22">
        <f t="shared" si="133"/>
        <v>737.68103637339084</v>
      </c>
      <c r="GD153" s="62">
        <f t="shared" si="134"/>
        <v>1025.6045082849421</v>
      </c>
      <c r="GE153" s="62">
        <f ca="1">AVERAGE(OFFSET($GD$3,0,0,'Données projet'!$E$17+1,1))-AVERAGE(OFFSET($H$3,0,0,'Données projet'!$E$17+1,1))</f>
        <v>578.44111602076555</v>
      </c>
      <c r="GF153" s="62">
        <f t="shared" si="158"/>
        <v>368.08542661432784</v>
      </c>
      <c r="GG153" s="16">
        <f>IF(ISNA(VLOOKUP(A153,'Données projet'!$A$243:$I$263,3,0)),0,VLOOKUP(A153,'Données projet'!$A$243:$I$263,3,0))</f>
        <v>13</v>
      </c>
      <c r="GH153" s="16">
        <f>IF(ISNA(VLOOKUP(A153,'Données projet'!$A$243:$I$263,4,0)),0,VLOOKUP(A153,'Données projet'!$A$243:$I$263,4,0))</f>
        <v>355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>
        <f>EXP(-LN(2)/35)*GL152+(1-EXP(-LN(2)/35))/(LN(2)/35)*GH153*GI153*VLOOKUP('Données projet'!$B$17,Paramètres!$A$1:$I$89,3,0)*0.475*44/12</f>
        <v>0</v>
      </c>
      <c r="GM153" s="23">
        <f>EXP(-LN(2)/25)*GM152+(1-EXP(-LN(2)/25))/(LN(2)/25)*Calculateur!GH153*Calculateur!GJ153*VLOOKUP('Données projet'!$B$17,Paramètres!$A$1:$I$89,3,0)*0.475*44/12</f>
        <v>0</v>
      </c>
      <c r="GN153" s="23">
        <f>EXP(-LN(2)/2)*GN152+(1-EXP(-LN(2)/2))/(LN(2)/2)*GH153*GK153*VLOOKUP('Données projet'!$B$17,Paramètres!$A$1:$I$89,3,0)*0.475*44/12</f>
        <v>0</v>
      </c>
      <c r="GO153" s="23">
        <f t="shared" si="135"/>
        <v>0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68.524583248604884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4.0735000000000001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14.936166666666667</v>
      </c>
      <c r="H154" s="70">
        <f t="shared" si="110"/>
        <v>196.922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68.550178430703895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5.1431925385259088E-14</v>
      </c>
      <c r="P154" s="14">
        <f t="shared" si="141"/>
        <v>8.3482866290946129E-13</v>
      </c>
      <c r="Q154" s="22">
        <f t="shared" ref="Q154:Q203" si="162">(O154+P154)*0.475*44/12</f>
        <v>1.5435705246133045E-12</v>
      </c>
      <c r="R154" s="62">
        <f t="shared" si="109"/>
        <v>288.01732091258248</v>
      </c>
      <c r="S154" s="62">
        <f ca="1">AVERAGE(OFFSET($R$3,0,0,'Données projet'!$E$9+1,1))-AVERAGE(OFFSET($H$3,0,0,'Données projet'!$E$9+1,1))</f>
        <v>546.11281471711925</v>
      </c>
      <c r="T154" s="62">
        <f t="shared" si="142"/>
        <v>348.18069831447099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68.550178430703895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-1.2505552149377763E-12</v>
      </c>
      <c r="AJ154" s="14">
        <f>AI154*VLOOKUP('Données projet'!$B$10,Paramètres!$A$1:$I$89,3,0)*VLOOKUP('Données projet'!$B$10,Paramètres!$A$1:$I$89,5,0)</f>
        <v>-1.0729763744166122E-12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693.87994318348024</v>
      </c>
      <c r="AO154" s="62">
        <f t="shared" si="144"/>
        <v>327.71043739333641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68.550178430703895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5.6843418860808015E-14</v>
      </c>
      <c r="BE154" s="14">
        <f>BD154*VLOOKUP('Données projet'!$B$11,Paramètres!$A$1:$I$89,3,0)*VLOOKUP('Données projet'!$B$11,Paramètres!$A$1:$I$89,5,0)</f>
        <v>4.7884896048344674E-14</v>
      </c>
      <c r="BF154" s="14">
        <f t="shared" ref="BF154:BF203" si="167">EXP(-1.0587+0.8836*LN(BE154)+0.284)</f>
        <v>7.8374629847779921E-13</v>
      </c>
      <c r="BG154" s="22">
        <f t="shared" ref="BG154:BG203" si="168">(BE154+BF154)*0.475*44/12</f>
        <v>1.4484243304663672E-12</v>
      </c>
      <c r="BH154" s="62">
        <f t="shared" si="116"/>
        <v>288.01732091258236</v>
      </c>
      <c r="BI154" s="62">
        <f ca="1">AVERAGE(OFFSET($BH$3,0,0,'Données projet'!$E$11+1,1))-AVERAGE(OFFSET($H$3,0,0,'Données projet'!$E$11+1,1))</f>
        <v>513.7388209355762</v>
      </c>
      <c r="BJ154" s="62">
        <f t="shared" si="146"/>
        <v>328.24603121433927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68.550178430703895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4.5474735088646412E-13</v>
      </c>
      <c r="BZ154" s="14">
        <f>BY154*VLOOKUP('Données projet'!$B$12,Paramètres!$A$1:$I$89,3,0)*VLOOKUP('Données projet'!$B$12,Paramètres!$A$1:$I$89,5,0)</f>
        <v>3.6179699236527089E-13</v>
      </c>
      <c r="CA154" s="14">
        <f t="shared" ref="CA154:CA203" si="170">EXP(-1.0587+0.8836*LN(BZ154)+0.284)</f>
        <v>4.6796319415916035E-12</v>
      </c>
      <c r="CB154" s="22">
        <f t="shared" ref="CB154:CB203" si="171">(BZ154+CA154)*0.475*44/12</f>
        <v>8.7804887266415556E-12</v>
      </c>
      <c r="CC154" s="62">
        <f t="shared" si="119"/>
        <v>288.0173209125897</v>
      </c>
      <c r="CD154" s="62">
        <f ca="1">AVERAGE(OFFSET($CC$3,0,0,'Données projet'!$E$12+1,1))-AVERAGE(OFFSET($H$3,0,0,'Données projet'!$E$12+1,1))</f>
        <v>447.25854887589878</v>
      </c>
      <c r="CE154" s="62">
        <f t="shared" si="148"/>
        <v>480.13390593590157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68.550178430703895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1.1368683772161603E-13</v>
      </c>
      <c r="CU154" s="18">
        <f>CT154*VLOOKUP('Données projet'!$B$13,Paramètres!$A$1:$I$89,3,0)*VLOOKUP('Données projet'!$B$13,Paramètres!$A$1:$I$89,5,0)</f>
        <v>8.8675733422860506E-14</v>
      </c>
      <c r="CV154" s="14">
        <f t="shared" ref="CV154:CV203" si="173">EXP(-1.0587+0.8836*LN(CU154)+0.284)</f>
        <v>1.3509285393066301E-12</v>
      </c>
      <c r="CW154" s="22">
        <f t="shared" ref="CW154:CW203" si="174">(CU154+CV154)*0.475*44/12</f>
        <v>2.5073107750038623E-12</v>
      </c>
      <c r="CX154" s="62">
        <f t="shared" si="122"/>
        <v>288.01732091258344</v>
      </c>
      <c r="CY154" s="62">
        <f ca="1">AVERAGE(OFFSET($CX$3,0,0,'Données projet'!$E$13+1,1))-AVERAGE(OFFSET($H$3,0,0,'Données projet'!$E$13+1,1))</f>
        <v>308.52515801950324</v>
      </c>
      <c r="CZ154" s="62">
        <f t="shared" si="150"/>
        <v>299.05420638408953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68.550178430703895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4.5474735088646412E-13</v>
      </c>
      <c r="DP154" s="18">
        <f>DO154*VLOOKUP('Données projet'!$B$14,Paramètres!$A$1:$I$89,3,0)*VLOOKUP('Données projet'!$B$14,Paramètres!$A$1:$I$89,5,0)</f>
        <v>3.3342075766995548E-13</v>
      </c>
      <c r="DQ154" s="14">
        <f t="shared" ref="DQ154:DQ203" si="176">EXP(-1.0587+0.8836*LN(DP154)+0.284)</f>
        <v>4.3537988100583648E-12</v>
      </c>
      <c r="DR154" s="22">
        <f t="shared" ref="DR154:DR203" si="177">(DP154+DQ154)*0.475*44/12</f>
        <v>8.1635740804601579E-12</v>
      </c>
      <c r="DS154" s="62">
        <f t="shared" si="125"/>
        <v>288.01732091258913</v>
      </c>
      <c r="DT154" s="62">
        <f ca="1">AVERAGE(OFFSET($DS$3,0,0,'Données projet'!$E$14+1,1))-AVERAGE(OFFSET($H$3,0,0,'Données projet'!$E$14+1,1))</f>
        <v>416.72317068678774</v>
      </c>
      <c r="DU154" s="62">
        <f t="shared" si="152"/>
        <v>447.32457429495537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68.550178430703895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5.6843418860808015E-14</v>
      </c>
      <c r="EK154" s="18">
        <f>EJ154*VLOOKUP('Données projet'!$B$15,Paramètres!$A$1:$I$89,3,0)*VLOOKUP('Données projet'!$B$15,Paramètres!$A$1:$I$89,5,0)</f>
        <v>5.4092197387944907E-14</v>
      </c>
      <c r="EL154" s="14">
        <f t="shared" ref="EL154:EL203" si="179">EXP(-1.0587+0.8836*LN(EK154)+0.284)</f>
        <v>8.7287050538073676E-13</v>
      </c>
      <c r="EM154" s="22">
        <f t="shared" ref="EM154:EM203" si="180">(EK154+EL154)*0.475*44/12</f>
        <v>1.6144600406554537E-12</v>
      </c>
      <c r="EN154" s="62">
        <f t="shared" si="128"/>
        <v>288.01732091258253</v>
      </c>
      <c r="EO154" s="62">
        <f ca="1">AVERAGE(OFFSET($EN$3,0,0,'Données projet'!$E$15+1,1))-AVERAGE(OFFSET($H$3,0,0,'Données projet'!$E$15+1,1))</f>
        <v>454.78867027701426</v>
      </c>
      <c r="EP154" s="62">
        <f t="shared" si="154"/>
        <v>366.45346303927056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0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68.550178430703895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>
        <f>FE154*VLOOKUP('Données projet'!$B$16,Paramètres!$A$1:$I$89,3,0)*VLOOKUP('Données projet'!$B$16,Paramètres!$A$1:$I$89,5,0)</f>
        <v>0</v>
      </c>
      <c r="FG154" s="14" t="e">
        <f t="shared" ref="FG154:FG203" si="182">EXP(-1.0587+0.8836*LN(FF154)+0.284)</f>
        <v>#NUM!</v>
      </c>
      <c r="FH154" s="22" t="e">
        <f t="shared" ref="FH154:FH203" si="183">(FF154+FG154)*0.475*44/12</f>
        <v>#NUM!</v>
      </c>
      <c r="FI154" s="62" t="e">
        <f t="shared" si="131"/>
        <v>#NUM!</v>
      </c>
      <c r="FJ154" s="62">
        <f ca="1">AVERAGE(OFFSET($FI$3,0,0,'Données projet'!$E$16+1,1))-AVERAGE(OFFSET($H$3,0,0,'Données projet'!$E$16+1,1))</f>
        <v>390.05579539539576</v>
      </c>
      <c r="FK154" s="62">
        <f t="shared" si="156"/>
        <v>323.72278615226139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projet'!$B$16,Paramètres!$A$1:$I$89,3,0)*0.475*44/12</f>
        <v>0</v>
      </c>
      <c r="FR154" s="23">
        <f>EXP(-LN(2)/25)*FR153+(1-EXP(-LN(2)/25))/(LN(2)/25)*Calculateur!FM154*Calculateur!FO154*VLOOKUP('Données projet'!$B$16,Paramètres!$A$1:$I$89,3,0)*0.475*44/12</f>
        <v>0</v>
      </c>
      <c r="FS154" s="23">
        <f>EXP(-LN(2)/2)*FS153+(1-EXP(-LN(2)/2))/(LN(2)/2)*FM154*FP154*VLOOKUP('Données projet'!$B$16,Paramètres!$A$1:$I$89,3,0)*0.475*44/12</f>
        <v>0</v>
      </c>
      <c r="FT154" s="24">
        <f t="shared" ref="FT154:FT203" si="184">SUM(FQ154:FS154)</f>
        <v>0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68.550178430703895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5.6843418860808015E-14</v>
      </c>
      <c r="GA154" s="18">
        <f>FZ154*VLOOKUP('Données projet'!$B$17,Paramètres!$A$1:$I$89,3,0)*VLOOKUP('Données projet'!$B$17,Paramètres!$A$1:$I$89,5,0)</f>
        <v>5.4978954722173515E-14</v>
      </c>
      <c r="GB154" s="14">
        <f t="shared" ref="GB154:GB203" si="185">EXP(-1.0587+0.8836*LN(GA154)+0.284)</f>
        <v>8.8550225887742724E-13</v>
      </c>
      <c r="GC154" s="22">
        <f t="shared" ref="GC154:GC203" si="186">(GA154+GB154)*0.475*44/12</f>
        <v>1.6380047803526383E-12</v>
      </c>
      <c r="GD154" s="62">
        <f t="shared" si="134"/>
        <v>288.01732091258259</v>
      </c>
      <c r="GE154" s="62">
        <f ca="1">AVERAGE(OFFSET($GD$3,0,0,'Données projet'!$E$17+1,1))-AVERAGE(OFFSET($H$3,0,0,'Données projet'!$E$17+1,1))</f>
        <v>578.44111602076555</v>
      </c>
      <c r="GF154" s="62">
        <f t="shared" si="158"/>
        <v>368.08542661432784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>
        <f>EXP(-LN(2)/35)*GL153+(1-EXP(-LN(2)/35))/(LN(2)/35)*GH154*GI154*VLOOKUP('Données projet'!$B$17,Paramètres!$A$1:$I$89,3,0)*0.475*44/12</f>
        <v>0</v>
      </c>
      <c r="GM154" s="23">
        <f>EXP(-LN(2)/25)*GM153+(1-EXP(-LN(2)/25))/(LN(2)/25)*Calculateur!GH154*Calculateur!GJ154*VLOOKUP('Données projet'!$B$17,Paramètres!$A$1:$I$89,3,0)*0.475*44/12</f>
        <v>0</v>
      </c>
      <c r="GN154" s="23">
        <f>EXP(-LN(2)/2)*GN153+(1-EXP(-LN(2)/2))/(LN(2)/2)*GH154*GK154*VLOOKUP('Données projet'!$B$17,Paramètres!$A$1:$I$89,3,0)*0.475*44/12</f>
        <v>0</v>
      </c>
      <c r="GO154" s="23">
        <f t="shared" ref="GO154:GO203" si="187">SUM(GL154:GN154)</f>
        <v>0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68.550178430703895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4.0735000000000001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14.936166666666667</v>
      </c>
      <c r="H155" s="70">
        <f t="shared" si="110"/>
        <v>196.922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68.575329593615734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5.1431925385259088E-14</v>
      </c>
      <c r="P155" s="14">
        <f t="shared" si="141"/>
        <v>8.3482866290946129E-13</v>
      </c>
      <c r="Q155" s="22">
        <f t="shared" si="162"/>
        <v>1.5435705246133045E-12</v>
      </c>
      <c r="R155" s="62">
        <f t="shared" si="109"/>
        <v>288.10954184325919</v>
      </c>
      <c r="S155" s="62">
        <f ca="1">AVERAGE(OFFSET($R$3,0,0,'Données projet'!$E$9+1,1))-AVERAGE(OFFSET($H$3,0,0,'Données projet'!$E$9+1,1))</f>
        <v>546.11281471711925</v>
      </c>
      <c r="T155" s="62">
        <f t="shared" si="142"/>
        <v>348.18069831447099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68.575329593615734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-1.2505552149377763E-12</v>
      </c>
      <c r="AJ155" s="14">
        <f>AI155*VLOOKUP('Données projet'!$B$10,Paramètres!$A$1:$I$89,3,0)*VLOOKUP('Données projet'!$B$10,Paramètres!$A$1:$I$89,5,0)</f>
        <v>-1.0729763744166122E-12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693.87994318348024</v>
      </c>
      <c r="AO155" s="62">
        <f t="shared" si="144"/>
        <v>327.71043739333641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68.575329593615734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5.6843418860808015E-14</v>
      </c>
      <c r="BE155" s="14">
        <f>BD155*VLOOKUP('Données projet'!$B$11,Paramètres!$A$1:$I$89,3,0)*VLOOKUP('Données projet'!$B$11,Paramètres!$A$1:$I$89,5,0)</f>
        <v>4.7884896048344674E-14</v>
      </c>
      <c r="BF155" s="14">
        <f t="shared" si="167"/>
        <v>7.8374629847779921E-13</v>
      </c>
      <c r="BG155" s="22">
        <f t="shared" si="168"/>
        <v>1.4484243304663672E-12</v>
      </c>
      <c r="BH155" s="62">
        <f t="shared" si="116"/>
        <v>288.10954184325908</v>
      </c>
      <c r="BI155" s="62">
        <f ca="1">AVERAGE(OFFSET($BH$3,0,0,'Données projet'!$E$11+1,1))-AVERAGE(OFFSET($H$3,0,0,'Données projet'!$E$11+1,1))</f>
        <v>513.7388209355762</v>
      </c>
      <c r="BJ155" s="62">
        <f t="shared" si="146"/>
        <v>328.24603121433927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68.575329593615734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4.5474735088646412E-13</v>
      </c>
      <c r="BZ155" s="14">
        <f>BY155*VLOOKUP('Données projet'!$B$12,Paramètres!$A$1:$I$89,3,0)*VLOOKUP('Données projet'!$B$12,Paramètres!$A$1:$I$89,5,0)</f>
        <v>3.6179699236527089E-13</v>
      </c>
      <c r="CA155" s="14">
        <f t="shared" si="170"/>
        <v>4.6796319415916035E-12</v>
      </c>
      <c r="CB155" s="22">
        <f t="shared" si="171"/>
        <v>8.7804887266415556E-12</v>
      </c>
      <c r="CC155" s="62">
        <f t="shared" si="119"/>
        <v>288.10954184326641</v>
      </c>
      <c r="CD155" s="62">
        <f ca="1">AVERAGE(OFFSET($CC$3,0,0,'Données projet'!$E$12+1,1))-AVERAGE(OFFSET($H$3,0,0,'Données projet'!$E$12+1,1))</f>
        <v>447.25854887589878</v>
      </c>
      <c r="CE155" s="62">
        <f t="shared" si="148"/>
        <v>480.13390593590157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68.575329593615734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1.1368683772161603E-13</v>
      </c>
      <c r="CU155" s="18">
        <f>CT155*VLOOKUP('Données projet'!$B$13,Paramètres!$A$1:$I$89,3,0)*VLOOKUP('Données projet'!$B$13,Paramètres!$A$1:$I$89,5,0)</f>
        <v>8.8675733422860506E-14</v>
      </c>
      <c r="CV155" s="14">
        <f t="shared" si="173"/>
        <v>1.3509285393066301E-12</v>
      </c>
      <c r="CW155" s="22">
        <f t="shared" si="174"/>
        <v>2.5073107750038623E-12</v>
      </c>
      <c r="CX155" s="62">
        <f t="shared" si="122"/>
        <v>288.10954184326016</v>
      </c>
      <c r="CY155" s="62">
        <f ca="1">AVERAGE(OFFSET($CX$3,0,0,'Données projet'!$E$13+1,1))-AVERAGE(OFFSET($H$3,0,0,'Données projet'!$E$13+1,1))</f>
        <v>308.52515801950324</v>
      </c>
      <c r="CZ155" s="62">
        <f t="shared" si="150"/>
        <v>299.05420638408953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68.575329593615734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4.5474735088646412E-13</v>
      </c>
      <c r="DP155" s="18">
        <f>DO155*VLOOKUP('Données projet'!$B$14,Paramètres!$A$1:$I$89,3,0)*VLOOKUP('Données projet'!$B$14,Paramètres!$A$1:$I$89,5,0)</f>
        <v>3.3342075766995548E-13</v>
      </c>
      <c r="DQ155" s="14">
        <f t="shared" si="176"/>
        <v>4.3537988100583648E-12</v>
      </c>
      <c r="DR155" s="22">
        <f t="shared" si="177"/>
        <v>8.1635740804601579E-12</v>
      </c>
      <c r="DS155" s="62">
        <f t="shared" si="125"/>
        <v>288.10954184326584</v>
      </c>
      <c r="DT155" s="62">
        <f ca="1">AVERAGE(OFFSET($DS$3,0,0,'Données projet'!$E$14+1,1))-AVERAGE(OFFSET($H$3,0,0,'Données projet'!$E$14+1,1))</f>
        <v>416.72317068678774</v>
      </c>
      <c r="DU155" s="62">
        <f t="shared" si="152"/>
        <v>447.32457429495537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68.575329593615734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5.6843418860808015E-14</v>
      </c>
      <c r="EK155" s="18">
        <f>EJ155*VLOOKUP('Données projet'!$B$15,Paramètres!$A$1:$I$89,3,0)*VLOOKUP('Données projet'!$B$15,Paramètres!$A$1:$I$89,5,0)</f>
        <v>5.4092197387944907E-14</v>
      </c>
      <c r="EL155" s="14">
        <f t="shared" si="179"/>
        <v>8.7287050538073676E-13</v>
      </c>
      <c r="EM155" s="22">
        <f t="shared" si="180"/>
        <v>1.6144600406554537E-12</v>
      </c>
      <c r="EN155" s="62">
        <f t="shared" si="128"/>
        <v>288.10954184325925</v>
      </c>
      <c r="EO155" s="62">
        <f ca="1">AVERAGE(OFFSET($EN$3,0,0,'Données projet'!$E$15+1,1))-AVERAGE(OFFSET($H$3,0,0,'Données projet'!$E$15+1,1))</f>
        <v>454.78867027701426</v>
      </c>
      <c r="EP155" s="62">
        <f t="shared" si="154"/>
        <v>366.45346303927056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0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68.575329593615734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>
        <f>FE155*VLOOKUP('Données projet'!$B$16,Paramètres!$A$1:$I$89,3,0)*VLOOKUP('Données projet'!$B$16,Paramètres!$A$1:$I$89,5,0)</f>
        <v>0</v>
      </c>
      <c r="FG155" s="14" t="e">
        <f t="shared" si="182"/>
        <v>#NUM!</v>
      </c>
      <c r="FH155" s="22" t="e">
        <f t="shared" si="183"/>
        <v>#NUM!</v>
      </c>
      <c r="FI155" s="62" t="e">
        <f t="shared" si="131"/>
        <v>#NUM!</v>
      </c>
      <c r="FJ155" s="62">
        <f ca="1">AVERAGE(OFFSET($FI$3,0,0,'Données projet'!$E$16+1,1))-AVERAGE(OFFSET($H$3,0,0,'Données projet'!$E$16+1,1))</f>
        <v>390.05579539539576</v>
      </c>
      <c r="FK155" s="62">
        <f t="shared" si="156"/>
        <v>323.72278615226139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projet'!$B$16,Paramètres!$A$1:$I$89,3,0)*0.475*44/12</f>
        <v>0</v>
      </c>
      <c r="FR155" s="23">
        <f>EXP(-LN(2)/25)*FR154+(1-EXP(-LN(2)/25))/(LN(2)/25)*Calculateur!FM155*Calculateur!FO155*VLOOKUP('Données projet'!$B$16,Paramètres!$A$1:$I$89,3,0)*0.475*44/12</f>
        <v>0</v>
      </c>
      <c r="FS155" s="23">
        <f>EXP(-LN(2)/2)*FS154+(1-EXP(-LN(2)/2))/(LN(2)/2)*FM155*FP155*VLOOKUP('Données projet'!$B$16,Paramètres!$A$1:$I$89,3,0)*0.475*44/12</f>
        <v>0</v>
      </c>
      <c r="FT155" s="24">
        <f t="shared" si="184"/>
        <v>0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68.575329593615734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5.6843418860808015E-14</v>
      </c>
      <c r="GA155" s="18">
        <f>FZ155*VLOOKUP('Données projet'!$B$17,Paramètres!$A$1:$I$89,3,0)*VLOOKUP('Données projet'!$B$17,Paramètres!$A$1:$I$89,5,0)</f>
        <v>5.4978954722173515E-14</v>
      </c>
      <c r="GB155" s="14">
        <f t="shared" si="185"/>
        <v>8.8550225887742724E-13</v>
      </c>
      <c r="GC155" s="22">
        <f t="shared" si="186"/>
        <v>1.6380047803526383E-12</v>
      </c>
      <c r="GD155" s="62">
        <f t="shared" si="134"/>
        <v>288.10954184325931</v>
      </c>
      <c r="GE155" s="62">
        <f ca="1">AVERAGE(OFFSET($GD$3,0,0,'Données projet'!$E$17+1,1))-AVERAGE(OFFSET($H$3,0,0,'Données projet'!$E$17+1,1))</f>
        <v>578.44111602076555</v>
      </c>
      <c r="GF155" s="62">
        <f t="shared" si="158"/>
        <v>368.08542661432784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>
        <f>EXP(-LN(2)/35)*GL154+(1-EXP(-LN(2)/35))/(LN(2)/35)*GH155*GI155*VLOOKUP('Données projet'!$B$17,Paramètres!$A$1:$I$89,3,0)*0.475*44/12</f>
        <v>0</v>
      </c>
      <c r="GM155" s="23">
        <f>EXP(-LN(2)/25)*GM154+(1-EXP(-LN(2)/25))/(LN(2)/25)*Calculateur!GH155*Calculateur!GJ155*VLOOKUP('Données projet'!$B$17,Paramètres!$A$1:$I$89,3,0)*0.475*44/12</f>
        <v>0</v>
      </c>
      <c r="GN155" s="23">
        <f>EXP(-LN(2)/2)*GN154+(1-EXP(-LN(2)/2))/(LN(2)/2)*GH155*GK155*VLOOKUP('Données projet'!$B$17,Paramètres!$A$1:$I$89,3,0)*0.475*44/12</f>
        <v>0</v>
      </c>
      <c r="GO155" s="23">
        <f t="shared" si="187"/>
        <v>0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68.575329593615734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4.0735000000000001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14.936166666666667</v>
      </c>
      <c r="H156" s="70">
        <f t="shared" si="110"/>
        <v>196.922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68.600044440080637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5.1431925385259088E-14</v>
      </c>
      <c r="P156" s="14">
        <f t="shared" si="141"/>
        <v>8.3482866290946129E-13</v>
      </c>
      <c r="Q156" s="22">
        <f t="shared" si="162"/>
        <v>1.5435705246133045E-12</v>
      </c>
      <c r="R156" s="62">
        <f t="shared" si="109"/>
        <v>288.20016294696387</v>
      </c>
      <c r="S156" s="62">
        <f ca="1">AVERAGE(OFFSET($R$3,0,0,'Données projet'!$E$9+1,1))-AVERAGE(OFFSET($H$3,0,0,'Données projet'!$E$9+1,1))</f>
        <v>546.11281471711925</v>
      </c>
      <c r="T156" s="62">
        <f t="shared" si="142"/>
        <v>348.18069831447099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68.600044440080637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-1.2505552149377763E-12</v>
      </c>
      <c r="AJ156" s="14">
        <f>AI156*VLOOKUP('Données projet'!$B$10,Paramètres!$A$1:$I$89,3,0)*VLOOKUP('Données projet'!$B$10,Paramètres!$A$1:$I$89,5,0)</f>
        <v>-1.0729763744166122E-12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693.87994318348024</v>
      </c>
      <c r="AO156" s="62">
        <f t="shared" si="144"/>
        <v>327.71043739333641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68.600044440080637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5.6843418860808015E-14</v>
      </c>
      <c r="BE156" s="14">
        <f>BD156*VLOOKUP('Données projet'!$B$11,Paramètres!$A$1:$I$89,3,0)*VLOOKUP('Données projet'!$B$11,Paramètres!$A$1:$I$89,5,0)</f>
        <v>4.7884896048344674E-14</v>
      </c>
      <c r="BF156" s="14">
        <f t="shared" si="167"/>
        <v>7.8374629847779921E-13</v>
      </c>
      <c r="BG156" s="22">
        <f t="shared" si="168"/>
        <v>1.4484243304663672E-12</v>
      </c>
      <c r="BH156" s="62">
        <f t="shared" si="116"/>
        <v>288.20016294696376</v>
      </c>
      <c r="BI156" s="62">
        <f ca="1">AVERAGE(OFFSET($BH$3,0,0,'Données projet'!$E$11+1,1))-AVERAGE(OFFSET($H$3,0,0,'Données projet'!$E$11+1,1))</f>
        <v>513.7388209355762</v>
      </c>
      <c r="BJ156" s="62">
        <f t="shared" si="146"/>
        <v>328.24603121433927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68.600044440080637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4.5474735088646412E-13</v>
      </c>
      <c r="BZ156" s="14">
        <f>BY156*VLOOKUP('Données projet'!$B$12,Paramètres!$A$1:$I$89,3,0)*VLOOKUP('Données projet'!$B$12,Paramètres!$A$1:$I$89,5,0)</f>
        <v>3.6179699236527089E-13</v>
      </c>
      <c r="CA156" s="14">
        <f t="shared" si="170"/>
        <v>4.6796319415916035E-12</v>
      </c>
      <c r="CB156" s="22">
        <f t="shared" si="171"/>
        <v>8.7804887266415556E-12</v>
      </c>
      <c r="CC156" s="62">
        <f t="shared" si="119"/>
        <v>288.20016294697109</v>
      </c>
      <c r="CD156" s="62">
        <f ca="1">AVERAGE(OFFSET($CC$3,0,0,'Données projet'!$E$12+1,1))-AVERAGE(OFFSET($H$3,0,0,'Données projet'!$E$12+1,1))</f>
        <v>447.25854887589878</v>
      </c>
      <c r="CE156" s="62">
        <f t="shared" si="148"/>
        <v>480.13390593590157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68.600044440080637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1.1368683772161603E-13</v>
      </c>
      <c r="CU156" s="18">
        <f>CT156*VLOOKUP('Données projet'!$B$13,Paramètres!$A$1:$I$89,3,0)*VLOOKUP('Données projet'!$B$13,Paramètres!$A$1:$I$89,5,0)</f>
        <v>8.8675733422860506E-14</v>
      </c>
      <c r="CV156" s="14">
        <f t="shared" si="173"/>
        <v>1.3509285393066301E-12</v>
      </c>
      <c r="CW156" s="22">
        <f t="shared" si="174"/>
        <v>2.5073107750038623E-12</v>
      </c>
      <c r="CX156" s="62">
        <f t="shared" si="122"/>
        <v>288.20016294696484</v>
      </c>
      <c r="CY156" s="62">
        <f ca="1">AVERAGE(OFFSET($CX$3,0,0,'Données projet'!$E$13+1,1))-AVERAGE(OFFSET($H$3,0,0,'Données projet'!$E$13+1,1))</f>
        <v>308.52515801950324</v>
      </c>
      <c r="CZ156" s="62">
        <f t="shared" si="150"/>
        <v>299.05420638408953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68.600044440080637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4.5474735088646412E-13</v>
      </c>
      <c r="DP156" s="18">
        <f>DO156*VLOOKUP('Données projet'!$B$14,Paramètres!$A$1:$I$89,3,0)*VLOOKUP('Données projet'!$B$14,Paramètres!$A$1:$I$89,5,0)</f>
        <v>3.3342075766995548E-13</v>
      </c>
      <c r="DQ156" s="14">
        <f t="shared" si="176"/>
        <v>4.3537988100583648E-12</v>
      </c>
      <c r="DR156" s="22">
        <f t="shared" si="177"/>
        <v>8.1635740804601579E-12</v>
      </c>
      <c r="DS156" s="62">
        <f t="shared" si="125"/>
        <v>288.20016294697052</v>
      </c>
      <c r="DT156" s="62">
        <f ca="1">AVERAGE(OFFSET($DS$3,0,0,'Données projet'!$E$14+1,1))-AVERAGE(OFFSET($H$3,0,0,'Données projet'!$E$14+1,1))</f>
        <v>416.72317068678774</v>
      </c>
      <c r="DU156" s="62">
        <f t="shared" si="152"/>
        <v>447.32457429495537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68.600044440080637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5.6843418860808015E-14</v>
      </c>
      <c r="EK156" s="18">
        <f>EJ156*VLOOKUP('Données projet'!$B$15,Paramètres!$A$1:$I$89,3,0)*VLOOKUP('Données projet'!$B$15,Paramètres!$A$1:$I$89,5,0)</f>
        <v>5.4092197387944907E-14</v>
      </c>
      <c r="EL156" s="14">
        <f t="shared" si="179"/>
        <v>8.7287050538073676E-13</v>
      </c>
      <c r="EM156" s="22">
        <f t="shared" si="180"/>
        <v>1.6144600406554537E-12</v>
      </c>
      <c r="EN156" s="62">
        <f t="shared" si="128"/>
        <v>288.20016294696393</v>
      </c>
      <c r="EO156" s="62">
        <f ca="1">AVERAGE(OFFSET($EN$3,0,0,'Données projet'!$E$15+1,1))-AVERAGE(OFFSET($H$3,0,0,'Données projet'!$E$15+1,1))</f>
        <v>454.78867027701426</v>
      </c>
      <c r="EP156" s="62">
        <f t="shared" si="154"/>
        <v>366.45346303927056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0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68.600044440080637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>
        <f>FE156*VLOOKUP('Données projet'!$B$16,Paramètres!$A$1:$I$89,3,0)*VLOOKUP('Données projet'!$B$16,Paramètres!$A$1:$I$89,5,0)</f>
        <v>0</v>
      </c>
      <c r="FG156" s="14" t="e">
        <f t="shared" si="182"/>
        <v>#NUM!</v>
      </c>
      <c r="FH156" s="22" t="e">
        <f t="shared" si="183"/>
        <v>#NUM!</v>
      </c>
      <c r="FI156" s="62" t="e">
        <f t="shared" si="131"/>
        <v>#NUM!</v>
      </c>
      <c r="FJ156" s="62">
        <f ca="1">AVERAGE(OFFSET($FI$3,0,0,'Données projet'!$E$16+1,1))-AVERAGE(OFFSET($H$3,0,0,'Données projet'!$E$16+1,1))</f>
        <v>390.05579539539576</v>
      </c>
      <c r="FK156" s="62">
        <f t="shared" si="156"/>
        <v>323.72278615226139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projet'!$B$16,Paramètres!$A$1:$I$89,3,0)*0.475*44/12</f>
        <v>0</v>
      </c>
      <c r="FR156" s="23">
        <f>EXP(-LN(2)/25)*FR155+(1-EXP(-LN(2)/25))/(LN(2)/25)*Calculateur!FM156*Calculateur!FO156*VLOOKUP('Données projet'!$B$16,Paramètres!$A$1:$I$89,3,0)*0.475*44/12</f>
        <v>0</v>
      </c>
      <c r="FS156" s="23">
        <f>EXP(-LN(2)/2)*FS155+(1-EXP(-LN(2)/2))/(LN(2)/2)*FM156*FP156*VLOOKUP('Données projet'!$B$16,Paramètres!$A$1:$I$89,3,0)*0.475*44/12</f>
        <v>0</v>
      </c>
      <c r="FT156" s="24">
        <f t="shared" si="184"/>
        <v>0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68.600044440080637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5.6843418860808015E-14</v>
      </c>
      <c r="GA156" s="18">
        <f>FZ156*VLOOKUP('Données projet'!$B$17,Paramètres!$A$1:$I$89,3,0)*VLOOKUP('Données projet'!$B$17,Paramètres!$A$1:$I$89,5,0)</f>
        <v>5.4978954722173515E-14</v>
      </c>
      <c r="GB156" s="14">
        <f t="shared" si="185"/>
        <v>8.8550225887742724E-13</v>
      </c>
      <c r="GC156" s="22">
        <f t="shared" si="186"/>
        <v>1.6380047803526383E-12</v>
      </c>
      <c r="GD156" s="62">
        <f t="shared" si="134"/>
        <v>288.20016294696399</v>
      </c>
      <c r="GE156" s="62">
        <f ca="1">AVERAGE(OFFSET($GD$3,0,0,'Données projet'!$E$17+1,1))-AVERAGE(OFFSET($H$3,0,0,'Données projet'!$E$17+1,1))</f>
        <v>578.44111602076555</v>
      </c>
      <c r="GF156" s="62">
        <f t="shared" si="158"/>
        <v>368.08542661432784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>
        <f>EXP(-LN(2)/35)*GL155+(1-EXP(-LN(2)/35))/(LN(2)/35)*GH156*GI156*VLOOKUP('Données projet'!$B$17,Paramètres!$A$1:$I$89,3,0)*0.475*44/12</f>
        <v>0</v>
      </c>
      <c r="GM156" s="23">
        <f>EXP(-LN(2)/25)*GM155+(1-EXP(-LN(2)/25))/(LN(2)/25)*Calculateur!GH156*Calculateur!GJ156*VLOOKUP('Données projet'!$B$17,Paramètres!$A$1:$I$89,3,0)*0.475*44/12</f>
        <v>0</v>
      </c>
      <c r="GN156" s="23">
        <f>EXP(-LN(2)/2)*GN155+(1-EXP(-LN(2)/2))/(LN(2)/2)*GH156*GK156*VLOOKUP('Données projet'!$B$17,Paramètres!$A$1:$I$89,3,0)*0.475*44/12</f>
        <v>0</v>
      </c>
      <c r="GO156" s="23">
        <f t="shared" si="187"/>
        <v>0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68.600044440080637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4.0735000000000001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14.936166666666667</v>
      </c>
      <c r="H157" s="70">
        <f t="shared" si="110"/>
        <v>196.922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68.624330539213474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5.1431925385259088E-14</v>
      </c>
      <c r="P157" s="14">
        <f t="shared" si="141"/>
        <v>8.3482866290946129E-13</v>
      </c>
      <c r="Q157" s="22">
        <f t="shared" si="162"/>
        <v>1.5435705246133045E-12</v>
      </c>
      <c r="R157" s="62">
        <f t="shared" si="109"/>
        <v>288.28921197711759</v>
      </c>
      <c r="S157" s="62">
        <f ca="1">AVERAGE(OFFSET($R$3,0,0,'Données projet'!$E$9+1,1))-AVERAGE(OFFSET($H$3,0,0,'Données projet'!$E$9+1,1))</f>
        <v>546.11281471711925</v>
      </c>
      <c r="T157" s="62">
        <f t="shared" si="142"/>
        <v>348.18069831447099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68.624330539213474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-1.2505552149377763E-12</v>
      </c>
      <c r="AJ157" s="14">
        <f>AI157*VLOOKUP('Données projet'!$B$10,Paramètres!$A$1:$I$89,3,0)*VLOOKUP('Données projet'!$B$10,Paramètres!$A$1:$I$89,5,0)</f>
        <v>-1.0729763744166122E-12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693.87994318348024</v>
      </c>
      <c r="AO157" s="62">
        <f t="shared" si="144"/>
        <v>327.71043739333641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68.624330539213474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5.6843418860808015E-14</v>
      </c>
      <c r="BE157" s="14">
        <f>BD157*VLOOKUP('Données projet'!$B$11,Paramètres!$A$1:$I$89,3,0)*VLOOKUP('Données projet'!$B$11,Paramètres!$A$1:$I$89,5,0)</f>
        <v>4.7884896048344674E-14</v>
      </c>
      <c r="BF157" s="14">
        <f t="shared" si="167"/>
        <v>7.8374629847779921E-13</v>
      </c>
      <c r="BG157" s="22">
        <f t="shared" si="168"/>
        <v>1.4484243304663672E-12</v>
      </c>
      <c r="BH157" s="62">
        <f t="shared" si="116"/>
        <v>288.28921197711747</v>
      </c>
      <c r="BI157" s="62">
        <f ca="1">AVERAGE(OFFSET($BH$3,0,0,'Données projet'!$E$11+1,1))-AVERAGE(OFFSET($H$3,0,0,'Données projet'!$E$11+1,1))</f>
        <v>513.7388209355762</v>
      </c>
      <c r="BJ157" s="62">
        <f t="shared" si="146"/>
        <v>328.24603121433927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68.624330539213474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4.5474735088646412E-13</v>
      </c>
      <c r="BZ157" s="14">
        <f>BY157*VLOOKUP('Données projet'!$B$12,Paramètres!$A$1:$I$89,3,0)*VLOOKUP('Données projet'!$B$12,Paramètres!$A$1:$I$89,5,0)</f>
        <v>3.6179699236527089E-13</v>
      </c>
      <c r="CA157" s="14">
        <f t="shared" si="170"/>
        <v>4.6796319415916035E-12</v>
      </c>
      <c r="CB157" s="22">
        <f t="shared" si="171"/>
        <v>8.7804887266415556E-12</v>
      </c>
      <c r="CC157" s="62">
        <f t="shared" si="119"/>
        <v>288.28921197712481</v>
      </c>
      <c r="CD157" s="62">
        <f ca="1">AVERAGE(OFFSET($CC$3,0,0,'Données projet'!$E$12+1,1))-AVERAGE(OFFSET($H$3,0,0,'Données projet'!$E$12+1,1))</f>
        <v>447.25854887589878</v>
      </c>
      <c r="CE157" s="62">
        <f t="shared" si="148"/>
        <v>480.13390593590157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68.624330539213474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1.1368683772161603E-13</v>
      </c>
      <c r="CU157" s="18">
        <f>CT157*VLOOKUP('Données projet'!$B$13,Paramètres!$A$1:$I$89,3,0)*VLOOKUP('Données projet'!$B$13,Paramètres!$A$1:$I$89,5,0)</f>
        <v>8.8675733422860506E-14</v>
      </c>
      <c r="CV157" s="14">
        <f t="shared" si="173"/>
        <v>1.3509285393066301E-12</v>
      </c>
      <c r="CW157" s="22">
        <f t="shared" si="174"/>
        <v>2.5073107750038623E-12</v>
      </c>
      <c r="CX157" s="62">
        <f t="shared" si="122"/>
        <v>288.28921197711855</v>
      </c>
      <c r="CY157" s="62">
        <f ca="1">AVERAGE(OFFSET($CX$3,0,0,'Données projet'!$E$13+1,1))-AVERAGE(OFFSET($H$3,0,0,'Données projet'!$E$13+1,1))</f>
        <v>308.52515801950324</v>
      </c>
      <c r="CZ157" s="62">
        <f t="shared" si="150"/>
        <v>299.05420638408953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68.624330539213474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4.5474735088646412E-13</v>
      </c>
      <c r="DP157" s="18">
        <f>DO157*VLOOKUP('Données projet'!$B$14,Paramètres!$A$1:$I$89,3,0)*VLOOKUP('Données projet'!$B$14,Paramètres!$A$1:$I$89,5,0)</f>
        <v>3.3342075766995548E-13</v>
      </c>
      <c r="DQ157" s="14">
        <f t="shared" si="176"/>
        <v>4.3537988100583648E-12</v>
      </c>
      <c r="DR157" s="22">
        <f t="shared" si="177"/>
        <v>8.1635740804601579E-12</v>
      </c>
      <c r="DS157" s="62">
        <f t="shared" si="125"/>
        <v>288.28921197712424</v>
      </c>
      <c r="DT157" s="62">
        <f ca="1">AVERAGE(OFFSET($DS$3,0,0,'Données projet'!$E$14+1,1))-AVERAGE(OFFSET($H$3,0,0,'Données projet'!$E$14+1,1))</f>
        <v>416.72317068678774</v>
      </c>
      <c r="DU157" s="62">
        <f t="shared" si="152"/>
        <v>447.32457429495537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68.624330539213474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5.6843418860808015E-14</v>
      </c>
      <c r="EK157" s="18">
        <f>EJ157*VLOOKUP('Données projet'!$B$15,Paramètres!$A$1:$I$89,3,0)*VLOOKUP('Données projet'!$B$15,Paramètres!$A$1:$I$89,5,0)</f>
        <v>5.4092197387944907E-14</v>
      </c>
      <c r="EL157" s="14">
        <f t="shared" si="179"/>
        <v>8.7287050538073676E-13</v>
      </c>
      <c r="EM157" s="22">
        <f t="shared" si="180"/>
        <v>1.6144600406554537E-12</v>
      </c>
      <c r="EN157" s="62">
        <f t="shared" si="128"/>
        <v>288.28921197711765</v>
      </c>
      <c r="EO157" s="62">
        <f ca="1">AVERAGE(OFFSET($EN$3,0,0,'Données projet'!$E$15+1,1))-AVERAGE(OFFSET($H$3,0,0,'Données projet'!$E$15+1,1))</f>
        <v>454.78867027701426</v>
      </c>
      <c r="EP157" s="62">
        <f t="shared" si="154"/>
        <v>366.45346303927056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0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68.624330539213474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>
        <f>FE157*VLOOKUP('Données projet'!$B$16,Paramètres!$A$1:$I$89,3,0)*VLOOKUP('Données projet'!$B$16,Paramètres!$A$1:$I$89,5,0)</f>
        <v>0</v>
      </c>
      <c r="FG157" s="14" t="e">
        <f t="shared" si="182"/>
        <v>#NUM!</v>
      </c>
      <c r="FH157" s="22" t="e">
        <f t="shared" si="183"/>
        <v>#NUM!</v>
      </c>
      <c r="FI157" s="62" t="e">
        <f t="shared" si="131"/>
        <v>#NUM!</v>
      </c>
      <c r="FJ157" s="62">
        <f ca="1">AVERAGE(OFFSET($FI$3,0,0,'Données projet'!$E$16+1,1))-AVERAGE(OFFSET($H$3,0,0,'Données projet'!$E$16+1,1))</f>
        <v>390.05579539539576</v>
      </c>
      <c r="FK157" s="62">
        <f t="shared" si="156"/>
        <v>323.72278615226139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projet'!$B$16,Paramètres!$A$1:$I$89,3,0)*0.475*44/12</f>
        <v>0</v>
      </c>
      <c r="FR157" s="23">
        <f>EXP(-LN(2)/25)*FR156+(1-EXP(-LN(2)/25))/(LN(2)/25)*Calculateur!FM157*Calculateur!FO157*VLOOKUP('Données projet'!$B$16,Paramètres!$A$1:$I$89,3,0)*0.475*44/12</f>
        <v>0</v>
      </c>
      <c r="FS157" s="23">
        <f>EXP(-LN(2)/2)*FS156+(1-EXP(-LN(2)/2))/(LN(2)/2)*FM157*FP157*VLOOKUP('Données projet'!$B$16,Paramètres!$A$1:$I$89,3,0)*0.475*44/12</f>
        <v>0</v>
      </c>
      <c r="FT157" s="24">
        <f t="shared" si="184"/>
        <v>0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68.624330539213474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5.6843418860808015E-14</v>
      </c>
      <c r="GA157" s="18">
        <f>FZ157*VLOOKUP('Données projet'!$B$17,Paramètres!$A$1:$I$89,3,0)*VLOOKUP('Données projet'!$B$17,Paramètres!$A$1:$I$89,5,0)</f>
        <v>5.4978954722173515E-14</v>
      </c>
      <c r="GB157" s="14">
        <f t="shared" si="185"/>
        <v>8.8550225887742724E-13</v>
      </c>
      <c r="GC157" s="22">
        <f t="shared" si="186"/>
        <v>1.6380047803526383E-12</v>
      </c>
      <c r="GD157" s="62">
        <f t="shared" si="134"/>
        <v>288.2892119771177</v>
      </c>
      <c r="GE157" s="62">
        <f ca="1">AVERAGE(OFFSET($GD$3,0,0,'Données projet'!$E$17+1,1))-AVERAGE(OFFSET($H$3,0,0,'Données projet'!$E$17+1,1))</f>
        <v>578.44111602076555</v>
      </c>
      <c r="GF157" s="62">
        <f t="shared" si="158"/>
        <v>368.08542661432784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>
        <f>EXP(-LN(2)/35)*GL156+(1-EXP(-LN(2)/35))/(LN(2)/35)*GH157*GI157*VLOOKUP('Données projet'!$B$17,Paramètres!$A$1:$I$89,3,0)*0.475*44/12</f>
        <v>0</v>
      </c>
      <c r="GM157" s="23">
        <f>EXP(-LN(2)/25)*GM156+(1-EXP(-LN(2)/25))/(LN(2)/25)*Calculateur!GH157*Calculateur!GJ157*VLOOKUP('Données projet'!$B$17,Paramètres!$A$1:$I$89,3,0)*0.475*44/12</f>
        <v>0</v>
      </c>
      <c r="GN157" s="23">
        <f>EXP(-LN(2)/2)*GN156+(1-EXP(-LN(2)/2))/(LN(2)/2)*GH157*GK157*VLOOKUP('Données projet'!$B$17,Paramètres!$A$1:$I$89,3,0)*0.475*44/12</f>
        <v>0</v>
      </c>
      <c r="GO157" s="23">
        <f t="shared" si="187"/>
        <v>0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68.624330539213474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4.0735000000000001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14.936166666666667</v>
      </c>
      <c r="H158" s="70">
        <f t="shared" si="110"/>
        <v>196.922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68.64819532882197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5.1431925385259088E-14</v>
      </c>
      <c r="P158" s="14">
        <f t="shared" si="141"/>
        <v>8.3482866290946129E-13</v>
      </c>
      <c r="Q158" s="22">
        <f t="shared" si="162"/>
        <v>1.5435705246133045E-12</v>
      </c>
      <c r="R158" s="62">
        <f t="shared" si="109"/>
        <v>288.3767162056821</v>
      </c>
      <c r="S158" s="62">
        <f ca="1">AVERAGE(OFFSET($R$3,0,0,'Données projet'!$E$9+1,1))-AVERAGE(OFFSET($H$3,0,0,'Données projet'!$E$9+1,1))</f>
        <v>546.11281471711925</v>
      </c>
      <c r="T158" s="62">
        <f t="shared" si="142"/>
        <v>348.18069831447099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68.64819532882197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-1.2505552149377763E-12</v>
      </c>
      <c r="AJ158" s="14">
        <f>AI158*VLOOKUP('Données projet'!$B$10,Paramètres!$A$1:$I$89,3,0)*VLOOKUP('Données projet'!$B$10,Paramètres!$A$1:$I$89,5,0)</f>
        <v>-1.0729763744166122E-12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693.87994318348024</v>
      </c>
      <c r="AO158" s="62">
        <f t="shared" si="144"/>
        <v>327.71043739333641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68.64819532882197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5.6843418860808015E-14</v>
      </c>
      <c r="BE158" s="14">
        <f>BD158*VLOOKUP('Données projet'!$B$11,Paramètres!$A$1:$I$89,3,0)*VLOOKUP('Données projet'!$B$11,Paramètres!$A$1:$I$89,5,0)</f>
        <v>4.7884896048344674E-14</v>
      </c>
      <c r="BF158" s="14">
        <f t="shared" si="167"/>
        <v>7.8374629847779921E-13</v>
      </c>
      <c r="BG158" s="22">
        <f t="shared" si="168"/>
        <v>1.4484243304663672E-12</v>
      </c>
      <c r="BH158" s="62">
        <f t="shared" si="116"/>
        <v>288.37671620568199</v>
      </c>
      <c r="BI158" s="62">
        <f ca="1">AVERAGE(OFFSET($BH$3,0,0,'Données projet'!$E$11+1,1))-AVERAGE(OFFSET($H$3,0,0,'Données projet'!$E$11+1,1))</f>
        <v>513.7388209355762</v>
      </c>
      <c r="BJ158" s="62">
        <f t="shared" si="146"/>
        <v>328.24603121433927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68.64819532882197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4.5474735088646412E-13</v>
      </c>
      <c r="BZ158" s="14">
        <f>BY158*VLOOKUP('Données projet'!$B$12,Paramètres!$A$1:$I$89,3,0)*VLOOKUP('Données projet'!$B$12,Paramètres!$A$1:$I$89,5,0)</f>
        <v>3.6179699236527089E-13</v>
      </c>
      <c r="CA158" s="14">
        <f t="shared" si="170"/>
        <v>4.6796319415916035E-12</v>
      </c>
      <c r="CB158" s="22">
        <f t="shared" si="171"/>
        <v>8.7804887266415556E-12</v>
      </c>
      <c r="CC158" s="62">
        <f t="shared" si="119"/>
        <v>288.37671620568932</v>
      </c>
      <c r="CD158" s="62">
        <f ca="1">AVERAGE(OFFSET($CC$3,0,0,'Données projet'!$E$12+1,1))-AVERAGE(OFFSET($H$3,0,0,'Données projet'!$E$12+1,1))</f>
        <v>447.25854887589878</v>
      </c>
      <c r="CE158" s="62">
        <f t="shared" si="148"/>
        <v>480.13390593590157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68.64819532882197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1.1368683772161603E-13</v>
      </c>
      <c r="CU158" s="18">
        <f>CT158*VLOOKUP('Données projet'!$B$13,Paramètres!$A$1:$I$89,3,0)*VLOOKUP('Données projet'!$B$13,Paramètres!$A$1:$I$89,5,0)</f>
        <v>8.8675733422860506E-14</v>
      </c>
      <c r="CV158" s="14">
        <f t="shared" si="173"/>
        <v>1.3509285393066301E-12</v>
      </c>
      <c r="CW158" s="22">
        <f t="shared" si="174"/>
        <v>2.5073107750038623E-12</v>
      </c>
      <c r="CX158" s="62">
        <f t="shared" si="122"/>
        <v>288.37671620568307</v>
      </c>
      <c r="CY158" s="62">
        <f ca="1">AVERAGE(OFFSET($CX$3,0,0,'Données projet'!$E$13+1,1))-AVERAGE(OFFSET($H$3,0,0,'Données projet'!$E$13+1,1))</f>
        <v>308.52515801950324</v>
      </c>
      <c r="CZ158" s="62">
        <f t="shared" si="150"/>
        <v>299.05420638408953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68.64819532882197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4.5474735088646412E-13</v>
      </c>
      <c r="DP158" s="18">
        <f>DO158*VLOOKUP('Données projet'!$B$14,Paramètres!$A$1:$I$89,3,0)*VLOOKUP('Données projet'!$B$14,Paramètres!$A$1:$I$89,5,0)</f>
        <v>3.3342075766995548E-13</v>
      </c>
      <c r="DQ158" s="14">
        <f t="shared" si="176"/>
        <v>4.3537988100583648E-12</v>
      </c>
      <c r="DR158" s="22">
        <f t="shared" si="177"/>
        <v>8.1635740804601579E-12</v>
      </c>
      <c r="DS158" s="62">
        <f t="shared" si="125"/>
        <v>288.37671620568875</v>
      </c>
      <c r="DT158" s="62">
        <f ca="1">AVERAGE(OFFSET($DS$3,0,0,'Données projet'!$E$14+1,1))-AVERAGE(OFFSET($H$3,0,0,'Données projet'!$E$14+1,1))</f>
        <v>416.72317068678774</v>
      </c>
      <c r="DU158" s="62">
        <f t="shared" si="152"/>
        <v>447.32457429495537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68.64819532882197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5.6843418860808015E-14</v>
      </c>
      <c r="EK158" s="18">
        <f>EJ158*VLOOKUP('Données projet'!$B$15,Paramètres!$A$1:$I$89,3,0)*VLOOKUP('Données projet'!$B$15,Paramètres!$A$1:$I$89,5,0)</f>
        <v>5.4092197387944907E-14</v>
      </c>
      <c r="EL158" s="14">
        <f t="shared" si="179"/>
        <v>8.7287050538073676E-13</v>
      </c>
      <c r="EM158" s="22">
        <f t="shared" si="180"/>
        <v>1.6144600406554537E-12</v>
      </c>
      <c r="EN158" s="62">
        <f t="shared" si="128"/>
        <v>288.37671620568216</v>
      </c>
      <c r="EO158" s="62">
        <f ca="1">AVERAGE(OFFSET($EN$3,0,0,'Données projet'!$E$15+1,1))-AVERAGE(OFFSET($H$3,0,0,'Données projet'!$E$15+1,1))</f>
        <v>454.78867027701426</v>
      </c>
      <c r="EP158" s="62">
        <f t="shared" si="154"/>
        <v>366.45346303927056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0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68.64819532882197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>
        <f>FE158*VLOOKUP('Données projet'!$B$16,Paramètres!$A$1:$I$89,3,0)*VLOOKUP('Données projet'!$B$16,Paramètres!$A$1:$I$89,5,0)</f>
        <v>0</v>
      </c>
      <c r="FG158" s="14" t="e">
        <f t="shared" si="182"/>
        <v>#NUM!</v>
      </c>
      <c r="FH158" s="22" t="e">
        <f t="shared" si="183"/>
        <v>#NUM!</v>
      </c>
      <c r="FI158" s="62" t="e">
        <f t="shared" si="131"/>
        <v>#NUM!</v>
      </c>
      <c r="FJ158" s="62">
        <f ca="1">AVERAGE(OFFSET($FI$3,0,0,'Données projet'!$E$16+1,1))-AVERAGE(OFFSET($H$3,0,0,'Données projet'!$E$16+1,1))</f>
        <v>390.05579539539576</v>
      </c>
      <c r="FK158" s="62">
        <f t="shared" si="156"/>
        <v>323.72278615226139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projet'!$B$16,Paramètres!$A$1:$I$89,3,0)*0.475*44/12</f>
        <v>0</v>
      </c>
      <c r="FR158" s="23">
        <f>EXP(-LN(2)/25)*FR157+(1-EXP(-LN(2)/25))/(LN(2)/25)*Calculateur!FM158*Calculateur!FO158*VLOOKUP('Données projet'!$B$16,Paramètres!$A$1:$I$89,3,0)*0.475*44/12</f>
        <v>0</v>
      </c>
      <c r="FS158" s="23">
        <f>EXP(-LN(2)/2)*FS157+(1-EXP(-LN(2)/2))/(LN(2)/2)*FM158*FP158*VLOOKUP('Données projet'!$B$16,Paramètres!$A$1:$I$89,3,0)*0.475*44/12</f>
        <v>0</v>
      </c>
      <c r="FT158" s="24">
        <f t="shared" si="184"/>
        <v>0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68.64819532882197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5.6843418860808015E-14</v>
      </c>
      <c r="GA158" s="18">
        <f>FZ158*VLOOKUP('Données projet'!$B$17,Paramètres!$A$1:$I$89,3,0)*VLOOKUP('Données projet'!$B$17,Paramètres!$A$1:$I$89,5,0)</f>
        <v>5.4978954722173515E-14</v>
      </c>
      <c r="GB158" s="14">
        <f t="shared" si="185"/>
        <v>8.8550225887742724E-13</v>
      </c>
      <c r="GC158" s="22">
        <f t="shared" si="186"/>
        <v>1.6380047803526383E-12</v>
      </c>
      <c r="GD158" s="62">
        <f t="shared" si="134"/>
        <v>288.37671620568221</v>
      </c>
      <c r="GE158" s="62">
        <f ca="1">AVERAGE(OFFSET($GD$3,0,0,'Données projet'!$E$17+1,1))-AVERAGE(OFFSET($H$3,0,0,'Données projet'!$E$17+1,1))</f>
        <v>578.44111602076555</v>
      </c>
      <c r="GF158" s="62">
        <f t="shared" si="158"/>
        <v>368.08542661432784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>
        <f>EXP(-LN(2)/35)*GL157+(1-EXP(-LN(2)/35))/(LN(2)/35)*GH158*GI158*VLOOKUP('Données projet'!$B$17,Paramètres!$A$1:$I$89,3,0)*0.475*44/12</f>
        <v>0</v>
      </c>
      <c r="GM158" s="23">
        <f>EXP(-LN(2)/25)*GM157+(1-EXP(-LN(2)/25))/(LN(2)/25)*Calculateur!GH158*Calculateur!GJ158*VLOOKUP('Données projet'!$B$17,Paramètres!$A$1:$I$89,3,0)*0.475*44/12</f>
        <v>0</v>
      </c>
      <c r="GN158" s="23">
        <f>EXP(-LN(2)/2)*GN157+(1-EXP(-LN(2)/2))/(LN(2)/2)*GH158*GK158*VLOOKUP('Données projet'!$B$17,Paramètres!$A$1:$I$89,3,0)*0.475*44/12</f>
        <v>0</v>
      </c>
      <c r="GO158" s="23">
        <f t="shared" si="187"/>
        <v>0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68.64819532882197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4.0735000000000001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14.936166666666667</v>
      </c>
      <c r="H159" s="70">
        <f t="shared" si="110"/>
        <v>196.922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68.671646117684404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5.1431925385259088E-14</v>
      </c>
      <c r="P159" s="14">
        <f t="shared" si="141"/>
        <v>8.3482866290946129E-13</v>
      </c>
      <c r="Q159" s="22">
        <f t="shared" si="162"/>
        <v>1.5435705246133045E-12</v>
      </c>
      <c r="R159" s="62">
        <f t="shared" si="109"/>
        <v>288.46270243151105</v>
      </c>
      <c r="S159" s="62">
        <f ca="1">AVERAGE(OFFSET($R$3,0,0,'Données projet'!$E$9+1,1))-AVERAGE(OFFSET($H$3,0,0,'Données projet'!$E$9+1,1))</f>
        <v>546.11281471711925</v>
      </c>
      <c r="T159" s="62">
        <f t="shared" si="142"/>
        <v>348.18069831447099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68.671646117684404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-1.2505552149377763E-12</v>
      </c>
      <c r="AJ159" s="14">
        <f>AI159*VLOOKUP('Données projet'!$B$10,Paramètres!$A$1:$I$89,3,0)*VLOOKUP('Données projet'!$B$10,Paramètres!$A$1:$I$89,5,0)</f>
        <v>-1.0729763744166122E-12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693.87994318348024</v>
      </c>
      <c r="AO159" s="62">
        <f t="shared" si="144"/>
        <v>327.71043739333641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68.671646117684404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5.6843418860808015E-14</v>
      </c>
      <c r="BE159" s="14">
        <f>BD159*VLOOKUP('Données projet'!$B$11,Paramètres!$A$1:$I$89,3,0)*VLOOKUP('Données projet'!$B$11,Paramètres!$A$1:$I$89,5,0)</f>
        <v>4.7884896048344674E-14</v>
      </c>
      <c r="BF159" s="14">
        <f t="shared" si="167"/>
        <v>7.8374629847779921E-13</v>
      </c>
      <c r="BG159" s="22">
        <f t="shared" si="168"/>
        <v>1.4484243304663672E-12</v>
      </c>
      <c r="BH159" s="62">
        <f t="shared" si="116"/>
        <v>288.46270243151093</v>
      </c>
      <c r="BI159" s="62">
        <f ca="1">AVERAGE(OFFSET($BH$3,0,0,'Données projet'!$E$11+1,1))-AVERAGE(OFFSET($H$3,0,0,'Données projet'!$E$11+1,1))</f>
        <v>513.7388209355762</v>
      </c>
      <c r="BJ159" s="62">
        <f t="shared" si="146"/>
        <v>328.24603121433927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68.671646117684404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4.5474735088646412E-13</v>
      </c>
      <c r="BZ159" s="14">
        <f>BY159*VLOOKUP('Données projet'!$B$12,Paramètres!$A$1:$I$89,3,0)*VLOOKUP('Données projet'!$B$12,Paramètres!$A$1:$I$89,5,0)</f>
        <v>3.6179699236527089E-13</v>
      </c>
      <c r="CA159" s="14">
        <f t="shared" si="170"/>
        <v>4.6796319415916035E-12</v>
      </c>
      <c r="CB159" s="22">
        <f t="shared" si="171"/>
        <v>8.7804887266415556E-12</v>
      </c>
      <c r="CC159" s="62">
        <f t="shared" si="119"/>
        <v>288.46270243151827</v>
      </c>
      <c r="CD159" s="62">
        <f ca="1">AVERAGE(OFFSET($CC$3,0,0,'Données projet'!$E$12+1,1))-AVERAGE(OFFSET($H$3,0,0,'Données projet'!$E$12+1,1))</f>
        <v>447.25854887589878</v>
      </c>
      <c r="CE159" s="62">
        <f t="shared" si="148"/>
        <v>480.13390593590157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68.671646117684404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1.1368683772161603E-13</v>
      </c>
      <c r="CU159" s="18">
        <f>CT159*VLOOKUP('Données projet'!$B$13,Paramètres!$A$1:$I$89,3,0)*VLOOKUP('Données projet'!$B$13,Paramètres!$A$1:$I$89,5,0)</f>
        <v>8.8675733422860506E-14</v>
      </c>
      <c r="CV159" s="14">
        <f t="shared" si="173"/>
        <v>1.3509285393066301E-12</v>
      </c>
      <c r="CW159" s="22">
        <f t="shared" si="174"/>
        <v>2.5073107750038623E-12</v>
      </c>
      <c r="CX159" s="62">
        <f t="shared" si="122"/>
        <v>288.46270243151201</v>
      </c>
      <c r="CY159" s="62">
        <f ca="1">AVERAGE(OFFSET($CX$3,0,0,'Données projet'!$E$13+1,1))-AVERAGE(OFFSET($H$3,0,0,'Données projet'!$E$13+1,1))</f>
        <v>308.52515801950324</v>
      </c>
      <c r="CZ159" s="62">
        <f t="shared" si="150"/>
        <v>299.05420638408953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68.671646117684404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4.5474735088646412E-13</v>
      </c>
      <c r="DP159" s="18">
        <f>DO159*VLOOKUP('Données projet'!$B$14,Paramètres!$A$1:$I$89,3,0)*VLOOKUP('Données projet'!$B$14,Paramètres!$A$1:$I$89,5,0)</f>
        <v>3.3342075766995548E-13</v>
      </c>
      <c r="DQ159" s="14">
        <f t="shared" si="176"/>
        <v>4.3537988100583648E-12</v>
      </c>
      <c r="DR159" s="22">
        <f t="shared" si="177"/>
        <v>8.1635740804601579E-12</v>
      </c>
      <c r="DS159" s="62">
        <f t="shared" si="125"/>
        <v>288.4627024315177</v>
      </c>
      <c r="DT159" s="62">
        <f ca="1">AVERAGE(OFFSET($DS$3,0,0,'Données projet'!$E$14+1,1))-AVERAGE(OFFSET($H$3,0,0,'Données projet'!$E$14+1,1))</f>
        <v>416.72317068678774</v>
      </c>
      <c r="DU159" s="62">
        <f t="shared" si="152"/>
        <v>447.32457429495537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68.671646117684404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5.6843418860808015E-14</v>
      </c>
      <c r="EK159" s="18">
        <f>EJ159*VLOOKUP('Données projet'!$B$15,Paramètres!$A$1:$I$89,3,0)*VLOOKUP('Données projet'!$B$15,Paramètres!$A$1:$I$89,5,0)</f>
        <v>5.4092197387944907E-14</v>
      </c>
      <c r="EL159" s="14">
        <f t="shared" si="179"/>
        <v>8.7287050538073676E-13</v>
      </c>
      <c r="EM159" s="22">
        <f t="shared" si="180"/>
        <v>1.6144600406554537E-12</v>
      </c>
      <c r="EN159" s="62">
        <f t="shared" si="128"/>
        <v>288.4627024315111</v>
      </c>
      <c r="EO159" s="62">
        <f ca="1">AVERAGE(OFFSET($EN$3,0,0,'Données projet'!$E$15+1,1))-AVERAGE(OFFSET($H$3,0,0,'Données projet'!$E$15+1,1))</f>
        <v>454.78867027701426</v>
      </c>
      <c r="EP159" s="62">
        <f t="shared" si="154"/>
        <v>366.45346303927056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0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68.671646117684404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>
        <f>FE159*VLOOKUP('Données projet'!$B$16,Paramètres!$A$1:$I$89,3,0)*VLOOKUP('Données projet'!$B$16,Paramètres!$A$1:$I$89,5,0)</f>
        <v>0</v>
      </c>
      <c r="FG159" s="14" t="e">
        <f t="shared" si="182"/>
        <v>#NUM!</v>
      </c>
      <c r="FH159" s="22" t="e">
        <f t="shared" si="183"/>
        <v>#NUM!</v>
      </c>
      <c r="FI159" s="62" t="e">
        <f t="shared" si="131"/>
        <v>#NUM!</v>
      </c>
      <c r="FJ159" s="62">
        <f ca="1">AVERAGE(OFFSET($FI$3,0,0,'Données projet'!$E$16+1,1))-AVERAGE(OFFSET($H$3,0,0,'Données projet'!$E$16+1,1))</f>
        <v>390.05579539539576</v>
      </c>
      <c r="FK159" s="62">
        <f t="shared" si="156"/>
        <v>323.72278615226139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projet'!$B$16,Paramètres!$A$1:$I$89,3,0)*0.475*44/12</f>
        <v>0</v>
      </c>
      <c r="FR159" s="23">
        <f>EXP(-LN(2)/25)*FR158+(1-EXP(-LN(2)/25))/(LN(2)/25)*Calculateur!FM159*Calculateur!FO159*VLOOKUP('Données projet'!$B$16,Paramètres!$A$1:$I$89,3,0)*0.475*44/12</f>
        <v>0</v>
      </c>
      <c r="FS159" s="23">
        <f>EXP(-LN(2)/2)*FS158+(1-EXP(-LN(2)/2))/(LN(2)/2)*FM159*FP159*VLOOKUP('Données projet'!$B$16,Paramètres!$A$1:$I$89,3,0)*0.475*44/12</f>
        <v>0</v>
      </c>
      <c r="FT159" s="24">
        <f t="shared" si="184"/>
        <v>0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68.671646117684404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5.6843418860808015E-14</v>
      </c>
      <c r="GA159" s="18">
        <f>FZ159*VLOOKUP('Données projet'!$B$17,Paramètres!$A$1:$I$89,3,0)*VLOOKUP('Données projet'!$B$17,Paramètres!$A$1:$I$89,5,0)</f>
        <v>5.4978954722173515E-14</v>
      </c>
      <c r="GB159" s="14">
        <f t="shared" si="185"/>
        <v>8.8550225887742724E-13</v>
      </c>
      <c r="GC159" s="22">
        <f t="shared" si="186"/>
        <v>1.6380047803526383E-12</v>
      </c>
      <c r="GD159" s="62">
        <f t="shared" si="134"/>
        <v>288.46270243151116</v>
      </c>
      <c r="GE159" s="62">
        <f ca="1">AVERAGE(OFFSET($GD$3,0,0,'Données projet'!$E$17+1,1))-AVERAGE(OFFSET($H$3,0,0,'Données projet'!$E$17+1,1))</f>
        <v>578.44111602076555</v>
      </c>
      <c r="GF159" s="62">
        <f t="shared" si="158"/>
        <v>368.08542661432784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>
        <f>EXP(-LN(2)/35)*GL158+(1-EXP(-LN(2)/35))/(LN(2)/35)*GH159*GI159*VLOOKUP('Données projet'!$B$17,Paramètres!$A$1:$I$89,3,0)*0.475*44/12</f>
        <v>0</v>
      </c>
      <c r="GM159" s="23">
        <f>EXP(-LN(2)/25)*GM158+(1-EXP(-LN(2)/25))/(LN(2)/25)*Calculateur!GH159*Calculateur!GJ159*VLOOKUP('Données projet'!$B$17,Paramètres!$A$1:$I$89,3,0)*0.475*44/12</f>
        <v>0</v>
      </c>
      <c r="GN159" s="23">
        <f>EXP(-LN(2)/2)*GN158+(1-EXP(-LN(2)/2))/(LN(2)/2)*GH159*GK159*VLOOKUP('Données projet'!$B$17,Paramètres!$A$1:$I$89,3,0)*0.475*44/12</f>
        <v>0</v>
      </c>
      <c r="GO159" s="23">
        <f t="shared" si="187"/>
        <v>0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68.671646117684404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4.0735000000000001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14.936166666666667</v>
      </c>
      <c r="H160" s="70">
        <f t="shared" si="110"/>
        <v>196.922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68.694690087788217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5.1431925385259088E-14</v>
      </c>
      <c r="P160" s="14">
        <f t="shared" si="141"/>
        <v>8.3482866290946129E-13</v>
      </c>
      <c r="Q160" s="22">
        <f t="shared" si="162"/>
        <v>1.5435705246133045E-12</v>
      </c>
      <c r="R160" s="62">
        <f t="shared" si="109"/>
        <v>288.54719698855831</v>
      </c>
      <c r="S160" s="62">
        <f ca="1">AVERAGE(OFFSET($R$3,0,0,'Données projet'!$E$9+1,1))-AVERAGE(OFFSET($H$3,0,0,'Données projet'!$E$9+1,1))</f>
        <v>546.11281471711925</v>
      </c>
      <c r="T160" s="62">
        <f t="shared" si="142"/>
        <v>348.18069831447099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68.694690087788217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-1.2505552149377763E-12</v>
      </c>
      <c r="AJ160" s="14">
        <f>AI160*VLOOKUP('Données projet'!$B$10,Paramètres!$A$1:$I$89,3,0)*VLOOKUP('Données projet'!$B$10,Paramètres!$A$1:$I$89,5,0)</f>
        <v>-1.0729763744166122E-12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693.87994318348024</v>
      </c>
      <c r="AO160" s="62">
        <f t="shared" si="144"/>
        <v>327.71043739333641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68.694690087788217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5.6843418860808015E-14</v>
      </c>
      <c r="BE160" s="14">
        <f>BD160*VLOOKUP('Données projet'!$B$11,Paramètres!$A$1:$I$89,3,0)*VLOOKUP('Données projet'!$B$11,Paramètres!$A$1:$I$89,5,0)</f>
        <v>4.7884896048344674E-14</v>
      </c>
      <c r="BF160" s="14">
        <f t="shared" si="167"/>
        <v>7.8374629847779921E-13</v>
      </c>
      <c r="BG160" s="22">
        <f t="shared" si="168"/>
        <v>1.4484243304663672E-12</v>
      </c>
      <c r="BH160" s="62">
        <f t="shared" si="116"/>
        <v>288.5471969885582</v>
      </c>
      <c r="BI160" s="62">
        <f ca="1">AVERAGE(OFFSET($BH$3,0,0,'Données projet'!$E$11+1,1))-AVERAGE(OFFSET($H$3,0,0,'Données projet'!$E$11+1,1))</f>
        <v>513.7388209355762</v>
      </c>
      <c r="BJ160" s="62">
        <f t="shared" si="146"/>
        <v>328.24603121433927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68.694690087788217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4.5474735088646412E-13</v>
      </c>
      <c r="BZ160" s="14">
        <f>BY160*VLOOKUP('Données projet'!$B$12,Paramètres!$A$1:$I$89,3,0)*VLOOKUP('Données projet'!$B$12,Paramètres!$A$1:$I$89,5,0)</f>
        <v>3.6179699236527089E-13</v>
      </c>
      <c r="CA160" s="14">
        <f t="shared" si="170"/>
        <v>4.6796319415916035E-12</v>
      </c>
      <c r="CB160" s="22">
        <f t="shared" si="171"/>
        <v>8.7804887266415556E-12</v>
      </c>
      <c r="CC160" s="62">
        <f t="shared" si="119"/>
        <v>288.54719698856553</v>
      </c>
      <c r="CD160" s="62">
        <f ca="1">AVERAGE(OFFSET($CC$3,0,0,'Données projet'!$E$12+1,1))-AVERAGE(OFFSET($H$3,0,0,'Données projet'!$E$12+1,1))</f>
        <v>447.25854887589878</v>
      </c>
      <c r="CE160" s="62">
        <f t="shared" si="148"/>
        <v>480.13390593590157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68.694690087788217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1.1368683772161603E-13</v>
      </c>
      <c r="CU160" s="18">
        <f>CT160*VLOOKUP('Données projet'!$B$13,Paramètres!$A$1:$I$89,3,0)*VLOOKUP('Données projet'!$B$13,Paramètres!$A$1:$I$89,5,0)</f>
        <v>8.8675733422860506E-14</v>
      </c>
      <c r="CV160" s="14">
        <f t="shared" si="173"/>
        <v>1.3509285393066301E-12</v>
      </c>
      <c r="CW160" s="22">
        <f t="shared" si="174"/>
        <v>2.5073107750038623E-12</v>
      </c>
      <c r="CX160" s="62">
        <f t="shared" si="122"/>
        <v>288.54719698855928</v>
      </c>
      <c r="CY160" s="62">
        <f ca="1">AVERAGE(OFFSET($CX$3,0,0,'Données projet'!$E$13+1,1))-AVERAGE(OFFSET($H$3,0,0,'Données projet'!$E$13+1,1))</f>
        <v>308.52515801950324</v>
      </c>
      <c r="CZ160" s="62">
        <f t="shared" si="150"/>
        <v>299.05420638408953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68.694690087788217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4.5474735088646412E-13</v>
      </c>
      <c r="DP160" s="18">
        <f>DO160*VLOOKUP('Données projet'!$B$14,Paramètres!$A$1:$I$89,3,0)*VLOOKUP('Données projet'!$B$14,Paramètres!$A$1:$I$89,5,0)</f>
        <v>3.3342075766995548E-13</v>
      </c>
      <c r="DQ160" s="14">
        <f t="shared" si="176"/>
        <v>4.3537988100583648E-12</v>
      </c>
      <c r="DR160" s="22">
        <f t="shared" si="177"/>
        <v>8.1635740804601579E-12</v>
      </c>
      <c r="DS160" s="62">
        <f t="shared" si="125"/>
        <v>288.54719698856496</v>
      </c>
      <c r="DT160" s="62">
        <f ca="1">AVERAGE(OFFSET($DS$3,0,0,'Données projet'!$E$14+1,1))-AVERAGE(OFFSET($H$3,0,0,'Données projet'!$E$14+1,1))</f>
        <v>416.72317068678774</v>
      </c>
      <c r="DU160" s="62">
        <f t="shared" si="152"/>
        <v>447.32457429495537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68.694690087788217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5.6843418860808015E-14</v>
      </c>
      <c r="EK160" s="18">
        <f>EJ160*VLOOKUP('Données projet'!$B$15,Paramètres!$A$1:$I$89,3,0)*VLOOKUP('Données projet'!$B$15,Paramètres!$A$1:$I$89,5,0)</f>
        <v>5.4092197387944907E-14</v>
      </c>
      <c r="EL160" s="14">
        <f t="shared" si="179"/>
        <v>8.7287050538073676E-13</v>
      </c>
      <c r="EM160" s="22">
        <f t="shared" si="180"/>
        <v>1.6144600406554537E-12</v>
      </c>
      <c r="EN160" s="62">
        <f t="shared" si="128"/>
        <v>288.54719698855837</v>
      </c>
      <c r="EO160" s="62">
        <f ca="1">AVERAGE(OFFSET($EN$3,0,0,'Données projet'!$E$15+1,1))-AVERAGE(OFFSET($H$3,0,0,'Données projet'!$E$15+1,1))</f>
        <v>454.78867027701426</v>
      </c>
      <c r="EP160" s="62">
        <f t="shared" si="154"/>
        <v>366.45346303927056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0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68.694690087788217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>
        <f>FE160*VLOOKUP('Données projet'!$B$16,Paramètres!$A$1:$I$89,3,0)*VLOOKUP('Données projet'!$B$16,Paramètres!$A$1:$I$89,5,0)</f>
        <v>0</v>
      </c>
      <c r="FG160" s="14" t="e">
        <f t="shared" si="182"/>
        <v>#NUM!</v>
      </c>
      <c r="FH160" s="22" t="e">
        <f t="shared" si="183"/>
        <v>#NUM!</v>
      </c>
      <c r="FI160" s="62" t="e">
        <f t="shared" si="131"/>
        <v>#NUM!</v>
      </c>
      <c r="FJ160" s="62">
        <f ca="1">AVERAGE(OFFSET($FI$3,0,0,'Données projet'!$E$16+1,1))-AVERAGE(OFFSET($H$3,0,0,'Données projet'!$E$16+1,1))</f>
        <v>390.05579539539576</v>
      </c>
      <c r="FK160" s="62">
        <f t="shared" si="156"/>
        <v>323.72278615226139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projet'!$B$16,Paramètres!$A$1:$I$89,3,0)*0.475*44/12</f>
        <v>0</v>
      </c>
      <c r="FR160" s="23">
        <f>EXP(-LN(2)/25)*FR159+(1-EXP(-LN(2)/25))/(LN(2)/25)*Calculateur!FM160*Calculateur!FO160*VLOOKUP('Données projet'!$B$16,Paramètres!$A$1:$I$89,3,0)*0.475*44/12</f>
        <v>0</v>
      </c>
      <c r="FS160" s="23">
        <f>EXP(-LN(2)/2)*FS159+(1-EXP(-LN(2)/2))/(LN(2)/2)*FM160*FP160*VLOOKUP('Données projet'!$B$16,Paramètres!$A$1:$I$89,3,0)*0.475*44/12</f>
        <v>0</v>
      </c>
      <c r="FT160" s="24">
        <f t="shared" si="184"/>
        <v>0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68.694690087788217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5.6843418860808015E-14</v>
      </c>
      <c r="GA160" s="18">
        <f>FZ160*VLOOKUP('Données projet'!$B$17,Paramètres!$A$1:$I$89,3,0)*VLOOKUP('Données projet'!$B$17,Paramètres!$A$1:$I$89,5,0)</f>
        <v>5.4978954722173515E-14</v>
      </c>
      <c r="GB160" s="14">
        <f t="shared" si="185"/>
        <v>8.8550225887742724E-13</v>
      </c>
      <c r="GC160" s="22">
        <f t="shared" si="186"/>
        <v>1.6380047803526383E-12</v>
      </c>
      <c r="GD160" s="62">
        <f t="shared" si="134"/>
        <v>288.54719698855843</v>
      </c>
      <c r="GE160" s="62">
        <f ca="1">AVERAGE(OFFSET($GD$3,0,0,'Données projet'!$E$17+1,1))-AVERAGE(OFFSET($H$3,0,0,'Données projet'!$E$17+1,1))</f>
        <v>578.44111602076555</v>
      </c>
      <c r="GF160" s="62">
        <f t="shared" si="158"/>
        <v>368.08542661432784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>
        <f>EXP(-LN(2)/35)*GL159+(1-EXP(-LN(2)/35))/(LN(2)/35)*GH160*GI160*VLOOKUP('Données projet'!$B$17,Paramètres!$A$1:$I$89,3,0)*0.475*44/12</f>
        <v>0</v>
      </c>
      <c r="GM160" s="23">
        <f>EXP(-LN(2)/25)*GM159+(1-EXP(-LN(2)/25))/(LN(2)/25)*Calculateur!GH160*Calculateur!GJ160*VLOOKUP('Données projet'!$B$17,Paramètres!$A$1:$I$89,3,0)*0.475*44/12</f>
        <v>0</v>
      </c>
      <c r="GN160" s="23">
        <f>EXP(-LN(2)/2)*GN159+(1-EXP(-LN(2)/2))/(LN(2)/2)*GH160*GK160*VLOOKUP('Données projet'!$B$17,Paramètres!$A$1:$I$89,3,0)*0.475*44/12</f>
        <v>0</v>
      </c>
      <c r="GO160" s="23">
        <f t="shared" si="187"/>
        <v>0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68.694690087788217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4.0735000000000001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14.936166666666667</v>
      </c>
      <c r="H161" s="70">
        <f t="shared" si="110"/>
        <v>196.922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68.717334296529316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5.1431925385259088E-14</v>
      </c>
      <c r="P161" s="14">
        <f t="shared" si="141"/>
        <v>8.3482866290946129E-13</v>
      </c>
      <c r="Q161" s="22">
        <f t="shared" si="162"/>
        <v>1.5435705246133045E-12</v>
      </c>
      <c r="R161" s="62">
        <f t="shared" si="109"/>
        <v>288.63022575394234</v>
      </c>
      <c r="S161" s="62">
        <f ca="1">AVERAGE(OFFSET($R$3,0,0,'Données projet'!$E$9+1,1))-AVERAGE(OFFSET($H$3,0,0,'Données projet'!$E$9+1,1))</f>
        <v>546.11281471711925</v>
      </c>
      <c r="T161" s="62">
        <f t="shared" si="142"/>
        <v>348.18069831447099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68.717334296529316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-1.2505552149377763E-12</v>
      </c>
      <c r="AJ161" s="14">
        <f>AI161*VLOOKUP('Données projet'!$B$10,Paramètres!$A$1:$I$89,3,0)*VLOOKUP('Données projet'!$B$10,Paramètres!$A$1:$I$89,5,0)</f>
        <v>-1.0729763744166122E-12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693.87994318348024</v>
      </c>
      <c r="AO161" s="62">
        <f t="shared" si="144"/>
        <v>327.71043739333641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68.717334296529316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5.6843418860808015E-14</v>
      </c>
      <c r="BE161" s="14">
        <f>BD161*VLOOKUP('Données projet'!$B$11,Paramètres!$A$1:$I$89,3,0)*VLOOKUP('Données projet'!$B$11,Paramètres!$A$1:$I$89,5,0)</f>
        <v>4.7884896048344674E-14</v>
      </c>
      <c r="BF161" s="14">
        <f t="shared" si="167"/>
        <v>7.8374629847779921E-13</v>
      </c>
      <c r="BG161" s="22">
        <f t="shared" si="168"/>
        <v>1.4484243304663672E-12</v>
      </c>
      <c r="BH161" s="62">
        <f t="shared" si="116"/>
        <v>288.63022575394223</v>
      </c>
      <c r="BI161" s="62">
        <f ca="1">AVERAGE(OFFSET($BH$3,0,0,'Données projet'!$E$11+1,1))-AVERAGE(OFFSET($H$3,0,0,'Données projet'!$E$11+1,1))</f>
        <v>513.7388209355762</v>
      </c>
      <c r="BJ161" s="62">
        <f t="shared" si="146"/>
        <v>328.24603121433927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68.717334296529316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4.5474735088646412E-13</v>
      </c>
      <c r="BZ161" s="14">
        <f>BY161*VLOOKUP('Données projet'!$B$12,Paramètres!$A$1:$I$89,3,0)*VLOOKUP('Données projet'!$B$12,Paramètres!$A$1:$I$89,5,0)</f>
        <v>3.6179699236527089E-13</v>
      </c>
      <c r="CA161" s="14">
        <f t="shared" si="170"/>
        <v>4.6796319415916035E-12</v>
      </c>
      <c r="CB161" s="22">
        <f t="shared" si="171"/>
        <v>8.7804887266415556E-12</v>
      </c>
      <c r="CC161" s="62">
        <f t="shared" si="119"/>
        <v>288.63022575394956</v>
      </c>
      <c r="CD161" s="62">
        <f ca="1">AVERAGE(OFFSET($CC$3,0,0,'Données projet'!$E$12+1,1))-AVERAGE(OFFSET($H$3,0,0,'Données projet'!$E$12+1,1))</f>
        <v>447.25854887589878</v>
      </c>
      <c r="CE161" s="62">
        <f t="shared" si="148"/>
        <v>480.13390593590157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68.717334296529316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1.1368683772161603E-13</v>
      </c>
      <c r="CU161" s="18">
        <f>CT161*VLOOKUP('Données projet'!$B$13,Paramètres!$A$1:$I$89,3,0)*VLOOKUP('Données projet'!$B$13,Paramètres!$A$1:$I$89,5,0)</f>
        <v>8.8675733422860506E-14</v>
      </c>
      <c r="CV161" s="14">
        <f t="shared" si="173"/>
        <v>1.3509285393066301E-12</v>
      </c>
      <c r="CW161" s="22">
        <f t="shared" si="174"/>
        <v>2.5073107750038623E-12</v>
      </c>
      <c r="CX161" s="62">
        <f t="shared" si="122"/>
        <v>288.63022575394331</v>
      </c>
      <c r="CY161" s="62">
        <f ca="1">AVERAGE(OFFSET($CX$3,0,0,'Données projet'!$E$13+1,1))-AVERAGE(OFFSET($H$3,0,0,'Données projet'!$E$13+1,1))</f>
        <v>308.52515801950324</v>
      </c>
      <c r="CZ161" s="62">
        <f t="shared" si="150"/>
        <v>299.05420638408953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68.717334296529316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4.5474735088646412E-13</v>
      </c>
      <c r="DP161" s="18">
        <f>DO161*VLOOKUP('Données projet'!$B$14,Paramètres!$A$1:$I$89,3,0)*VLOOKUP('Données projet'!$B$14,Paramètres!$A$1:$I$89,5,0)</f>
        <v>3.3342075766995548E-13</v>
      </c>
      <c r="DQ161" s="14">
        <f t="shared" si="176"/>
        <v>4.3537988100583648E-12</v>
      </c>
      <c r="DR161" s="22">
        <f t="shared" si="177"/>
        <v>8.1635740804601579E-12</v>
      </c>
      <c r="DS161" s="62">
        <f t="shared" si="125"/>
        <v>288.63022575394899</v>
      </c>
      <c r="DT161" s="62">
        <f ca="1">AVERAGE(OFFSET($DS$3,0,0,'Données projet'!$E$14+1,1))-AVERAGE(OFFSET($H$3,0,0,'Données projet'!$E$14+1,1))</f>
        <v>416.72317068678774</v>
      </c>
      <c r="DU161" s="62">
        <f t="shared" si="152"/>
        <v>447.32457429495537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68.717334296529316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5.6843418860808015E-14</v>
      </c>
      <c r="EK161" s="18">
        <f>EJ161*VLOOKUP('Données projet'!$B$15,Paramètres!$A$1:$I$89,3,0)*VLOOKUP('Données projet'!$B$15,Paramètres!$A$1:$I$89,5,0)</f>
        <v>5.4092197387944907E-14</v>
      </c>
      <c r="EL161" s="14">
        <f t="shared" si="179"/>
        <v>8.7287050538073676E-13</v>
      </c>
      <c r="EM161" s="22">
        <f t="shared" si="180"/>
        <v>1.6144600406554537E-12</v>
      </c>
      <c r="EN161" s="62">
        <f t="shared" si="128"/>
        <v>288.6302257539424</v>
      </c>
      <c r="EO161" s="62">
        <f ca="1">AVERAGE(OFFSET($EN$3,0,0,'Données projet'!$E$15+1,1))-AVERAGE(OFFSET($H$3,0,0,'Données projet'!$E$15+1,1))</f>
        <v>454.78867027701426</v>
      </c>
      <c r="EP161" s="62">
        <f t="shared" si="154"/>
        <v>366.45346303927056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0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68.717334296529316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>
        <f>FE161*VLOOKUP('Données projet'!$B$16,Paramètres!$A$1:$I$89,3,0)*VLOOKUP('Données projet'!$B$16,Paramètres!$A$1:$I$89,5,0)</f>
        <v>0</v>
      </c>
      <c r="FG161" s="14" t="e">
        <f t="shared" si="182"/>
        <v>#NUM!</v>
      </c>
      <c r="FH161" s="22" t="e">
        <f t="shared" si="183"/>
        <v>#NUM!</v>
      </c>
      <c r="FI161" s="62" t="e">
        <f t="shared" si="131"/>
        <v>#NUM!</v>
      </c>
      <c r="FJ161" s="62">
        <f ca="1">AVERAGE(OFFSET($FI$3,0,0,'Données projet'!$E$16+1,1))-AVERAGE(OFFSET($H$3,0,0,'Données projet'!$E$16+1,1))</f>
        <v>390.05579539539576</v>
      </c>
      <c r="FK161" s="62">
        <f t="shared" si="156"/>
        <v>323.72278615226139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projet'!$B$16,Paramètres!$A$1:$I$89,3,0)*0.475*44/12</f>
        <v>0</v>
      </c>
      <c r="FR161" s="23">
        <f>EXP(-LN(2)/25)*FR160+(1-EXP(-LN(2)/25))/(LN(2)/25)*Calculateur!FM161*Calculateur!FO161*VLOOKUP('Données projet'!$B$16,Paramètres!$A$1:$I$89,3,0)*0.475*44/12</f>
        <v>0</v>
      </c>
      <c r="FS161" s="23">
        <f>EXP(-LN(2)/2)*FS160+(1-EXP(-LN(2)/2))/(LN(2)/2)*FM161*FP161*VLOOKUP('Données projet'!$B$16,Paramètres!$A$1:$I$89,3,0)*0.475*44/12</f>
        <v>0</v>
      </c>
      <c r="FT161" s="24">
        <f t="shared" si="184"/>
        <v>0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68.717334296529316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5.6843418860808015E-14</v>
      </c>
      <c r="GA161" s="18">
        <f>FZ161*VLOOKUP('Données projet'!$B$17,Paramètres!$A$1:$I$89,3,0)*VLOOKUP('Données projet'!$B$17,Paramètres!$A$1:$I$89,5,0)</f>
        <v>5.4978954722173515E-14</v>
      </c>
      <c r="GB161" s="14">
        <f t="shared" si="185"/>
        <v>8.8550225887742724E-13</v>
      </c>
      <c r="GC161" s="22">
        <f t="shared" si="186"/>
        <v>1.6380047803526383E-12</v>
      </c>
      <c r="GD161" s="62">
        <f t="shared" si="134"/>
        <v>288.63022575394245</v>
      </c>
      <c r="GE161" s="62">
        <f ca="1">AVERAGE(OFFSET($GD$3,0,0,'Données projet'!$E$17+1,1))-AVERAGE(OFFSET($H$3,0,0,'Données projet'!$E$17+1,1))</f>
        <v>578.44111602076555</v>
      </c>
      <c r="GF161" s="62">
        <f t="shared" si="158"/>
        <v>368.08542661432784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>
        <f>EXP(-LN(2)/35)*GL160+(1-EXP(-LN(2)/35))/(LN(2)/35)*GH161*GI161*VLOOKUP('Données projet'!$B$17,Paramètres!$A$1:$I$89,3,0)*0.475*44/12</f>
        <v>0</v>
      </c>
      <c r="GM161" s="23">
        <f>EXP(-LN(2)/25)*GM160+(1-EXP(-LN(2)/25))/(LN(2)/25)*Calculateur!GH161*Calculateur!GJ161*VLOOKUP('Données projet'!$B$17,Paramètres!$A$1:$I$89,3,0)*0.475*44/12</f>
        <v>0</v>
      </c>
      <c r="GN161" s="23">
        <f>EXP(-LN(2)/2)*GN160+(1-EXP(-LN(2)/2))/(LN(2)/2)*GH161*GK161*VLOOKUP('Données projet'!$B$17,Paramètres!$A$1:$I$89,3,0)*0.475*44/12</f>
        <v>0</v>
      </c>
      <c r="GO161" s="23">
        <f t="shared" si="187"/>
        <v>0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68.717334296529316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4.0735000000000001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14.936166666666667</v>
      </c>
      <c r="H162" s="70">
        <f t="shared" si="110"/>
        <v>196.922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68.73958567887361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5.1431925385259088E-14</v>
      </c>
      <c r="P162" s="14">
        <f t="shared" si="141"/>
        <v>8.3482866290946129E-13</v>
      </c>
      <c r="Q162" s="22">
        <f t="shared" si="162"/>
        <v>1.5435705246133045E-12</v>
      </c>
      <c r="R162" s="62">
        <f t="shared" si="109"/>
        <v>288.71181415587142</v>
      </c>
      <c r="S162" s="62">
        <f ca="1">AVERAGE(OFFSET($R$3,0,0,'Données projet'!$E$9+1,1))-AVERAGE(OFFSET($H$3,0,0,'Données projet'!$E$9+1,1))</f>
        <v>546.11281471711925</v>
      </c>
      <c r="T162" s="62">
        <f t="shared" si="142"/>
        <v>348.18069831447099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68.73958567887361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-1.2505552149377763E-12</v>
      </c>
      <c r="AJ162" s="14">
        <f>AI162*VLOOKUP('Données projet'!$B$10,Paramètres!$A$1:$I$89,3,0)*VLOOKUP('Données projet'!$B$10,Paramètres!$A$1:$I$89,5,0)</f>
        <v>-1.0729763744166122E-12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693.87994318348024</v>
      </c>
      <c r="AO162" s="62">
        <f t="shared" si="144"/>
        <v>327.71043739333641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68.73958567887361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5.6843418860808015E-14</v>
      </c>
      <c r="BE162" s="14">
        <f>BD162*VLOOKUP('Données projet'!$B$11,Paramètres!$A$1:$I$89,3,0)*VLOOKUP('Données projet'!$B$11,Paramètres!$A$1:$I$89,5,0)</f>
        <v>4.7884896048344674E-14</v>
      </c>
      <c r="BF162" s="14">
        <f t="shared" si="167"/>
        <v>7.8374629847779921E-13</v>
      </c>
      <c r="BG162" s="22">
        <f t="shared" si="168"/>
        <v>1.4484243304663672E-12</v>
      </c>
      <c r="BH162" s="62">
        <f t="shared" si="116"/>
        <v>288.71181415587131</v>
      </c>
      <c r="BI162" s="62">
        <f ca="1">AVERAGE(OFFSET($BH$3,0,0,'Données projet'!$E$11+1,1))-AVERAGE(OFFSET($H$3,0,0,'Données projet'!$E$11+1,1))</f>
        <v>513.7388209355762</v>
      </c>
      <c r="BJ162" s="62">
        <f t="shared" si="146"/>
        <v>328.24603121433927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68.73958567887361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4.5474735088646412E-13</v>
      </c>
      <c r="BZ162" s="14">
        <f>BY162*VLOOKUP('Données projet'!$B$12,Paramètres!$A$1:$I$89,3,0)*VLOOKUP('Données projet'!$B$12,Paramètres!$A$1:$I$89,5,0)</f>
        <v>3.6179699236527089E-13</v>
      </c>
      <c r="CA162" s="14">
        <f t="shared" si="170"/>
        <v>4.6796319415916035E-12</v>
      </c>
      <c r="CB162" s="22">
        <f t="shared" si="171"/>
        <v>8.7804887266415556E-12</v>
      </c>
      <c r="CC162" s="62">
        <f t="shared" si="119"/>
        <v>288.71181415587864</v>
      </c>
      <c r="CD162" s="62">
        <f ca="1">AVERAGE(OFFSET($CC$3,0,0,'Données projet'!$E$12+1,1))-AVERAGE(OFFSET($H$3,0,0,'Données projet'!$E$12+1,1))</f>
        <v>447.25854887589878</v>
      </c>
      <c r="CE162" s="62">
        <f t="shared" si="148"/>
        <v>480.13390593590157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68.73958567887361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1.1368683772161603E-13</v>
      </c>
      <c r="CU162" s="18">
        <f>CT162*VLOOKUP('Données projet'!$B$13,Paramètres!$A$1:$I$89,3,0)*VLOOKUP('Données projet'!$B$13,Paramètres!$A$1:$I$89,5,0)</f>
        <v>8.8675733422860506E-14</v>
      </c>
      <c r="CV162" s="14">
        <f t="shared" si="173"/>
        <v>1.3509285393066301E-12</v>
      </c>
      <c r="CW162" s="22">
        <f t="shared" si="174"/>
        <v>2.5073107750038623E-12</v>
      </c>
      <c r="CX162" s="62">
        <f t="shared" si="122"/>
        <v>288.71181415587239</v>
      </c>
      <c r="CY162" s="62">
        <f ca="1">AVERAGE(OFFSET($CX$3,0,0,'Données projet'!$E$13+1,1))-AVERAGE(OFFSET($H$3,0,0,'Données projet'!$E$13+1,1))</f>
        <v>308.52515801950324</v>
      </c>
      <c r="CZ162" s="62">
        <f t="shared" si="150"/>
        <v>299.05420638408953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68.73958567887361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4.5474735088646412E-13</v>
      </c>
      <c r="DP162" s="18">
        <f>DO162*VLOOKUP('Données projet'!$B$14,Paramètres!$A$1:$I$89,3,0)*VLOOKUP('Données projet'!$B$14,Paramètres!$A$1:$I$89,5,0)</f>
        <v>3.3342075766995548E-13</v>
      </c>
      <c r="DQ162" s="14">
        <f t="shared" si="176"/>
        <v>4.3537988100583648E-12</v>
      </c>
      <c r="DR162" s="22">
        <f t="shared" si="177"/>
        <v>8.1635740804601579E-12</v>
      </c>
      <c r="DS162" s="62">
        <f t="shared" si="125"/>
        <v>288.71181415587807</v>
      </c>
      <c r="DT162" s="62">
        <f ca="1">AVERAGE(OFFSET($DS$3,0,0,'Données projet'!$E$14+1,1))-AVERAGE(OFFSET($H$3,0,0,'Données projet'!$E$14+1,1))</f>
        <v>416.72317068678774</v>
      </c>
      <c r="DU162" s="62">
        <f t="shared" si="152"/>
        <v>447.32457429495537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68.73958567887361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5.6843418860808015E-14</v>
      </c>
      <c r="EK162" s="18">
        <f>EJ162*VLOOKUP('Données projet'!$B$15,Paramètres!$A$1:$I$89,3,0)*VLOOKUP('Données projet'!$B$15,Paramètres!$A$1:$I$89,5,0)</f>
        <v>5.4092197387944907E-14</v>
      </c>
      <c r="EL162" s="14">
        <f t="shared" si="179"/>
        <v>8.7287050538073676E-13</v>
      </c>
      <c r="EM162" s="22">
        <f t="shared" si="180"/>
        <v>1.6144600406554537E-12</v>
      </c>
      <c r="EN162" s="62">
        <f t="shared" si="128"/>
        <v>288.71181415587148</v>
      </c>
      <c r="EO162" s="62">
        <f ca="1">AVERAGE(OFFSET($EN$3,0,0,'Données projet'!$E$15+1,1))-AVERAGE(OFFSET($H$3,0,0,'Données projet'!$E$15+1,1))</f>
        <v>454.78867027701426</v>
      </c>
      <c r="EP162" s="62">
        <f t="shared" si="154"/>
        <v>366.45346303927056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0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68.73958567887361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>
        <f>FE162*VLOOKUP('Données projet'!$B$16,Paramètres!$A$1:$I$89,3,0)*VLOOKUP('Données projet'!$B$16,Paramètres!$A$1:$I$89,5,0)</f>
        <v>0</v>
      </c>
      <c r="FG162" s="14" t="e">
        <f t="shared" si="182"/>
        <v>#NUM!</v>
      </c>
      <c r="FH162" s="22" t="e">
        <f t="shared" si="183"/>
        <v>#NUM!</v>
      </c>
      <c r="FI162" s="62" t="e">
        <f t="shared" si="131"/>
        <v>#NUM!</v>
      </c>
      <c r="FJ162" s="62">
        <f ca="1">AVERAGE(OFFSET($FI$3,0,0,'Données projet'!$E$16+1,1))-AVERAGE(OFFSET($H$3,0,0,'Données projet'!$E$16+1,1))</f>
        <v>390.05579539539576</v>
      </c>
      <c r="FK162" s="62">
        <f t="shared" si="156"/>
        <v>323.72278615226139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projet'!$B$16,Paramètres!$A$1:$I$89,3,0)*0.475*44/12</f>
        <v>0</v>
      </c>
      <c r="FR162" s="23">
        <f>EXP(-LN(2)/25)*FR161+(1-EXP(-LN(2)/25))/(LN(2)/25)*Calculateur!FM162*Calculateur!FO162*VLOOKUP('Données projet'!$B$16,Paramètres!$A$1:$I$89,3,0)*0.475*44/12</f>
        <v>0</v>
      </c>
      <c r="FS162" s="23">
        <f>EXP(-LN(2)/2)*FS161+(1-EXP(-LN(2)/2))/(LN(2)/2)*FM162*FP162*VLOOKUP('Données projet'!$B$16,Paramètres!$A$1:$I$89,3,0)*0.475*44/12</f>
        <v>0</v>
      </c>
      <c r="FT162" s="24">
        <f t="shared" si="184"/>
        <v>0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68.73958567887361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5.6843418860808015E-14</v>
      </c>
      <c r="GA162" s="18">
        <f>FZ162*VLOOKUP('Données projet'!$B$17,Paramètres!$A$1:$I$89,3,0)*VLOOKUP('Données projet'!$B$17,Paramètres!$A$1:$I$89,5,0)</f>
        <v>5.4978954722173515E-14</v>
      </c>
      <c r="GB162" s="14">
        <f t="shared" si="185"/>
        <v>8.8550225887742724E-13</v>
      </c>
      <c r="GC162" s="22">
        <f t="shared" si="186"/>
        <v>1.6380047803526383E-12</v>
      </c>
      <c r="GD162" s="62">
        <f t="shared" si="134"/>
        <v>288.71181415587154</v>
      </c>
      <c r="GE162" s="62">
        <f ca="1">AVERAGE(OFFSET($GD$3,0,0,'Données projet'!$E$17+1,1))-AVERAGE(OFFSET($H$3,0,0,'Données projet'!$E$17+1,1))</f>
        <v>578.44111602076555</v>
      </c>
      <c r="GF162" s="62">
        <f t="shared" si="158"/>
        <v>368.08542661432784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>
        <f>EXP(-LN(2)/35)*GL161+(1-EXP(-LN(2)/35))/(LN(2)/35)*GH162*GI162*VLOOKUP('Données projet'!$B$17,Paramètres!$A$1:$I$89,3,0)*0.475*44/12</f>
        <v>0</v>
      </c>
      <c r="GM162" s="23">
        <f>EXP(-LN(2)/25)*GM161+(1-EXP(-LN(2)/25))/(LN(2)/25)*Calculateur!GH162*Calculateur!GJ162*VLOOKUP('Données projet'!$B$17,Paramètres!$A$1:$I$89,3,0)*0.475*44/12</f>
        <v>0</v>
      </c>
      <c r="GN162" s="23">
        <f>EXP(-LN(2)/2)*GN161+(1-EXP(-LN(2)/2))/(LN(2)/2)*GH162*GK162*VLOOKUP('Données projet'!$B$17,Paramètres!$A$1:$I$89,3,0)*0.475*44/12</f>
        <v>0</v>
      </c>
      <c r="GO162" s="23">
        <f t="shared" si="187"/>
        <v>0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68.73958567887361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4.0735000000000001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14.936166666666667</v>
      </c>
      <c r="H163" s="70">
        <f t="shared" si="110"/>
        <v>196.922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68.761451049480868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5.1431925385259088E-14</v>
      </c>
      <c r="P163" s="14">
        <f t="shared" si="141"/>
        <v>8.3482866290946129E-13</v>
      </c>
      <c r="Q163" s="22">
        <f t="shared" si="162"/>
        <v>1.5435705246133045E-12</v>
      </c>
      <c r="R163" s="62">
        <f t="shared" si="109"/>
        <v>288.79198718143141</v>
      </c>
      <c r="S163" s="62">
        <f ca="1">AVERAGE(OFFSET($R$3,0,0,'Données projet'!$E$9+1,1))-AVERAGE(OFFSET($H$3,0,0,'Données projet'!$E$9+1,1))</f>
        <v>546.11281471711925</v>
      </c>
      <c r="T163" s="62">
        <f t="shared" si="142"/>
        <v>348.18069831447099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68.761451049480868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-1.2505552149377763E-12</v>
      </c>
      <c r="AJ163" s="14">
        <f>AI163*VLOOKUP('Données projet'!$B$10,Paramètres!$A$1:$I$89,3,0)*VLOOKUP('Données projet'!$B$10,Paramètres!$A$1:$I$89,5,0)</f>
        <v>-1.0729763744166122E-12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693.87994318348024</v>
      </c>
      <c r="AO163" s="62">
        <f t="shared" si="144"/>
        <v>327.71043739333641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68.761451049480868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5.6843418860808015E-14</v>
      </c>
      <c r="BE163" s="14">
        <f>BD163*VLOOKUP('Données projet'!$B$11,Paramètres!$A$1:$I$89,3,0)*VLOOKUP('Données projet'!$B$11,Paramètres!$A$1:$I$89,5,0)</f>
        <v>4.7884896048344674E-14</v>
      </c>
      <c r="BF163" s="14">
        <f t="shared" si="167"/>
        <v>7.8374629847779921E-13</v>
      </c>
      <c r="BG163" s="22">
        <f t="shared" si="168"/>
        <v>1.4484243304663672E-12</v>
      </c>
      <c r="BH163" s="62">
        <f t="shared" si="116"/>
        <v>288.7919871814313</v>
      </c>
      <c r="BI163" s="62">
        <f ca="1">AVERAGE(OFFSET($BH$3,0,0,'Données projet'!$E$11+1,1))-AVERAGE(OFFSET($H$3,0,0,'Données projet'!$E$11+1,1))</f>
        <v>513.7388209355762</v>
      </c>
      <c r="BJ163" s="62">
        <f t="shared" si="146"/>
        <v>328.24603121433927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68.761451049480868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4.5474735088646412E-13</v>
      </c>
      <c r="BZ163" s="14">
        <f>BY163*VLOOKUP('Données projet'!$B$12,Paramètres!$A$1:$I$89,3,0)*VLOOKUP('Données projet'!$B$12,Paramètres!$A$1:$I$89,5,0)</f>
        <v>3.6179699236527089E-13</v>
      </c>
      <c r="CA163" s="14">
        <f t="shared" si="170"/>
        <v>4.6796319415916035E-12</v>
      </c>
      <c r="CB163" s="22">
        <f t="shared" si="171"/>
        <v>8.7804887266415556E-12</v>
      </c>
      <c r="CC163" s="62">
        <f t="shared" si="119"/>
        <v>288.79198718143863</v>
      </c>
      <c r="CD163" s="62">
        <f ca="1">AVERAGE(OFFSET($CC$3,0,0,'Données projet'!$E$12+1,1))-AVERAGE(OFFSET($H$3,0,0,'Données projet'!$E$12+1,1))</f>
        <v>447.25854887589878</v>
      </c>
      <c r="CE163" s="62">
        <f t="shared" si="148"/>
        <v>480.13390593590157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68.761451049480868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1.1368683772161603E-13</v>
      </c>
      <c r="CU163" s="18">
        <f>CT163*VLOOKUP('Données projet'!$B$13,Paramètres!$A$1:$I$89,3,0)*VLOOKUP('Données projet'!$B$13,Paramètres!$A$1:$I$89,5,0)</f>
        <v>8.8675733422860506E-14</v>
      </c>
      <c r="CV163" s="14">
        <f t="shared" si="173"/>
        <v>1.3509285393066301E-12</v>
      </c>
      <c r="CW163" s="22">
        <f t="shared" si="174"/>
        <v>2.5073107750038623E-12</v>
      </c>
      <c r="CX163" s="62">
        <f t="shared" si="122"/>
        <v>288.79198718143238</v>
      </c>
      <c r="CY163" s="62">
        <f ca="1">AVERAGE(OFFSET($CX$3,0,0,'Données projet'!$E$13+1,1))-AVERAGE(OFFSET($H$3,0,0,'Données projet'!$E$13+1,1))</f>
        <v>308.52515801950324</v>
      </c>
      <c r="CZ163" s="62">
        <f t="shared" si="150"/>
        <v>299.05420638408953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68.761451049480868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4.5474735088646412E-13</v>
      </c>
      <c r="DP163" s="18">
        <f>DO163*VLOOKUP('Données projet'!$B$14,Paramètres!$A$1:$I$89,3,0)*VLOOKUP('Données projet'!$B$14,Paramètres!$A$1:$I$89,5,0)</f>
        <v>3.3342075766995548E-13</v>
      </c>
      <c r="DQ163" s="14">
        <f t="shared" si="176"/>
        <v>4.3537988100583648E-12</v>
      </c>
      <c r="DR163" s="22">
        <f t="shared" si="177"/>
        <v>8.1635740804601579E-12</v>
      </c>
      <c r="DS163" s="62">
        <f t="shared" si="125"/>
        <v>288.79198718143806</v>
      </c>
      <c r="DT163" s="62">
        <f ca="1">AVERAGE(OFFSET($DS$3,0,0,'Données projet'!$E$14+1,1))-AVERAGE(OFFSET($H$3,0,0,'Données projet'!$E$14+1,1))</f>
        <v>416.72317068678774</v>
      </c>
      <c r="DU163" s="62">
        <f t="shared" si="152"/>
        <v>447.32457429495537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68.761451049480868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5.6843418860808015E-14</v>
      </c>
      <c r="EK163" s="18">
        <f>EJ163*VLOOKUP('Données projet'!$B$15,Paramètres!$A$1:$I$89,3,0)*VLOOKUP('Données projet'!$B$15,Paramètres!$A$1:$I$89,5,0)</f>
        <v>5.4092197387944907E-14</v>
      </c>
      <c r="EL163" s="14">
        <f t="shared" si="179"/>
        <v>8.7287050538073676E-13</v>
      </c>
      <c r="EM163" s="22">
        <f t="shared" si="180"/>
        <v>1.6144600406554537E-12</v>
      </c>
      <c r="EN163" s="62">
        <f t="shared" si="128"/>
        <v>288.79198718143147</v>
      </c>
      <c r="EO163" s="62">
        <f ca="1">AVERAGE(OFFSET($EN$3,0,0,'Données projet'!$E$15+1,1))-AVERAGE(OFFSET($H$3,0,0,'Données projet'!$E$15+1,1))</f>
        <v>454.78867027701426</v>
      </c>
      <c r="EP163" s="62">
        <f t="shared" si="154"/>
        <v>366.45346303927056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0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68.761451049480868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>
        <f>FE163*VLOOKUP('Données projet'!$B$16,Paramètres!$A$1:$I$89,3,0)*VLOOKUP('Données projet'!$B$16,Paramètres!$A$1:$I$89,5,0)</f>
        <v>0</v>
      </c>
      <c r="FG163" s="14" t="e">
        <f t="shared" si="182"/>
        <v>#NUM!</v>
      </c>
      <c r="FH163" s="22" t="e">
        <f t="shared" si="183"/>
        <v>#NUM!</v>
      </c>
      <c r="FI163" s="62" t="e">
        <f t="shared" si="131"/>
        <v>#NUM!</v>
      </c>
      <c r="FJ163" s="62">
        <f ca="1">AVERAGE(OFFSET($FI$3,0,0,'Données projet'!$E$16+1,1))-AVERAGE(OFFSET($H$3,0,0,'Données projet'!$E$16+1,1))</f>
        <v>390.05579539539576</v>
      </c>
      <c r="FK163" s="62">
        <f t="shared" si="156"/>
        <v>323.72278615226139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projet'!$B$16,Paramètres!$A$1:$I$89,3,0)*0.475*44/12</f>
        <v>0</v>
      </c>
      <c r="FR163" s="23">
        <f>EXP(-LN(2)/25)*FR162+(1-EXP(-LN(2)/25))/(LN(2)/25)*Calculateur!FM163*Calculateur!FO163*VLOOKUP('Données projet'!$B$16,Paramètres!$A$1:$I$89,3,0)*0.475*44/12</f>
        <v>0</v>
      </c>
      <c r="FS163" s="23">
        <f>EXP(-LN(2)/2)*FS162+(1-EXP(-LN(2)/2))/(LN(2)/2)*FM163*FP163*VLOOKUP('Données projet'!$B$16,Paramètres!$A$1:$I$89,3,0)*0.475*44/12</f>
        <v>0</v>
      </c>
      <c r="FT163" s="24">
        <f t="shared" si="184"/>
        <v>0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68.761451049480868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5.6843418860808015E-14</v>
      </c>
      <c r="GA163" s="18">
        <f>FZ163*VLOOKUP('Données projet'!$B$17,Paramètres!$A$1:$I$89,3,0)*VLOOKUP('Données projet'!$B$17,Paramètres!$A$1:$I$89,5,0)</f>
        <v>5.4978954722173515E-14</v>
      </c>
      <c r="GB163" s="14">
        <f t="shared" si="185"/>
        <v>8.8550225887742724E-13</v>
      </c>
      <c r="GC163" s="22">
        <f t="shared" si="186"/>
        <v>1.6380047803526383E-12</v>
      </c>
      <c r="GD163" s="62">
        <f t="shared" si="134"/>
        <v>288.79198718143152</v>
      </c>
      <c r="GE163" s="62">
        <f ca="1">AVERAGE(OFFSET($GD$3,0,0,'Données projet'!$E$17+1,1))-AVERAGE(OFFSET($H$3,0,0,'Données projet'!$E$17+1,1))</f>
        <v>578.44111602076555</v>
      </c>
      <c r="GF163" s="62">
        <f t="shared" si="158"/>
        <v>368.08542661432784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>
        <f>EXP(-LN(2)/35)*GL162+(1-EXP(-LN(2)/35))/(LN(2)/35)*GH163*GI163*VLOOKUP('Données projet'!$B$17,Paramètres!$A$1:$I$89,3,0)*0.475*44/12</f>
        <v>0</v>
      </c>
      <c r="GM163" s="23">
        <f>EXP(-LN(2)/25)*GM162+(1-EXP(-LN(2)/25))/(LN(2)/25)*Calculateur!GH163*Calculateur!GJ163*VLOOKUP('Données projet'!$B$17,Paramètres!$A$1:$I$89,3,0)*0.475*44/12</f>
        <v>0</v>
      </c>
      <c r="GN163" s="23">
        <f>EXP(-LN(2)/2)*GN162+(1-EXP(-LN(2)/2))/(LN(2)/2)*GH163*GK163*VLOOKUP('Données projet'!$B$17,Paramètres!$A$1:$I$89,3,0)*0.475*44/12</f>
        <v>0</v>
      </c>
      <c r="GO163" s="23">
        <f t="shared" si="187"/>
        <v>0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68.761451049480868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4.0735000000000001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14.936166666666667</v>
      </c>
      <c r="H164" s="70">
        <f t="shared" si="110"/>
        <v>196.922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68.782937104791756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5.1431925385259088E-14</v>
      </c>
      <c r="P164" s="14">
        <f t="shared" si="141"/>
        <v>8.3482866290946129E-13</v>
      </c>
      <c r="Q164" s="22">
        <f t="shared" si="162"/>
        <v>1.5435705246133045E-12</v>
      </c>
      <c r="R164" s="62">
        <f t="shared" si="109"/>
        <v>288.87076938423797</v>
      </c>
      <c r="S164" s="62">
        <f ca="1">AVERAGE(OFFSET($R$3,0,0,'Données projet'!$E$9+1,1))-AVERAGE(OFFSET($H$3,0,0,'Données projet'!$E$9+1,1))</f>
        <v>546.11281471711925</v>
      </c>
      <c r="T164" s="62">
        <f t="shared" si="142"/>
        <v>348.18069831447099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68.782937104791756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-1.2505552149377763E-12</v>
      </c>
      <c r="AJ164" s="14">
        <f>AI164*VLOOKUP('Données projet'!$B$10,Paramètres!$A$1:$I$89,3,0)*VLOOKUP('Données projet'!$B$10,Paramètres!$A$1:$I$89,5,0)</f>
        <v>-1.0729763744166122E-12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693.87994318348024</v>
      </c>
      <c r="AO164" s="62">
        <f t="shared" si="144"/>
        <v>327.71043739333641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68.782937104791756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5.6843418860808015E-14</v>
      </c>
      <c r="BE164" s="14">
        <f>BD164*VLOOKUP('Données projet'!$B$11,Paramètres!$A$1:$I$89,3,0)*VLOOKUP('Données projet'!$B$11,Paramètres!$A$1:$I$89,5,0)</f>
        <v>4.7884896048344674E-14</v>
      </c>
      <c r="BF164" s="14">
        <f t="shared" si="167"/>
        <v>7.8374629847779921E-13</v>
      </c>
      <c r="BG164" s="22">
        <f t="shared" si="168"/>
        <v>1.4484243304663672E-12</v>
      </c>
      <c r="BH164" s="62">
        <f t="shared" si="116"/>
        <v>288.87076938423786</v>
      </c>
      <c r="BI164" s="62">
        <f ca="1">AVERAGE(OFFSET($BH$3,0,0,'Données projet'!$E$11+1,1))-AVERAGE(OFFSET($H$3,0,0,'Données projet'!$E$11+1,1))</f>
        <v>513.7388209355762</v>
      </c>
      <c r="BJ164" s="62">
        <f t="shared" si="146"/>
        <v>328.24603121433927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68.782937104791756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4.5474735088646412E-13</v>
      </c>
      <c r="BZ164" s="14">
        <f>BY164*VLOOKUP('Données projet'!$B$12,Paramètres!$A$1:$I$89,3,0)*VLOOKUP('Données projet'!$B$12,Paramètres!$A$1:$I$89,5,0)</f>
        <v>3.6179699236527089E-13</v>
      </c>
      <c r="CA164" s="14">
        <f t="shared" si="170"/>
        <v>4.6796319415916035E-12</v>
      </c>
      <c r="CB164" s="22">
        <f t="shared" si="171"/>
        <v>8.7804887266415556E-12</v>
      </c>
      <c r="CC164" s="62">
        <f t="shared" si="119"/>
        <v>288.87076938424519</v>
      </c>
      <c r="CD164" s="62">
        <f ca="1">AVERAGE(OFFSET($CC$3,0,0,'Données projet'!$E$12+1,1))-AVERAGE(OFFSET($H$3,0,0,'Données projet'!$E$12+1,1))</f>
        <v>447.25854887589878</v>
      </c>
      <c r="CE164" s="62">
        <f t="shared" si="148"/>
        <v>480.13390593590157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68.782937104791756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1.1368683772161603E-13</v>
      </c>
      <c r="CU164" s="18">
        <f>CT164*VLOOKUP('Données projet'!$B$13,Paramètres!$A$1:$I$89,3,0)*VLOOKUP('Données projet'!$B$13,Paramètres!$A$1:$I$89,5,0)</f>
        <v>8.8675733422860506E-14</v>
      </c>
      <c r="CV164" s="14">
        <f t="shared" si="173"/>
        <v>1.3509285393066301E-12</v>
      </c>
      <c r="CW164" s="22">
        <f t="shared" si="174"/>
        <v>2.5073107750038623E-12</v>
      </c>
      <c r="CX164" s="62">
        <f t="shared" si="122"/>
        <v>288.87076938423894</v>
      </c>
      <c r="CY164" s="62">
        <f ca="1">AVERAGE(OFFSET($CX$3,0,0,'Données projet'!$E$13+1,1))-AVERAGE(OFFSET($H$3,0,0,'Données projet'!$E$13+1,1))</f>
        <v>308.52515801950324</v>
      </c>
      <c r="CZ164" s="62">
        <f t="shared" si="150"/>
        <v>299.05420638408953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68.782937104791756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4.5474735088646412E-13</v>
      </c>
      <c r="DP164" s="18">
        <f>DO164*VLOOKUP('Données projet'!$B$14,Paramètres!$A$1:$I$89,3,0)*VLOOKUP('Données projet'!$B$14,Paramètres!$A$1:$I$89,5,0)</f>
        <v>3.3342075766995548E-13</v>
      </c>
      <c r="DQ164" s="14">
        <f t="shared" si="176"/>
        <v>4.3537988100583648E-12</v>
      </c>
      <c r="DR164" s="22">
        <f t="shared" si="177"/>
        <v>8.1635740804601579E-12</v>
      </c>
      <c r="DS164" s="62">
        <f t="shared" si="125"/>
        <v>288.87076938424462</v>
      </c>
      <c r="DT164" s="62">
        <f ca="1">AVERAGE(OFFSET($DS$3,0,0,'Données projet'!$E$14+1,1))-AVERAGE(OFFSET($H$3,0,0,'Données projet'!$E$14+1,1))</f>
        <v>416.72317068678774</v>
      </c>
      <c r="DU164" s="62">
        <f t="shared" si="152"/>
        <v>447.32457429495537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68.782937104791756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5.6843418860808015E-14</v>
      </c>
      <c r="EK164" s="18">
        <f>EJ164*VLOOKUP('Données projet'!$B$15,Paramètres!$A$1:$I$89,3,0)*VLOOKUP('Données projet'!$B$15,Paramètres!$A$1:$I$89,5,0)</f>
        <v>5.4092197387944907E-14</v>
      </c>
      <c r="EL164" s="14">
        <f t="shared" si="179"/>
        <v>8.7287050538073676E-13</v>
      </c>
      <c r="EM164" s="22">
        <f t="shared" si="180"/>
        <v>1.6144600406554537E-12</v>
      </c>
      <c r="EN164" s="62">
        <f t="shared" si="128"/>
        <v>288.87076938423803</v>
      </c>
      <c r="EO164" s="62">
        <f ca="1">AVERAGE(OFFSET($EN$3,0,0,'Données projet'!$E$15+1,1))-AVERAGE(OFFSET($H$3,0,0,'Données projet'!$E$15+1,1))</f>
        <v>454.78867027701426</v>
      </c>
      <c r="EP164" s="62">
        <f t="shared" si="154"/>
        <v>366.45346303927056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0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68.782937104791756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>
        <f>FE164*VLOOKUP('Données projet'!$B$16,Paramètres!$A$1:$I$89,3,0)*VLOOKUP('Données projet'!$B$16,Paramètres!$A$1:$I$89,5,0)</f>
        <v>0</v>
      </c>
      <c r="FG164" s="14" t="e">
        <f t="shared" si="182"/>
        <v>#NUM!</v>
      </c>
      <c r="FH164" s="22" t="e">
        <f t="shared" si="183"/>
        <v>#NUM!</v>
      </c>
      <c r="FI164" s="62" t="e">
        <f t="shared" si="131"/>
        <v>#NUM!</v>
      </c>
      <c r="FJ164" s="62">
        <f ca="1">AVERAGE(OFFSET($FI$3,0,0,'Données projet'!$E$16+1,1))-AVERAGE(OFFSET($H$3,0,0,'Données projet'!$E$16+1,1))</f>
        <v>390.05579539539576</v>
      </c>
      <c r="FK164" s="62">
        <f t="shared" si="156"/>
        <v>323.72278615226139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projet'!$B$16,Paramètres!$A$1:$I$89,3,0)*0.475*44/12</f>
        <v>0</v>
      </c>
      <c r="FR164" s="23">
        <f>EXP(-LN(2)/25)*FR163+(1-EXP(-LN(2)/25))/(LN(2)/25)*Calculateur!FM164*Calculateur!FO164*VLOOKUP('Données projet'!$B$16,Paramètres!$A$1:$I$89,3,0)*0.475*44/12</f>
        <v>0</v>
      </c>
      <c r="FS164" s="23">
        <f>EXP(-LN(2)/2)*FS163+(1-EXP(-LN(2)/2))/(LN(2)/2)*FM164*FP164*VLOOKUP('Données projet'!$B$16,Paramètres!$A$1:$I$89,3,0)*0.475*44/12</f>
        <v>0</v>
      </c>
      <c r="FT164" s="24">
        <f t="shared" si="184"/>
        <v>0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68.782937104791756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5.6843418860808015E-14</v>
      </c>
      <c r="GA164" s="18">
        <f>FZ164*VLOOKUP('Données projet'!$B$17,Paramètres!$A$1:$I$89,3,0)*VLOOKUP('Données projet'!$B$17,Paramètres!$A$1:$I$89,5,0)</f>
        <v>5.4978954722173515E-14</v>
      </c>
      <c r="GB164" s="14">
        <f t="shared" si="185"/>
        <v>8.8550225887742724E-13</v>
      </c>
      <c r="GC164" s="22">
        <f t="shared" si="186"/>
        <v>1.6380047803526383E-12</v>
      </c>
      <c r="GD164" s="62">
        <f t="shared" si="134"/>
        <v>288.87076938423809</v>
      </c>
      <c r="GE164" s="62">
        <f ca="1">AVERAGE(OFFSET($GD$3,0,0,'Données projet'!$E$17+1,1))-AVERAGE(OFFSET($H$3,0,0,'Données projet'!$E$17+1,1))</f>
        <v>578.44111602076555</v>
      </c>
      <c r="GF164" s="62">
        <f t="shared" si="158"/>
        <v>368.08542661432784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>
        <f>EXP(-LN(2)/35)*GL163+(1-EXP(-LN(2)/35))/(LN(2)/35)*GH164*GI164*VLOOKUP('Données projet'!$B$17,Paramètres!$A$1:$I$89,3,0)*0.475*44/12</f>
        <v>0</v>
      </c>
      <c r="GM164" s="23">
        <f>EXP(-LN(2)/25)*GM163+(1-EXP(-LN(2)/25))/(LN(2)/25)*Calculateur!GH164*Calculateur!GJ164*VLOOKUP('Données projet'!$B$17,Paramètres!$A$1:$I$89,3,0)*0.475*44/12</f>
        <v>0</v>
      </c>
      <c r="GN164" s="23">
        <f>EXP(-LN(2)/2)*GN163+(1-EXP(-LN(2)/2))/(LN(2)/2)*GH164*GK164*VLOOKUP('Données projet'!$B$17,Paramètres!$A$1:$I$89,3,0)*0.475*44/12</f>
        <v>0</v>
      </c>
      <c r="GO164" s="23">
        <f t="shared" si="187"/>
        <v>0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68.782937104791756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4.0735000000000001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14.936166666666667</v>
      </c>
      <c r="H165" s="70">
        <f t="shared" si="110"/>
        <v>196.922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68.8040504250786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5.1431925385259088E-14</v>
      </c>
      <c r="P165" s="14">
        <f t="shared" si="141"/>
        <v>8.3482866290946129E-13</v>
      </c>
      <c r="Q165" s="22">
        <f t="shared" si="162"/>
        <v>1.5435705246133045E-12</v>
      </c>
      <c r="R165" s="62">
        <f t="shared" si="109"/>
        <v>288.94818489195643</v>
      </c>
      <c r="S165" s="62">
        <f ca="1">AVERAGE(OFFSET($R$3,0,0,'Données projet'!$E$9+1,1))-AVERAGE(OFFSET($H$3,0,0,'Données projet'!$E$9+1,1))</f>
        <v>546.11281471711925</v>
      </c>
      <c r="T165" s="62">
        <f t="shared" si="142"/>
        <v>348.18069831447099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68.8040504250786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-1.2505552149377763E-12</v>
      </c>
      <c r="AJ165" s="14">
        <f>AI165*VLOOKUP('Données projet'!$B$10,Paramètres!$A$1:$I$89,3,0)*VLOOKUP('Données projet'!$B$10,Paramètres!$A$1:$I$89,5,0)</f>
        <v>-1.0729763744166122E-12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693.87994318348024</v>
      </c>
      <c r="AO165" s="62">
        <f t="shared" si="144"/>
        <v>327.71043739333641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68.8040504250786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5.6843418860808015E-14</v>
      </c>
      <c r="BE165" s="14">
        <f>BD165*VLOOKUP('Données projet'!$B$11,Paramètres!$A$1:$I$89,3,0)*VLOOKUP('Données projet'!$B$11,Paramètres!$A$1:$I$89,5,0)</f>
        <v>4.7884896048344674E-14</v>
      </c>
      <c r="BF165" s="14">
        <f t="shared" si="167"/>
        <v>7.8374629847779921E-13</v>
      </c>
      <c r="BG165" s="22">
        <f t="shared" si="168"/>
        <v>1.4484243304663672E-12</v>
      </c>
      <c r="BH165" s="62">
        <f t="shared" si="116"/>
        <v>288.94818489195632</v>
      </c>
      <c r="BI165" s="62">
        <f ca="1">AVERAGE(OFFSET($BH$3,0,0,'Données projet'!$E$11+1,1))-AVERAGE(OFFSET($H$3,0,0,'Données projet'!$E$11+1,1))</f>
        <v>513.7388209355762</v>
      </c>
      <c r="BJ165" s="62">
        <f t="shared" si="146"/>
        <v>328.24603121433927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68.8040504250786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4.5474735088646412E-13</v>
      </c>
      <c r="BZ165" s="14">
        <f>BY165*VLOOKUP('Données projet'!$B$12,Paramètres!$A$1:$I$89,3,0)*VLOOKUP('Données projet'!$B$12,Paramètres!$A$1:$I$89,5,0)</f>
        <v>3.6179699236527089E-13</v>
      </c>
      <c r="CA165" s="14">
        <f t="shared" si="170"/>
        <v>4.6796319415916035E-12</v>
      </c>
      <c r="CB165" s="22">
        <f t="shared" si="171"/>
        <v>8.7804887266415556E-12</v>
      </c>
      <c r="CC165" s="62">
        <f t="shared" si="119"/>
        <v>288.94818489196365</v>
      </c>
      <c r="CD165" s="62">
        <f ca="1">AVERAGE(OFFSET($CC$3,0,0,'Données projet'!$E$12+1,1))-AVERAGE(OFFSET($H$3,0,0,'Données projet'!$E$12+1,1))</f>
        <v>447.25854887589878</v>
      </c>
      <c r="CE165" s="62">
        <f t="shared" si="148"/>
        <v>480.13390593590157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68.8040504250786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1.1368683772161603E-13</v>
      </c>
      <c r="CU165" s="18">
        <f>CT165*VLOOKUP('Données projet'!$B$13,Paramètres!$A$1:$I$89,3,0)*VLOOKUP('Données projet'!$B$13,Paramètres!$A$1:$I$89,5,0)</f>
        <v>8.8675733422860506E-14</v>
      </c>
      <c r="CV165" s="14">
        <f t="shared" si="173"/>
        <v>1.3509285393066301E-12</v>
      </c>
      <c r="CW165" s="22">
        <f t="shared" si="174"/>
        <v>2.5073107750038623E-12</v>
      </c>
      <c r="CX165" s="62">
        <f t="shared" si="122"/>
        <v>288.9481848919574</v>
      </c>
      <c r="CY165" s="62">
        <f ca="1">AVERAGE(OFFSET($CX$3,0,0,'Données projet'!$E$13+1,1))-AVERAGE(OFFSET($H$3,0,0,'Données projet'!$E$13+1,1))</f>
        <v>308.52515801950324</v>
      </c>
      <c r="CZ165" s="62">
        <f t="shared" si="150"/>
        <v>299.05420638408953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68.8040504250786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4.5474735088646412E-13</v>
      </c>
      <c r="DP165" s="18">
        <f>DO165*VLOOKUP('Données projet'!$B$14,Paramètres!$A$1:$I$89,3,0)*VLOOKUP('Données projet'!$B$14,Paramètres!$A$1:$I$89,5,0)</f>
        <v>3.3342075766995548E-13</v>
      </c>
      <c r="DQ165" s="14">
        <f t="shared" si="176"/>
        <v>4.3537988100583648E-12</v>
      </c>
      <c r="DR165" s="22">
        <f t="shared" si="177"/>
        <v>8.1635740804601579E-12</v>
      </c>
      <c r="DS165" s="62">
        <f t="shared" si="125"/>
        <v>288.94818489196308</v>
      </c>
      <c r="DT165" s="62">
        <f ca="1">AVERAGE(OFFSET($DS$3,0,0,'Données projet'!$E$14+1,1))-AVERAGE(OFFSET($H$3,0,0,'Données projet'!$E$14+1,1))</f>
        <v>416.72317068678774</v>
      </c>
      <c r="DU165" s="62">
        <f t="shared" si="152"/>
        <v>447.32457429495537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68.8040504250786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5.6843418860808015E-14</v>
      </c>
      <c r="EK165" s="18">
        <f>EJ165*VLOOKUP('Données projet'!$B$15,Paramètres!$A$1:$I$89,3,0)*VLOOKUP('Données projet'!$B$15,Paramètres!$A$1:$I$89,5,0)</f>
        <v>5.4092197387944907E-14</v>
      </c>
      <c r="EL165" s="14">
        <f t="shared" si="179"/>
        <v>8.7287050538073676E-13</v>
      </c>
      <c r="EM165" s="22">
        <f t="shared" si="180"/>
        <v>1.6144600406554537E-12</v>
      </c>
      <c r="EN165" s="62">
        <f t="shared" si="128"/>
        <v>288.94818489195649</v>
      </c>
      <c r="EO165" s="62">
        <f ca="1">AVERAGE(OFFSET($EN$3,0,0,'Données projet'!$E$15+1,1))-AVERAGE(OFFSET($H$3,0,0,'Données projet'!$E$15+1,1))</f>
        <v>454.78867027701426</v>
      </c>
      <c r="EP165" s="62">
        <f t="shared" si="154"/>
        <v>366.45346303927056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0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68.8040504250786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>
        <f>FE165*VLOOKUP('Données projet'!$B$16,Paramètres!$A$1:$I$89,3,0)*VLOOKUP('Données projet'!$B$16,Paramètres!$A$1:$I$89,5,0)</f>
        <v>0</v>
      </c>
      <c r="FG165" s="14" t="e">
        <f t="shared" si="182"/>
        <v>#NUM!</v>
      </c>
      <c r="FH165" s="22" t="e">
        <f t="shared" si="183"/>
        <v>#NUM!</v>
      </c>
      <c r="FI165" s="62" t="e">
        <f t="shared" si="131"/>
        <v>#NUM!</v>
      </c>
      <c r="FJ165" s="62">
        <f ca="1">AVERAGE(OFFSET($FI$3,0,0,'Données projet'!$E$16+1,1))-AVERAGE(OFFSET($H$3,0,0,'Données projet'!$E$16+1,1))</f>
        <v>390.05579539539576</v>
      </c>
      <c r="FK165" s="62">
        <f t="shared" si="156"/>
        <v>323.72278615226139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projet'!$B$16,Paramètres!$A$1:$I$89,3,0)*0.475*44/12</f>
        <v>0</v>
      </c>
      <c r="FR165" s="23">
        <f>EXP(-LN(2)/25)*FR164+(1-EXP(-LN(2)/25))/(LN(2)/25)*Calculateur!FM165*Calculateur!FO165*VLOOKUP('Données projet'!$B$16,Paramètres!$A$1:$I$89,3,0)*0.475*44/12</f>
        <v>0</v>
      </c>
      <c r="FS165" s="23">
        <f>EXP(-LN(2)/2)*FS164+(1-EXP(-LN(2)/2))/(LN(2)/2)*FM165*FP165*VLOOKUP('Données projet'!$B$16,Paramètres!$A$1:$I$89,3,0)*0.475*44/12</f>
        <v>0</v>
      </c>
      <c r="FT165" s="24">
        <f t="shared" si="184"/>
        <v>0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68.8040504250786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5.6843418860808015E-14</v>
      </c>
      <c r="GA165" s="18">
        <f>FZ165*VLOOKUP('Données projet'!$B$17,Paramètres!$A$1:$I$89,3,0)*VLOOKUP('Données projet'!$B$17,Paramètres!$A$1:$I$89,5,0)</f>
        <v>5.4978954722173515E-14</v>
      </c>
      <c r="GB165" s="14">
        <f t="shared" si="185"/>
        <v>8.8550225887742724E-13</v>
      </c>
      <c r="GC165" s="22">
        <f t="shared" si="186"/>
        <v>1.6380047803526383E-12</v>
      </c>
      <c r="GD165" s="62">
        <f t="shared" si="134"/>
        <v>288.94818489195654</v>
      </c>
      <c r="GE165" s="62">
        <f ca="1">AVERAGE(OFFSET($GD$3,0,0,'Données projet'!$E$17+1,1))-AVERAGE(OFFSET($H$3,0,0,'Données projet'!$E$17+1,1))</f>
        <v>578.44111602076555</v>
      </c>
      <c r="GF165" s="62">
        <f t="shared" si="158"/>
        <v>368.08542661432784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>
        <f>EXP(-LN(2)/35)*GL164+(1-EXP(-LN(2)/35))/(LN(2)/35)*GH165*GI165*VLOOKUP('Données projet'!$B$17,Paramètres!$A$1:$I$89,3,0)*0.475*44/12</f>
        <v>0</v>
      </c>
      <c r="GM165" s="23">
        <f>EXP(-LN(2)/25)*GM164+(1-EXP(-LN(2)/25))/(LN(2)/25)*Calculateur!GH165*Calculateur!GJ165*VLOOKUP('Données projet'!$B$17,Paramètres!$A$1:$I$89,3,0)*0.475*44/12</f>
        <v>0</v>
      </c>
      <c r="GN165" s="23">
        <f>EXP(-LN(2)/2)*GN164+(1-EXP(-LN(2)/2))/(LN(2)/2)*GH165*GK165*VLOOKUP('Données projet'!$B$17,Paramètres!$A$1:$I$89,3,0)*0.475*44/12</f>
        <v>0</v>
      </c>
      <c r="GO165" s="23">
        <f t="shared" si="187"/>
        <v>0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68.8040504250786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4.0735000000000001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14.936166666666667</v>
      </c>
      <c r="H166" s="70">
        <f t="shared" si="110"/>
        <v>196.922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68.824797476460802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5.1431925385259088E-14</v>
      </c>
      <c r="P166" s="14">
        <f t="shared" si="141"/>
        <v>8.3482866290946129E-13</v>
      </c>
      <c r="Q166" s="22">
        <f t="shared" si="162"/>
        <v>1.5435705246133045E-12</v>
      </c>
      <c r="R166" s="62">
        <f t="shared" si="109"/>
        <v>289.02425741369115</v>
      </c>
      <c r="S166" s="62">
        <f ca="1">AVERAGE(OFFSET($R$3,0,0,'Données projet'!$E$9+1,1))-AVERAGE(OFFSET($H$3,0,0,'Données projet'!$E$9+1,1))</f>
        <v>546.11281471711925</v>
      </c>
      <c r="T166" s="62">
        <f t="shared" si="142"/>
        <v>348.18069831447099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68.824797476460802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-1.2505552149377763E-12</v>
      </c>
      <c r="AJ166" s="14">
        <f>AI166*VLOOKUP('Données projet'!$B$10,Paramètres!$A$1:$I$89,3,0)*VLOOKUP('Données projet'!$B$10,Paramètres!$A$1:$I$89,5,0)</f>
        <v>-1.0729763744166122E-12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693.87994318348024</v>
      </c>
      <c r="AO166" s="62">
        <f t="shared" si="144"/>
        <v>327.71043739333641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68.824797476460802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5.6843418860808015E-14</v>
      </c>
      <c r="BE166" s="14">
        <f>BD166*VLOOKUP('Données projet'!$B$11,Paramètres!$A$1:$I$89,3,0)*VLOOKUP('Données projet'!$B$11,Paramètres!$A$1:$I$89,5,0)</f>
        <v>4.7884896048344674E-14</v>
      </c>
      <c r="BF166" s="14">
        <f t="shared" si="167"/>
        <v>7.8374629847779921E-13</v>
      </c>
      <c r="BG166" s="22">
        <f t="shared" si="168"/>
        <v>1.4484243304663672E-12</v>
      </c>
      <c r="BH166" s="62">
        <f t="shared" si="116"/>
        <v>289.02425741369103</v>
      </c>
      <c r="BI166" s="62">
        <f ca="1">AVERAGE(OFFSET($BH$3,0,0,'Données projet'!$E$11+1,1))-AVERAGE(OFFSET($H$3,0,0,'Données projet'!$E$11+1,1))</f>
        <v>513.7388209355762</v>
      </c>
      <c r="BJ166" s="62">
        <f t="shared" si="146"/>
        <v>328.24603121433927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68.824797476460802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4.5474735088646412E-13</v>
      </c>
      <c r="BZ166" s="14">
        <f>BY166*VLOOKUP('Données projet'!$B$12,Paramètres!$A$1:$I$89,3,0)*VLOOKUP('Données projet'!$B$12,Paramètres!$A$1:$I$89,5,0)</f>
        <v>3.6179699236527089E-13</v>
      </c>
      <c r="CA166" s="14">
        <f t="shared" si="170"/>
        <v>4.6796319415916035E-12</v>
      </c>
      <c r="CB166" s="22">
        <f t="shared" si="171"/>
        <v>8.7804887266415556E-12</v>
      </c>
      <c r="CC166" s="62">
        <f t="shared" si="119"/>
        <v>289.02425741369836</v>
      </c>
      <c r="CD166" s="62">
        <f ca="1">AVERAGE(OFFSET($CC$3,0,0,'Données projet'!$E$12+1,1))-AVERAGE(OFFSET($H$3,0,0,'Données projet'!$E$12+1,1))</f>
        <v>447.25854887589878</v>
      </c>
      <c r="CE166" s="62">
        <f t="shared" si="148"/>
        <v>480.13390593590157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68.824797476460802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1.1368683772161603E-13</v>
      </c>
      <c r="CU166" s="18">
        <f>CT166*VLOOKUP('Données projet'!$B$13,Paramètres!$A$1:$I$89,3,0)*VLOOKUP('Données projet'!$B$13,Paramètres!$A$1:$I$89,5,0)</f>
        <v>8.8675733422860506E-14</v>
      </c>
      <c r="CV166" s="14">
        <f t="shared" si="173"/>
        <v>1.3509285393066301E-12</v>
      </c>
      <c r="CW166" s="22">
        <f t="shared" si="174"/>
        <v>2.5073107750038623E-12</v>
      </c>
      <c r="CX166" s="62">
        <f t="shared" si="122"/>
        <v>289.02425741369211</v>
      </c>
      <c r="CY166" s="62">
        <f ca="1">AVERAGE(OFFSET($CX$3,0,0,'Données projet'!$E$13+1,1))-AVERAGE(OFFSET($H$3,0,0,'Données projet'!$E$13+1,1))</f>
        <v>308.52515801950324</v>
      </c>
      <c r="CZ166" s="62">
        <f t="shared" si="150"/>
        <v>299.05420638408953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68.824797476460802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4.5474735088646412E-13</v>
      </c>
      <c r="DP166" s="18">
        <f>DO166*VLOOKUP('Données projet'!$B$14,Paramètres!$A$1:$I$89,3,0)*VLOOKUP('Données projet'!$B$14,Paramètres!$A$1:$I$89,5,0)</f>
        <v>3.3342075766995548E-13</v>
      </c>
      <c r="DQ166" s="14">
        <f t="shared" si="176"/>
        <v>4.3537988100583648E-12</v>
      </c>
      <c r="DR166" s="22">
        <f t="shared" si="177"/>
        <v>8.1635740804601579E-12</v>
      </c>
      <c r="DS166" s="62">
        <f t="shared" si="125"/>
        <v>289.0242574136978</v>
      </c>
      <c r="DT166" s="62">
        <f ca="1">AVERAGE(OFFSET($DS$3,0,0,'Données projet'!$E$14+1,1))-AVERAGE(OFFSET($H$3,0,0,'Données projet'!$E$14+1,1))</f>
        <v>416.72317068678774</v>
      </c>
      <c r="DU166" s="62">
        <f t="shared" si="152"/>
        <v>447.32457429495537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68.824797476460802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5.6843418860808015E-14</v>
      </c>
      <c r="EK166" s="18">
        <f>EJ166*VLOOKUP('Données projet'!$B$15,Paramètres!$A$1:$I$89,3,0)*VLOOKUP('Données projet'!$B$15,Paramètres!$A$1:$I$89,5,0)</f>
        <v>5.4092197387944907E-14</v>
      </c>
      <c r="EL166" s="14">
        <f t="shared" si="179"/>
        <v>8.7287050538073676E-13</v>
      </c>
      <c r="EM166" s="22">
        <f t="shared" si="180"/>
        <v>1.6144600406554537E-12</v>
      </c>
      <c r="EN166" s="62">
        <f t="shared" si="128"/>
        <v>289.0242574136912</v>
      </c>
      <c r="EO166" s="62">
        <f ca="1">AVERAGE(OFFSET($EN$3,0,0,'Données projet'!$E$15+1,1))-AVERAGE(OFFSET($H$3,0,0,'Données projet'!$E$15+1,1))</f>
        <v>454.78867027701426</v>
      </c>
      <c r="EP166" s="62">
        <f t="shared" si="154"/>
        <v>366.45346303927056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0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68.824797476460802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>
        <f>FE166*VLOOKUP('Données projet'!$B$16,Paramètres!$A$1:$I$89,3,0)*VLOOKUP('Données projet'!$B$16,Paramètres!$A$1:$I$89,5,0)</f>
        <v>0</v>
      </c>
      <c r="FG166" s="14" t="e">
        <f t="shared" si="182"/>
        <v>#NUM!</v>
      </c>
      <c r="FH166" s="22" t="e">
        <f t="shared" si="183"/>
        <v>#NUM!</v>
      </c>
      <c r="FI166" s="62" t="e">
        <f t="shared" si="131"/>
        <v>#NUM!</v>
      </c>
      <c r="FJ166" s="62">
        <f ca="1">AVERAGE(OFFSET($FI$3,0,0,'Données projet'!$E$16+1,1))-AVERAGE(OFFSET($H$3,0,0,'Données projet'!$E$16+1,1))</f>
        <v>390.05579539539576</v>
      </c>
      <c r="FK166" s="62">
        <f t="shared" si="156"/>
        <v>323.72278615226139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projet'!$B$16,Paramètres!$A$1:$I$89,3,0)*0.475*44/12</f>
        <v>0</v>
      </c>
      <c r="FR166" s="23">
        <f>EXP(-LN(2)/25)*FR165+(1-EXP(-LN(2)/25))/(LN(2)/25)*Calculateur!FM166*Calculateur!FO166*VLOOKUP('Données projet'!$B$16,Paramètres!$A$1:$I$89,3,0)*0.475*44/12</f>
        <v>0</v>
      </c>
      <c r="FS166" s="23">
        <f>EXP(-LN(2)/2)*FS165+(1-EXP(-LN(2)/2))/(LN(2)/2)*FM166*FP166*VLOOKUP('Données projet'!$B$16,Paramètres!$A$1:$I$89,3,0)*0.475*44/12</f>
        <v>0</v>
      </c>
      <c r="FT166" s="24">
        <f t="shared" si="184"/>
        <v>0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68.824797476460802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5.6843418860808015E-14</v>
      </c>
      <c r="GA166" s="18">
        <f>FZ166*VLOOKUP('Données projet'!$B$17,Paramètres!$A$1:$I$89,3,0)*VLOOKUP('Données projet'!$B$17,Paramètres!$A$1:$I$89,5,0)</f>
        <v>5.4978954722173515E-14</v>
      </c>
      <c r="GB166" s="14">
        <f t="shared" si="185"/>
        <v>8.8550225887742724E-13</v>
      </c>
      <c r="GC166" s="22">
        <f t="shared" si="186"/>
        <v>1.6380047803526383E-12</v>
      </c>
      <c r="GD166" s="62">
        <f t="shared" si="134"/>
        <v>289.02425741369126</v>
      </c>
      <c r="GE166" s="62">
        <f ca="1">AVERAGE(OFFSET($GD$3,0,0,'Données projet'!$E$17+1,1))-AVERAGE(OFFSET($H$3,0,0,'Données projet'!$E$17+1,1))</f>
        <v>578.44111602076555</v>
      </c>
      <c r="GF166" s="62">
        <f t="shared" si="158"/>
        <v>368.08542661432784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>
        <f>EXP(-LN(2)/35)*GL165+(1-EXP(-LN(2)/35))/(LN(2)/35)*GH166*GI166*VLOOKUP('Données projet'!$B$17,Paramètres!$A$1:$I$89,3,0)*0.475*44/12</f>
        <v>0</v>
      </c>
      <c r="GM166" s="23">
        <f>EXP(-LN(2)/25)*GM165+(1-EXP(-LN(2)/25))/(LN(2)/25)*Calculateur!GH166*Calculateur!GJ166*VLOOKUP('Données projet'!$B$17,Paramètres!$A$1:$I$89,3,0)*0.475*44/12</f>
        <v>0</v>
      </c>
      <c r="GN166" s="23">
        <f>EXP(-LN(2)/2)*GN165+(1-EXP(-LN(2)/2))/(LN(2)/2)*GH166*GK166*VLOOKUP('Données projet'!$B$17,Paramètres!$A$1:$I$89,3,0)*0.475*44/12</f>
        <v>0</v>
      </c>
      <c r="GO166" s="23">
        <f t="shared" si="187"/>
        <v>0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68.824797476460802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4.0735000000000001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14.936166666666667</v>
      </c>
      <c r="H167" s="70">
        <f t="shared" si="110"/>
        <v>196.922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68.845184612884964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5.1431925385259088E-14</v>
      </c>
      <c r="P167" s="14">
        <f t="shared" si="141"/>
        <v>8.3482866290946129E-13</v>
      </c>
      <c r="Q167" s="22">
        <f t="shared" si="162"/>
        <v>1.5435705246133045E-12</v>
      </c>
      <c r="R167" s="62">
        <f t="shared" si="109"/>
        <v>289.09901024724638</v>
      </c>
      <c r="S167" s="62">
        <f ca="1">AVERAGE(OFFSET($R$3,0,0,'Données projet'!$E$9+1,1))-AVERAGE(OFFSET($H$3,0,0,'Données projet'!$E$9+1,1))</f>
        <v>546.11281471711925</v>
      </c>
      <c r="T167" s="62">
        <f t="shared" si="142"/>
        <v>348.18069831447099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68.845184612884964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-1.2505552149377763E-12</v>
      </c>
      <c r="AJ167" s="14">
        <f>AI167*VLOOKUP('Données projet'!$B$10,Paramètres!$A$1:$I$89,3,0)*VLOOKUP('Données projet'!$B$10,Paramètres!$A$1:$I$89,5,0)</f>
        <v>-1.0729763744166122E-12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693.87994318348024</v>
      </c>
      <c r="AO167" s="62">
        <f t="shared" si="144"/>
        <v>327.71043739333641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68.845184612884964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5.6843418860808015E-14</v>
      </c>
      <c r="BE167" s="14">
        <f>BD167*VLOOKUP('Données projet'!$B$11,Paramètres!$A$1:$I$89,3,0)*VLOOKUP('Données projet'!$B$11,Paramètres!$A$1:$I$89,5,0)</f>
        <v>4.7884896048344674E-14</v>
      </c>
      <c r="BF167" s="14">
        <f t="shared" si="167"/>
        <v>7.8374629847779921E-13</v>
      </c>
      <c r="BG167" s="22">
        <f t="shared" si="168"/>
        <v>1.4484243304663672E-12</v>
      </c>
      <c r="BH167" s="62">
        <f t="shared" si="116"/>
        <v>289.09901024724627</v>
      </c>
      <c r="BI167" s="62">
        <f ca="1">AVERAGE(OFFSET($BH$3,0,0,'Données projet'!$E$11+1,1))-AVERAGE(OFFSET($H$3,0,0,'Données projet'!$E$11+1,1))</f>
        <v>513.7388209355762</v>
      </c>
      <c r="BJ167" s="62">
        <f t="shared" si="146"/>
        <v>328.24603121433927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68.845184612884964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4.5474735088646412E-13</v>
      </c>
      <c r="BZ167" s="14">
        <f>BY167*VLOOKUP('Données projet'!$B$12,Paramètres!$A$1:$I$89,3,0)*VLOOKUP('Données projet'!$B$12,Paramètres!$A$1:$I$89,5,0)</f>
        <v>3.6179699236527089E-13</v>
      </c>
      <c r="CA167" s="14">
        <f t="shared" si="170"/>
        <v>4.6796319415916035E-12</v>
      </c>
      <c r="CB167" s="22">
        <f t="shared" si="171"/>
        <v>8.7804887266415556E-12</v>
      </c>
      <c r="CC167" s="62">
        <f t="shared" si="119"/>
        <v>289.0990102472536</v>
      </c>
      <c r="CD167" s="62">
        <f ca="1">AVERAGE(OFFSET($CC$3,0,0,'Données projet'!$E$12+1,1))-AVERAGE(OFFSET($H$3,0,0,'Données projet'!$E$12+1,1))</f>
        <v>447.25854887589878</v>
      </c>
      <c r="CE167" s="62">
        <f t="shared" si="148"/>
        <v>480.13390593590157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68.845184612884964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1.1368683772161603E-13</v>
      </c>
      <c r="CU167" s="18">
        <f>CT167*VLOOKUP('Données projet'!$B$13,Paramètres!$A$1:$I$89,3,0)*VLOOKUP('Données projet'!$B$13,Paramètres!$A$1:$I$89,5,0)</f>
        <v>8.8675733422860506E-14</v>
      </c>
      <c r="CV167" s="14">
        <f t="shared" si="173"/>
        <v>1.3509285393066301E-12</v>
      </c>
      <c r="CW167" s="22">
        <f t="shared" si="174"/>
        <v>2.5073107750038623E-12</v>
      </c>
      <c r="CX167" s="62">
        <f t="shared" si="122"/>
        <v>289.09901024724735</v>
      </c>
      <c r="CY167" s="62">
        <f ca="1">AVERAGE(OFFSET($CX$3,0,0,'Données projet'!$E$13+1,1))-AVERAGE(OFFSET($H$3,0,0,'Données projet'!$E$13+1,1))</f>
        <v>308.52515801950324</v>
      </c>
      <c r="CZ167" s="62">
        <f t="shared" si="150"/>
        <v>299.05420638408953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68.845184612884964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4.5474735088646412E-13</v>
      </c>
      <c r="DP167" s="18">
        <f>DO167*VLOOKUP('Données projet'!$B$14,Paramètres!$A$1:$I$89,3,0)*VLOOKUP('Données projet'!$B$14,Paramètres!$A$1:$I$89,5,0)</f>
        <v>3.3342075766995548E-13</v>
      </c>
      <c r="DQ167" s="14">
        <f t="shared" si="176"/>
        <v>4.3537988100583648E-12</v>
      </c>
      <c r="DR167" s="22">
        <f t="shared" si="177"/>
        <v>8.1635740804601579E-12</v>
      </c>
      <c r="DS167" s="62">
        <f t="shared" si="125"/>
        <v>289.09901024725303</v>
      </c>
      <c r="DT167" s="62">
        <f ca="1">AVERAGE(OFFSET($DS$3,0,0,'Données projet'!$E$14+1,1))-AVERAGE(OFFSET($H$3,0,0,'Données projet'!$E$14+1,1))</f>
        <v>416.72317068678774</v>
      </c>
      <c r="DU167" s="62">
        <f t="shared" si="152"/>
        <v>447.32457429495537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68.845184612884964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5.6843418860808015E-14</v>
      </c>
      <c r="EK167" s="18">
        <f>EJ167*VLOOKUP('Données projet'!$B$15,Paramètres!$A$1:$I$89,3,0)*VLOOKUP('Données projet'!$B$15,Paramètres!$A$1:$I$89,5,0)</f>
        <v>5.4092197387944907E-14</v>
      </c>
      <c r="EL167" s="14">
        <f t="shared" si="179"/>
        <v>8.7287050538073676E-13</v>
      </c>
      <c r="EM167" s="22">
        <f t="shared" si="180"/>
        <v>1.6144600406554537E-12</v>
      </c>
      <c r="EN167" s="62">
        <f t="shared" si="128"/>
        <v>289.09901024724644</v>
      </c>
      <c r="EO167" s="62">
        <f ca="1">AVERAGE(OFFSET($EN$3,0,0,'Données projet'!$E$15+1,1))-AVERAGE(OFFSET($H$3,0,0,'Données projet'!$E$15+1,1))</f>
        <v>454.78867027701426</v>
      </c>
      <c r="EP167" s="62">
        <f t="shared" si="154"/>
        <v>366.45346303927056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0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68.845184612884964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>
        <f>FE167*VLOOKUP('Données projet'!$B$16,Paramètres!$A$1:$I$89,3,0)*VLOOKUP('Données projet'!$B$16,Paramètres!$A$1:$I$89,5,0)</f>
        <v>0</v>
      </c>
      <c r="FG167" s="14" t="e">
        <f t="shared" si="182"/>
        <v>#NUM!</v>
      </c>
      <c r="FH167" s="22" t="e">
        <f t="shared" si="183"/>
        <v>#NUM!</v>
      </c>
      <c r="FI167" s="62" t="e">
        <f t="shared" si="131"/>
        <v>#NUM!</v>
      </c>
      <c r="FJ167" s="62">
        <f ca="1">AVERAGE(OFFSET($FI$3,0,0,'Données projet'!$E$16+1,1))-AVERAGE(OFFSET($H$3,0,0,'Données projet'!$E$16+1,1))</f>
        <v>390.05579539539576</v>
      </c>
      <c r="FK167" s="62">
        <f t="shared" si="156"/>
        <v>323.72278615226139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projet'!$B$16,Paramètres!$A$1:$I$89,3,0)*0.475*44/12</f>
        <v>0</v>
      </c>
      <c r="FR167" s="23">
        <f>EXP(-LN(2)/25)*FR166+(1-EXP(-LN(2)/25))/(LN(2)/25)*Calculateur!FM167*Calculateur!FO167*VLOOKUP('Données projet'!$B$16,Paramètres!$A$1:$I$89,3,0)*0.475*44/12</f>
        <v>0</v>
      </c>
      <c r="FS167" s="23">
        <f>EXP(-LN(2)/2)*FS166+(1-EXP(-LN(2)/2))/(LN(2)/2)*FM167*FP167*VLOOKUP('Données projet'!$B$16,Paramètres!$A$1:$I$89,3,0)*0.475*44/12</f>
        <v>0</v>
      </c>
      <c r="FT167" s="24">
        <f t="shared" si="184"/>
        <v>0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68.845184612884964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5.6843418860808015E-14</v>
      </c>
      <c r="GA167" s="18">
        <f>FZ167*VLOOKUP('Données projet'!$B$17,Paramètres!$A$1:$I$89,3,0)*VLOOKUP('Données projet'!$B$17,Paramètres!$A$1:$I$89,5,0)</f>
        <v>5.4978954722173515E-14</v>
      </c>
      <c r="GB167" s="14">
        <f t="shared" si="185"/>
        <v>8.8550225887742724E-13</v>
      </c>
      <c r="GC167" s="22">
        <f t="shared" si="186"/>
        <v>1.6380047803526383E-12</v>
      </c>
      <c r="GD167" s="62">
        <f t="shared" si="134"/>
        <v>289.0990102472465</v>
      </c>
      <c r="GE167" s="62">
        <f ca="1">AVERAGE(OFFSET($GD$3,0,0,'Données projet'!$E$17+1,1))-AVERAGE(OFFSET($H$3,0,0,'Données projet'!$E$17+1,1))</f>
        <v>578.44111602076555</v>
      </c>
      <c r="GF167" s="62">
        <f t="shared" si="158"/>
        <v>368.08542661432784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>
        <f>EXP(-LN(2)/35)*GL166+(1-EXP(-LN(2)/35))/(LN(2)/35)*GH167*GI167*VLOOKUP('Données projet'!$B$17,Paramètres!$A$1:$I$89,3,0)*0.475*44/12</f>
        <v>0</v>
      </c>
      <c r="GM167" s="23">
        <f>EXP(-LN(2)/25)*GM166+(1-EXP(-LN(2)/25))/(LN(2)/25)*Calculateur!GH167*Calculateur!GJ167*VLOOKUP('Données projet'!$B$17,Paramètres!$A$1:$I$89,3,0)*0.475*44/12</f>
        <v>0</v>
      </c>
      <c r="GN167" s="23">
        <f>EXP(-LN(2)/2)*GN166+(1-EXP(-LN(2)/2))/(LN(2)/2)*GH167*GK167*VLOOKUP('Données projet'!$B$17,Paramètres!$A$1:$I$89,3,0)*0.475*44/12</f>
        <v>0</v>
      </c>
      <c r="GO167" s="23">
        <f t="shared" si="187"/>
        <v>0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68.845184612884964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4.0735000000000001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14.936166666666667</v>
      </c>
      <c r="H168" s="70">
        <f t="shared" si="110"/>
        <v>196.922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68.865218078070981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5.1431925385259088E-14</v>
      </c>
      <c r="P168" s="14">
        <f t="shared" si="141"/>
        <v>8.3482866290946129E-13</v>
      </c>
      <c r="Q168" s="22">
        <f t="shared" si="162"/>
        <v>1.5435705246133045E-12</v>
      </c>
      <c r="R168" s="62">
        <f t="shared" si="109"/>
        <v>289.17246628626179</v>
      </c>
      <c r="S168" s="62">
        <f ca="1">AVERAGE(OFFSET($R$3,0,0,'Données projet'!$E$9+1,1))-AVERAGE(OFFSET($H$3,0,0,'Données projet'!$E$9+1,1))</f>
        <v>546.11281471711925</v>
      </c>
      <c r="T168" s="62">
        <f t="shared" si="142"/>
        <v>348.18069831447099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68.865218078070981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-1.2505552149377763E-12</v>
      </c>
      <c r="AJ168" s="14">
        <f>AI168*VLOOKUP('Données projet'!$B$10,Paramètres!$A$1:$I$89,3,0)*VLOOKUP('Données projet'!$B$10,Paramètres!$A$1:$I$89,5,0)</f>
        <v>-1.0729763744166122E-12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693.87994318348024</v>
      </c>
      <c r="AO168" s="62">
        <f t="shared" si="144"/>
        <v>327.71043739333641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68.865218078070981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5.6843418860808015E-14</v>
      </c>
      <c r="BE168" s="14">
        <f>BD168*VLOOKUP('Données projet'!$B$11,Paramètres!$A$1:$I$89,3,0)*VLOOKUP('Données projet'!$B$11,Paramètres!$A$1:$I$89,5,0)</f>
        <v>4.7884896048344674E-14</v>
      </c>
      <c r="BF168" s="14">
        <f t="shared" si="167"/>
        <v>7.8374629847779921E-13</v>
      </c>
      <c r="BG168" s="22">
        <f t="shared" si="168"/>
        <v>1.4484243304663672E-12</v>
      </c>
      <c r="BH168" s="62">
        <f t="shared" si="116"/>
        <v>289.17246628626168</v>
      </c>
      <c r="BI168" s="62">
        <f ca="1">AVERAGE(OFFSET($BH$3,0,0,'Données projet'!$E$11+1,1))-AVERAGE(OFFSET($H$3,0,0,'Données projet'!$E$11+1,1))</f>
        <v>513.7388209355762</v>
      </c>
      <c r="BJ168" s="62">
        <f t="shared" si="146"/>
        <v>328.24603121433927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68.865218078070981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4.5474735088646412E-13</v>
      </c>
      <c r="BZ168" s="14">
        <f>BY168*VLOOKUP('Données projet'!$B$12,Paramètres!$A$1:$I$89,3,0)*VLOOKUP('Données projet'!$B$12,Paramètres!$A$1:$I$89,5,0)</f>
        <v>3.6179699236527089E-13</v>
      </c>
      <c r="CA168" s="14">
        <f t="shared" si="170"/>
        <v>4.6796319415916035E-12</v>
      </c>
      <c r="CB168" s="22">
        <f t="shared" si="171"/>
        <v>8.7804887266415556E-12</v>
      </c>
      <c r="CC168" s="62">
        <f t="shared" si="119"/>
        <v>289.17246628626901</v>
      </c>
      <c r="CD168" s="62">
        <f ca="1">AVERAGE(OFFSET($CC$3,0,0,'Données projet'!$E$12+1,1))-AVERAGE(OFFSET($H$3,0,0,'Données projet'!$E$12+1,1))</f>
        <v>447.25854887589878</v>
      </c>
      <c r="CE168" s="62">
        <f t="shared" si="148"/>
        <v>480.13390593590157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68.865218078070981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1.1368683772161603E-13</v>
      </c>
      <c r="CU168" s="18">
        <f>CT168*VLOOKUP('Données projet'!$B$13,Paramètres!$A$1:$I$89,3,0)*VLOOKUP('Données projet'!$B$13,Paramètres!$A$1:$I$89,5,0)</f>
        <v>8.8675733422860506E-14</v>
      </c>
      <c r="CV168" s="14">
        <f t="shared" si="173"/>
        <v>1.3509285393066301E-12</v>
      </c>
      <c r="CW168" s="22">
        <f t="shared" si="174"/>
        <v>2.5073107750038623E-12</v>
      </c>
      <c r="CX168" s="62">
        <f t="shared" si="122"/>
        <v>289.17246628626276</v>
      </c>
      <c r="CY168" s="62">
        <f ca="1">AVERAGE(OFFSET($CX$3,0,0,'Données projet'!$E$13+1,1))-AVERAGE(OFFSET($H$3,0,0,'Données projet'!$E$13+1,1))</f>
        <v>308.52515801950324</v>
      </c>
      <c r="CZ168" s="62">
        <f t="shared" si="150"/>
        <v>299.05420638408953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68.865218078070981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4.5474735088646412E-13</v>
      </c>
      <c r="DP168" s="18">
        <f>DO168*VLOOKUP('Données projet'!$B$14,Paramètres!$A$1:$I$89,3,0)*VLOOKUP('Données projet'!$B$14,Paramètres!$A$1:$I$89,5,0)</f>
        <v>3.3342075766995548E-13</v>
      </c>
      <c r="DQ168" s="14">
        <f t="shared" si="176"/>
        <v>4.3537988100583648E-12</v>
      </c>
      <c r="DR168" s="22">
        <f t="shared" si="177"/>
        <v>8.1635740804601579E-12</v>
      </c>
      <c r="DS168" s="62">
        <f t="shared" si="125"/>
        <v>289.17246628626845</v>
      </c>
      <c r="DT168" s="62">
        <f ca="1">AVERAGE(OFFSET($DS$3,0,0,'Données projet'!$E$14+1,1))-AVERAGE(OFFSET($H$3,0,0,'Données projet'!$E$14+1,1))</f>
        <v>416.72317068678774</v>
      </c>
      <c r="DU168" s="62">
        <f t="shared" si="152"/>
        <v>447.32457429495537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68.865218078070981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5.6843418860808015E-14</v>
      </c>
      <c r="EK168" s="18">
        <f>EJ168*VLOOKUP('Données projet'!$B$15,Paramètres!$A$1:$I$89,3,0)*VLOOKUP('Données projet'!$B$15,Paramètres!$A$1:$I$89,5,0)</f>
        <v>5.4092197387944907E-14</v>
      </c>
      <c r="EL168" s="14">
        <f t="shared" si="179"/>
        <v>8.7287050538073676E-13</v>
      </c>
      <c r="EM168" s="22">
        <f t="shared" si="180"/>
        <v>1.6144600406554537E-12</v>
      </c>
      <c r="EN168" s="62">
        <f t="shared" si="128"/>
        <v>289.17246628626185</v>
      </c>
      <c r="EO168" s="62">
        <f ca="1">AVERAGE(OFFSET($EN$3,0,0,'Données projet'!$E$15+1,1))-AVERAGE(OFFSET($H$3,0,0,'Données projet'!$E$15+1,1))</f>
        <v>454.78867027701426</v>
      </c>
      <c r="EP168" s="62">
        <f t="shared" si="154"/>
        <v>366.45346303927056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0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68.865218078070981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>
        <f>FE168*VLOOKUP('Données projet'!$B$16,Paramètres!$A$1:$I$89,3,0)*VLOOKUP('Données projet'!$B$16,Paramètres!$A$1:$I$89,5,0)</f>
        <v>0</v>
      </c>
      <c r="FG168" s="14" t="e">
        <f t="shared" si="182"/>
        <v>#NUM!</v>
      </c>
      <c r="FH168" s="22" t="e">
        <f t="shared" si="183"/>
        <v>#NUM!</v>
      </c>
      <c r="FI168" s="62" t="e">
        <f t="shared" si="131"/>
        <v>#NUM!</v>
      </c>
      <c r="FJ168" s="62">
        <f ca="1">AVERAGE(OFFSET($FI$3,0,0,'Données projet'!$E$16+1,1))-AVERAGE(OFFSET($H$3,0,0,'Données projet'!$E$16+1,1))</f>
        <v>390.05579539539576</v>
      </c>
      <c r="FK168" s="62">
        <f t="shared" si="156"/>
        <v>323.72278615226139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projet'!$B$16,Paramètres!$A$1:$I$89,3,0)*0.475*44/12</f>
        <v>0</v>
      </c>
      <c r="FR168" s="23">
        <f>EXP(-LN(2)/25)*FR167+(1-EXP(-LN(2)/25))/(LN(2)/25)*Calculateur!FM168*Calculateur!FO168*VLOOKUP('Données projet'!$B$16,Paramètres!$A$1:$I$89,3,0)*0.475*44/12</f>
        <v>0</v>
      </c>
      <c r="FS168" s="23">
        <f>EXP(-LN(2)/2)*FS167+(1-EXP(-LN(2)/2))/(LN(2)/2)*FM168*FP168*VLOOKUP('Données projet'!$B$16,Paramètres!$A$1:$I$89,3,0)*0.475*44/12</f>
        <v>0</v>
      </c>
      <c r="FT168" s="24">
        <f t="shared" si="184"/>
        <v>0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68.865218078070981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5.6843418860808015E-14</v>
      </c>
      <c r="GA168" s="18">
        <f>FZ168*VLOOKUP('Données projet'!$B$17,Paramètres!$A$1:$I$89,3,0)*VLOOKUP('Données projet'!$B$17,Paramètres!$A$1:$I$89,5,0)</f>
        <v>5.4978954722173515E-14</v>
      </c>
      <c r="GB168" s="14">
        <f t="shared" si="185"/>
        <v>8.8550225887742724E-13</v>
      </c>
      <c r="GC168" s="22">
        <f t="shared" si="186"/>
        <v>1.6380047803526383E-12</v>
      </c>
      <c r="GD168" s="62">
        <f t="shared" si="134"/>
        <v>289.17246628626191</v>
      </c>
      <c r="GE168" s="62">
        <f ca="1">AVERAGE(OFFSET($GD$3,0,0,'Données projet'!$E$17+1,1))-AVERAGE(OFFSET($H$3,0,0,'Données projet'!$E$17+1,1))</f>
        <v>578.44111602076555</v>
      </c>
      <c r="GF168" s="62">
        <f t="shared" si="158"/>
        <v>368.08542661432784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>
        <f>EXP(-LN(2)/35)*GL167+(1-EXP(-LN(2)/35))/(LN(2)/35)*GH168*GI168*VLOOKUP('Données projet'!$B$17,Paramètres!$A$1:$I$89,3,0)*0.475*44/12</f>
        <v>0</v>
      </c>
      <c r="GM168" s="23">
        <f>EXP(-LN(2)/25)*GM167+(1-EXP(-LN(2)/25))/(LN(2)/25)*Calculateur!GH168*Calculateur!GJ168*VLOOKUP('Données projet'!$B$17,Paramètres!$A$1:$I$89,3,0)*0.475*44/12</f>
        <v>0</v>
      </c>
      <c r="GN168" s="23">
        <f>EXP(-LN(2)/2)*GN167+(1-EXP(-LN(2)/2))/(LN(2)/2)*GH168*GK168*VLOOKUP('Données projet'!$B$17,Paramètres!$A$1:$I$89,3,0)*0.475*44/12</f>
        <v>0</v>
      </c>
      <c r="GO168" s="23">
        <f t="shared" si="187"/>
        <v>0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68.865218078070981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4.0735000000000001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14.936166666666667</v>
      </c>
      <c r="H169" s="70">
        <f t="shared" si="110"/>
        <v>196.922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68.88490400742414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5.1431925385259088E-14</v>
      </c>
      <c r="P169" s="14">
        <f t="shared" si="141"/>
        <v>8.3482866290946129E-13</v>
      </c>
      <c r="Q169" s="22">
        <f t="shared" si="162"/>
        <v>1.5435705246133045E-12</v>
      </c>
      <c r="R169" s="62">
        <f t="shared" si="109"/>
        <v>289.24464802722338</v>
      </c>
      <c r="S169" s="62">
        <f ca="1">AVERAGE(OFFSET($R$3,0,0,'Données projet'!$E$9+1,1))-AVERAGE(OFFSET($H$3,0,0,'Données projet'!$E$9+1,1))</f>
        <v>546.11281471711925</v>
      </c>
      <c r="T169" s="62">
        <f t="shared" si="142"/>
        <v>348.18069831447099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68.88490400742414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-1.2505552149377763E-12</v>
      </c>
      <c r="AJ169" s="14">
        <f>AI169*VLOOKUP('Données projet'!$B$10,Paramètres!$A$1:$I$89,3,0)*VLOOKUP('Données projet'!$B$10,Paramètres!$A$1:$I$89,5,0)</f>
        <v>-1.0729763744166122E-12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693.87994318348024</v>
      </c>
      <c r="AO169" s="62">
        <f t="shared" si="144"/>
        <v>327.71043739333641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68.88490400742414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5.6843418860808015E-14</v>
      </c>
      <c r="BE169" s="14">
        <f>BD169*VLOOKUP('Données projet'!$B$11,Paramètres!$A$1:$I$89,3,0)*VLOOKUP('Données projet'!$B$11,Paramètres!$A$1:$I$89,5,0)</f>
        <v>4.7884896048344674E-14</v>
      </c>
      <c r="BF169" s="14">
        <f t="shared" si="167"/>
        <v>7.8374629847779921E-13</v>
      </c>
      <c r="BG169" s="22">
        <f t="shared" si="168"/>
        <v>1.4484243304663672E-12</v>
      </c>
      <c r="BH169" s="62">
        <f t="shared" si="116"/>
        <v>289.24464802722326</v>
      </c>
      <c r="BI169" s="62">
        <f ca="1">AVERAGE(OFFSET($BH$3,0,0,'Données projet'!$E$11+1,1))-AVERAGE(OFFSET($H$3,0,0,'Données projet'!$E$11+1,1))</f>
        <v>513.7388209355762</v>
      </c>
      <c r="BJ169" s="62">
        <f t="shared" si="146"/>
        <v>328.24603121433927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68.88490400742414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4.5474735088646412E-13</v>
      </c>
      <c r="BZ169" s="14">
        <f>BY169*VLOOKUP('Données projet'!$B$12,Paramètres!$A$1:$I$89,3,0)*VLOOKUP('Données projet'!$B$12,Paramètres!$A$1:$I$89,5,0)</f>
        <v>3.6179699236527089E-13</v>
      </c>
      <c r="CA169" s="14">
        <f t="shared" si="170"/>
        <v>4.6796319415916035E-12</v>
      </c>
      <c r="CB169" s="22">
        <f t="shared" si="171"/>
        <v>8.7804887266415556E-12</v>
      </c>
      <c r="CC169" s="62">
        <f t="shared" si="119"/>
        <v>289.2446480272306</v>
      </c>
      <c r="CD169" s="62">
        <f ca="1">AVERAGE(OFFSET($CC$3,0,0,'Données projet'!$E$12+1,1))-AVERAGE(OFFSET($H$3,0,0,'Données projet'!$E$12+1,1))</f>
        <v>447.25854887589878</v>
      </c>
      <c r="CE169" s="62">
        <f t="shared" si="148"/>
        <v>480.13390593590157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68.88490400742414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1.1368683772161603E-13</v>
      </c>
      <c r="CU169" s="18">
        <f>CT169*VLOOKUP('Données projet'!$B$13,Paramètres!$A$1:$I$89,3,0)*VLOOKUP('Données projet'!$B$13,Paramètres!$A$1:$I$89,5,0)</f>
        <v>8.8675733422860506E-14</v>
      </c>
      <c r="CV169" s="14">
        <f t="shared" si="173"/>
        <v>1.3509285393066301E-12</v>
      </c>
      <c r="CW169" s="22">
        <f t="shared" si="174"/>
        <v>2.5073107750038623E-12</v>
      </c>
      <c r="CX169" s="62">
        <f t="shared" si="122"/>
        <v>289.24464802722434</v>
      </c>
      <c r="CY169" s="62">
        <f ca="1">AVERAGE(OFFSET($CX$3,0,0,'Données projet'!$E$13+1,1))-AVERAGE(OFFSET($H$3,0,0,'Données projet'!$E$13+1,1))</f>
        <v>308.52515801950324</v>
      </c>
      <c r="CZ169" s="62">
        <f t="shared" si="150"/>
        <v>299.05420638408953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68.88490400742414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4.5474735088646412E-13</v>
      </c>
      <c r="DP169" s="18">
        <f>DO169*VLOOKUP('Données projet'!$B$14,Paramètres!$A$1:$I$89,3,0)*VLOOKUP('Données projet'!$B$14,Paramètres!$A$1:$I$89,5,0)</f>
        <v>3.3342075766995548E-13</v>
      </c>
      <c r="DQ169" s="14">
        <f t="shared" si="176"/>
        <v>4.3537988100583648E-12</v>
      </c>
      <c r="DR169" s="22">
        <f t="shared" si="177"/>
        <v>8.1635740804601579E-12</v>
      </c>
      <c r="DS169" s="62">
        <f t="shared" si="125"/>
        <v>289.24464802723003</v>
      </c>
      <c r="DT169" s="62">
        <f ca="1">AVERAGE(OFFSET($DS$3,0,0,'Données projet'!$E$14+1,1))-AVERAGE(OFFSET($H$3,0,0,'Données projet'!$E$14+1,1))</f>
        <v>416.72317068678774</v>
      </c>
      <c r="DU169" s="62">
        <f t="shared" si="152"/>
        <v>447.32457429495537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68.88490400742414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5.6843418860808015E-14</v>
      </c>
      <c r="EK169" s="18">
        <f>EJ169*VLOOKUP('Données projet'!$B$15,Paramètres!$A$1:$I$89,3,0)*VLOOKUP('Données projet'!$B$15,Paramètres!$A$1:$I$89,5,0)</f>
        <v>5.4092197387944907E-14</v>
      </c>
      <c r="EL169" s="14">
        <f t="shared" si="179"/>
        <v>8.7287050538073676E-13</v>
      </c>
      <c r="EM169" s="22">
        <f t="shared" si="180"/>
        <v>1.6144600406554537E-12</v>
      </c>
      <c r="EN169" s="62">
        <f t="shared" si="128"/>
        <v>289.24464802722343</v>
      </c>
      <c r="EO169" s="62">
        <f ca="1">AVERAGE(OFFSET($EN$3,0,0,'Données projet'!$E$15+1,1))-AVERAGE(OFFSET($H$3,0,0,'Données projet'!$E$15+1,1))</f>
        <v>454.78867027701426</v>
      </c>
      <c r="EP169" s="62">
        <f t="shared" si="154"/>
        <v>366.45346303927056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0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68.88490400742414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>
        <f>FE169*VLOOKUP('Données projet'!$B$16,Paramètres!$A$1:$I$89,3,0)*VLOOKUP('Données projet'!$B$16,Paramètres!$A$1:$I$89,5,0)</f>
        <v>0</v>
      </c>
      <c r="FG169" s="14" t="e">
        <f t="shared" si="182"/>
        <v>#NUM!</v>
      </c>
      <c r="FH169" s="22" t="e">
        <f t="shared" si="183"/>
        <v>#NUM!</v>
      </c>
      <c r="FI169" s="62" t="e">
        <f t="shared" si="131"/>
        <v>#NUM!</v>
      </c>
      <c r="FJ169" s="62">
        <f ca="1">AVERAGE(OFFSET($FI$3,0,0,'Données projet'!$E$16+1,1))-AVERAGE(OFFSET($H$3,0,0,'Données projet'!$E$16+1,1))</f>
        <v>390.05579539539576</v>
      </c>
      <c r="FK169" s="62">
        <f t="shared" si="156"/>
        <v>323.72278615226139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projet'!$B$16,Paramètres!$A$1:$I$89,3,0)*0.475*44/12</f>
        <v>0</v>
      </c>
      <c r="FR169" s="23">
        <f>EXP(-LN(2)/25)*FR168+(1-EXP(-LN(2)/25))/(LN(2)/25)*Calculateur!FM169*Calculateur!FO169*VLOOKUP('Données projet'!$B$16,Paramètres!$A$1:$I$89,3,0)*0.475*44/12</f>
        <v>0</v>
      </c>
      <c r="FS169" s="23">
        <f>EXP(-LN(2)/2)*FS168+(1-EXP(-LN(2)/2))/(LN(2)/2)*FM169*FP169*VLOOKUP('Données projet'!$B$16,Paramètres!$A$1:$I$89,3,0)*0.475*44/12</f>
        <v>0</v>
      </c>
      <c r="FT169" s="24">
        <f t="shared" si="184"/>
        <v>0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68.88490400742414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5.6843418860808015E-14</v>
      </c>
      <c r="GA169" s="18">
        <f>FZ169*VLOOKUP('Données projet'!$B$17,Paramètres!$A$1:$I$89,3,0)*VLOOKUP('Données projet'!$B$17,Paramètres!$A$1:$I$89,5,0)</f>
        <v>5.4978954722173515E-14</v>
      </c>
      <c r="GB169" s="14">
        <f t="shared" si="185"/>
        <v>8.8550225887742724E-13</v>
      </c>
      <c r="GC169" s="22">
        <f t="shared" si="186"/>
        <v>1.6380047803526383E-12</v>
      </c>
      <c r="GD169" s="62">
        <f t="shared" si="134"/>
        <v>289.24464802722349</v>
      </c>
      <c r="GE169" s="62">
        <f ca="1">AVERAGE(OFFSET($GD$3,0,0,'Données projet'!$E$17+1,1))-AVERAGE(OFFSET($H$3,0,0,'Données projet'!$E$17+1,1))</f>
        <v>578.44111602076555</v>
      </c>
      <c r="GF169" s="62">
        <f t="shared" si="158"/>
        <v>368.08542661432784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>
        <f>EXP(-LN(2)/35)*GL168+(1-EXP(-LN(2)/35))/(LN(2)/35)*GH169*GI169*VLOOKUP('Données projet'!$B$17,Paramètres!$A$1:$I$89,3,0)*0.475*44/12</f>
        <v>0</v>
      </c>
      <c r="GM169" s="23">
        <f>EXP(-LN(2)/25)*GM168+(1-EXP(-LN(2)/25))/(LN(2)/25)*Calculateur!GH169*Calculateur!GJ169*VLOOKUP('Données projet'!$B$17,Paramètres!$A$1:$I$89,3,0)*0.475*44/12</f>
        <v>0</v>
      </c>
      <c r="GN169" s="23">
        <f>EXP(-LN(2)/2)*GN168+(1-EXP(-LN(2)/2))/(LN(2)/2)*GH169*GK169*VLOOKUP('Données projet'!$B$17,Paramètres!$A$1:$I$89,3,0)*0.475*44/12</f>
        <v>0</v>
      </c>
      <c r="GO169" s="23">
        <f t="shared" si="187"/>
        <v>0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68.88490400742414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4.0735000000000001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14.936166666666667</v>
      </c>
      <c r="H170" s="70">
        <f t="shared" si="110"/>
        <v>196.922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68.904248429914176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5.1431925385259088E-14</v>
      </c>
      <c r="P170" s="14">
        <f t="shared" si="141"/>
        <v>8.3482866290946129E-13</v>
      </c>
      <c r="Q170" s="22">
        <f t="shared" si="162"/>
        <v>1.5435705246133045E-12</v>
      </c>
      <c r="R170" s="62">
        <f t="shared" si="109"/>
        <v>289.31557757635352</v>
      </c>
      <c r="S170" s="62">
        <f ca="1">AVERAGE(OFFSET($R$3,0,0,'Données projet'!$E$9+1,1))-AVERAGE(OFFSET($H$3,0,0,'Données projet'!$E$9+1,1))</f>
        <v>546.11281471711925</v>
      </c>
      <c r="T170" s="62">
        <f t="shared" si="142"/>
        <v>348.18069831447099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68.904248429914176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-1.2505552149377763E-12</v>
      </c>
      <c r="AJ170" s="14">
        <f>AI170*VLOOKUP('Données projet'!$B$10,Paramètres!$A$1:$I$89,3,0)*VLOOKUP('Données projet'!$B$10,Paramètres!$A$1:$I$89,5,0)</f>
        <v>-1.0729763744166122E-12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693.87994318348024</v>
      </c>
      <c r="AO170" s="62">
        <f t="shared" si="144"/>
        <v>327.71043739333641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68.904248429914176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5.6843418860808015E-14</v>
      </c>
      <c r="BE170" s="14">
        <f>BD170*VLOOKUP('Données projet'!$B$11,Paramètres!$A$1:$I$89,3,0)*VLOOKUP('Données projet'!$B$11,Paramètres!$A$1:$I$89,5,0)</f>
        <v>4.7884896048344674E-14</v>
      </c>
      <c r="BF170" s="14">
        <f t="shared" si="167"/>
        <v>7.8374629847779921E-13</v>
      </c>
      <c r="BG170" s="22">
        <f t="shared" si="168"/>
        <v>1.4484243304663672E-12</v>
      </c>
      <c r="BH170" s="62">
        <f t="shared" si="116"/>
        <v>289.31557757635341</v>
      </c>
      <c r="BI170" s="62">
        <f ca="1">AVERAGE(OFFSET($BH$3,0,0,'Données projet'!$E$11+1,1))-AVERAGE(OFFSET($H$3,0,0,'Données projet'!$E$11+1,1))</f>
        <v>513.7388209355762</v>
      </c>
      <c r="BJ170" s="62">
        <f t="shared" si="146"/>
        <v>328.24603121433927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68.904248429914176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4.5474735088646412E-13</v>
      </c>
      <c r="BZ170" s="14">
        <f>BY170*VLOOKUP('Données projet'!$B$12,Paramètres!$A$1:$I$89,3,0)*VLOOKUP('Données projet'!$B$12,Paramètres!$A$1:$I$89,5,0)</f>
        <v>3.6179699236527089E-13</v>
      </c>
      <c r="CA170" s="14">
        <f t="shared" si="170"/>
        <v>4.6796319415916035E-12</v>
      </c>
      <c r="CB170" s="22">
        <f t="shared" si="171"/>
        <v>8.7804887266415556E-12</v>
      </c>
      <c r="CC170" s="62">
        <f t="shared" si="119"/>
        <v>289.31557757636074</v>
      </c>
      <c r="CD170" s="62">
        <f ca="1">AVERAGE(OFFSET($CC$3,0,0,'Données projet'!$E$12+1,1))-AVERAGE(OFFSET($H$3,0,0,'Données projet'!$E$12+1,1))</f>
        <v>447.25854887589878</v>
      </c>
      <c r="CE170" s="62">
        <f t="shared" si="148"/>
        <v>480.13390593590157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68.904248429914176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1.1368683772161603E-13</v>
      </c>
      <c r="CU170" s="18">
        <f>CT170*VLOOKUP('Données projet'!$B$13,Paramètres!$A$1:$I$89,3,0)*VLOOKUP('Données projet'!$B$13,Paramètres!$A$1:$I$89,5,0)</f>
        <v>8.8675733422860506E-14</v>
      </c>
      <c r="CV170" s="14">
        <f t="shared" si="173"/>
        <v>1.3509285393066301E-12</v>
      </c>
      <c r="CW170" s="22">
        <f t="shared" si="174"/>
        <v>2.5073107750038623E-12</v>
      </c>
      <c r="CX170" s="62">
        <f t="shared" si="122"/>
        <v>289.31557757635449</v>
      </c>
      <c r="CY170" s="62">
        <f ca="1">AVERAGE(OFFSET($CX$3,0,0,'Données projet'!$E$13+1,1))-AVERAGE(OFFSET($H$3,0,0,'Données projet'!$E$13+1,1))</f>
        <v>308.52515801950324</v>
      </c>
      <c r="CZ170" s="62">
        <f t="shared" si="150"/>
        <v>299.05420638408953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68.904248429914176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4.5474735088646412E-13</v>
      </c>
      <c r="DP170" s="18">
        <f>DO170*VLOOKUP('Données projet'!$B$14,Paramètres!$A$1:$I$89,3,0)*VLOOKUP('Données projet'!$B$14,Paramètres!$A$1:$I$89,5,0)</f>
        <v>3.3342075766995548E-13</v>
      </c>
      <c r="DQ170" s="14">
        <f t="shared" si="176"/>
        <v>4.3537988100583648E-12</v>
      </c>
      <c r="DR170" s="22">
        <f t="shared" si="177"/>
        <v>8.1635740804601579E-12</v>
      </c>
      <c r="DS170" s="62">
        <f t="shared" si="125"/>
        <v>289.31557757636017</v>
      </c>
      <c r="DT170" s="62">
        <f ca="1">AVERAGE(OFFSET($DS$3,0,0,'Données projet'!$E$14+1,1))-AVERAGE(OFFSET($H$3,0,0,'Données projet'!$E$14+1,1))</f>
        <v>416.72317068678774</v>
      </c>
      <c r="DU170" s="62">
        <f t="shared" si="152"/>
        <v>447.32457429495537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68.904248429914176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5.6843418860808015E-14</v>
      </c>
      <c r="EK170" s="18">
        <f>EJ170*VLOOKUP('Données projet'!$B$15,Paramètres!$A$1:$I$89,3,0)*VLOOKUP('Données projet'!$B$15,Paramètres!$A$1:$I$89,5,0)</f>
        <v>5.4092197387944907E-14</v>
      </c>
      <c r="EL170" s="14">
        <f t="shared" si="179"/>
        <v>8.7287050538073676E-13</v>
      </c>
      <c r="EM170" s="22">
        <f t="shared" si="180"/>
        <v>1.6144600406554537E-12</v>
      </c>
      <c r="EN170" s="62">
        <f t="shared" si="128"/>
        <v>289.31557757635358</v>
      </c>
      <c r="EO170" s="62">
        <f ca="1">AVERAGE(OFFSET($EN$3,0,0,'Données projet'!$E$15+1,1))-AVERAGE(OFFSET($H$3,0,0,'Données projet'!$E$15+1,1))</f>
        <v>454.78867027701426</v>
      </c>
      <c r="EP170" s="62">
        <f t="shared" si="154"/>
        <v>366.45346303927056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0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68.904248429914176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>
        <f>FE170*VLOOKUP('Données projet'!$B$16,Paramètres!$A$1:$I$89,3,0)*VLOOKUP('Données projet'!$B$16,Paramètres!$A$1:$I$89,5,0)</f>
        <v>0</v>
      </c>
      <c r="FG170" s="14" t="e">
        <f t="shared" si="182"/>
        <v>#NUM!</v>
      </c>
      <c r="FH170" s="22" t="e">
        <f t="shared" si="183"/>
        <v>#NUM!</v>
      </c>
      <c r="FI170" s="62" t="e">
        <f t="shared" si="131"/>
        <v>#NUM!</v>
      </c>
      <c r="FJ170" s="62">
        <f ca="1">AVERAGE(OFFSET($FI$3,0,0,'Données projet'!$E$16+1,1))-AVERAGE(OFFSET($H$3,0,0,'Données projet'!$E$16+1,1))</f>
        <v>390.05579539539576</v>
      </c>
      <c r="FK170" s="62">
        <f t="shared" si="156"/>
        <v>323.72278615226139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projet'!$B$16,Paramètres!$A$1:$I$89,3,0)*0.475*44/12</f>
        <v>0</v>
      </c>
      <c r="FR170" s="23">
        <f>EXP(-LN(2)/25)*FR169+(1-EXP(-LN(2)/25))/(LN(2)/25)*Calculateur!FM170*Calculateur!FO170*VLOOKUP('Données projet'!$B$16,Paramètres!$A$1:$I$89,3,0)*0.475*44/12</f>
        <v>0</v>
      </c>
      <c r="FS170" s="23">
        <f>EXP(-LN(2)/2)*FS169+(1-EXP(-LN(2)/2))/(LN(2)/2)*FM170*FP170*VLOOKUP('Données projet'!$B$16,Paramètres!$A$1:$I$89,3,0)*0.475*44/12</f>
        <v>0</v>
      </c>
      <c r="FT170" s="24">
        <f t="shared" si="184"/>
        <v>0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68.904248429914176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5.6843418860808015E-14</v>
      </c>
      <c r="GA170" s="18">
        <f>FZ170*VLOOKUP('Données projet'!$B$17,Paramètres!$A$1:$I$89,3,0)*VLOOKUP('Données projet'!$B$17,Paramètres!$A$1:$I$89,5,0)</f>
        <v>5.4978954722173515E-14</v>
      </c>
      <c r="GB170" s="14">
        <f t="shared" si="185"/>
        <v>8.8550225887742724E-13</v>
      </c>
      <c r="GC170" s="22">
        <f t="shared" si="186"/>
        <v>1.6380047803526383E-12</v>
      </c>
      <c r="GD170" s="62">
        <f t="shared" si="134"/>
        <v>289.31557757635363</v>
      </c>
      <c r="GE170" s="62">
        <f ca="1">AVERAGE(OFFSET($GD$3,0,0,'Données projet'!$E$17+1,1))-AVERAGE(OFFSET($H$3,0,0,'Données projet'!$E$17+1,1))</f>
        <v>578.44111602076555</v>
      </c>
      <c r="GF170" s="62">
        <f t="shared" si="158"/>
        <v>368.08542661432784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>
        <f>EXP(-LN(2)/35)*GL169+(1-EXP(-LN(2)/35))/(LN(2)/35)*GH170*GI170*VLOOKUP('Données projet'!$B$17,Paramètres!$A$1:$I$89,3,0)*0.475*44/12</f>
        <v>0</v>
      </c>
      <c r="GM170" s="23">
        <f>EXP(-LN(2)/25)*GM169+(1-EXP(-LN(2)/25))/(LN(2)/25)*Calculateur!GH170*Calculateur!GJ170*VLOOKUP('Données projet'!$B$17,Paramètres!$A$1:$I$89,3,0)*0.475*44/12</f>
        <v>0</v>
      </c>
      <c r="GN170" s="23">
        <f>EXP(-LN(2)/2)*GN169+(1-EXP(-LN(2)/2))/(LN(2)/2)*GH170*GK170*VLOOKUP('Données projet'!$B$17,Paramètres!$A$1:$I$89,3,0)*0.475*44/12</f>
        <v>0</v>
      </c>
      <c r="GO170" s="23">
        <f t="shared" si="187"/>
        <v>0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68.904248429914176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4.0735000000000001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14.936166666666667</v>
      </c>
      <c r="H171" s="70">
        <f t="shared" si="110"/>
        <v>196.922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68.923257269921649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5.1431925385259088E-14</v>
      </c>
      <c r="P171" s="14">
        <f t="shared" si="141"/>
        <v>8.3482866290946129E-13</v>
      </c>
      <c r="Q171" s="22">
        <f t="shared" si="162"/>
        <v>1.5435705246133045E-12</v>
      </c>
      <c r="R171" s="62">
        <f t="shared" si="109"/>
        <v>289.38527665638094</v>
      </c>
      <c r="S171" s="62">
        <f ca="1">AVERAGE(OFFSET($R$3,0,0,'Données projet'!$E$9+1,1))-AVERAGE(OFFSET($H$3,0,0,'Données projet'!$E$9+1,1))</f>
        <v>546.11281471711925</v>
      </c>
      <c r="T171" s="62">
        <f t="shared" si="142"/>
        <v>348.18069831447099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68.923257269921649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-1.2505552149377763E-12</v>
      </c>
      <c r="AJ171" s="14">
        <f>AI171*VLOOKUP('Données projet'!$B$10,Paramètres!$A$1:$I$89,3,0)*VLOOKUP('Données projet'!$B$10,Paramètres!$A$1:$I$89,5,0)</f>
        <v>-1.0729763744166122E-12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693.87994318348024</v>
      </c>
      <c r="AO171" s="62">
        <f t="shared" si="144"/>
        <v>327.71043739333641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68.923257269921649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5.6843418860808015E-14</v>
      </c>
      <c r="BE171" s="14">
        <f>BD171*VLOOKUP('Données projet'!$B$11,Paramètres!$A$1:$I$89,3,0)*VLOOKUP('Données projet'!$B$11,Paramètres!$A$1:$I$89,5,0)</f>
        <v>4.7884896048344674E-14</v>
      </c>
      <c r="BF171" s="14">
        <f t="shared" si="167"/>
        <v>7.8374629847779921E-13</v>
      </c>
      <c r="BG171" s="22">
        <f t="shared" si="168"/>
        <v>1.4484243304663672E-12</v>
      </c>
      <c r="BH171" s="62">
        <f t="shared" si="116"/>
        <v>289.38527665638082</v>
      </c>
      <c r="BI171" s="62">
        <f ca="1">AVERAGE(OFFSET($BH$3,0,0,'Données projet'!$E$11+1,1))-AVERAGE(OFFSET($H$3,0,0,'Données projet'!$E$11+1,1))</f>
        <v>513.7388209355762</v>
      </c>
      <c r="BJ171" s="62">
        <f t="shared" si="146"/>
        <v>328.24603121433927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68.923257269921649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4.5474735088646412E-13</v>
      </c>
      <c r="BZ171" s="14">
        <f>BY171*VLOOKUP('Données projet'!$B$12,Paramètres!$A$1:$I$89,3,0)*VLOOKUP('Données projet'!$B$12,Paramètres!$A$1:$I$89,5,0)</f>
        <v>3.6179699236527089E-13</v>
      </c>
      <c r="CA171" s="14">
        <f t="shared" si="170"/>
        <v>4.6796319415916035E-12</v>
      </c>
      <c r="CB171" s="22">
        <f t="shared" si="171"/>
        <v>8.7804887266415556E-12</v>
      </c>
      <c r="CC171" s="62">
        <f t="shared" si="119"/>
        <v>289.38527665638816</v>
      </c>
      <c r="CD171" s="62">
        <f ca="1">AVERAGE(OFFSET($CC$3,0,0,'Données projet'!$E$12+1,1))-AVERAGE(OFFSET($H$3,0,0,'Données projet'!$E$12+1,1))</f>
        <v>447.25854887589878</v>
      </c>
      <c r="CE171" s="62">
        <f t="shared" si="148"/>
        <v>480.13390593590157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68.923257269921649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1.1368683772161603E-13</v>
      </c>
      <c r="CU171" s="18">
        <f>CT171*VLOOKUP('Données projet'!$B$13,Paramètres!$A$1:$I$89,3,0)*VLOOKUP('Données projet'!$B$13,Paramètres!$A$1:$I$89,5,0)</f>
        <v>8.8675733422860506E-14</v>
      </c>
      <c r="CV171" s="14">
        <f t="shared" si="173"/>
        <v>1.3509285393066301E-12</v>
      </c>
      <c r="CW171" s="22">
        <f t="shared" si="174"/>
        <v>2.5073107750038623E-12</v>
      </c>
      <c r="CX171" s="62">
        <f t="shared" si="122"/>
        <v>289.3852766563819</v>
      </c>
      <c r="CY171" s="62">
        <f ca="1">AVERAGE(OFFSET($CX$3,0,0,'Données projet'!$E$13+1,1))-AVERAGE(OFFSET($H$3,0,0,'Données projet'!$E$13+1,1))</f>
        <v>308.52515801950324</v>
      </c>
      <c r="CZ171" s="62">
        <f t="shared" si="150"/>
        <v>299.05420638408953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68.923257269921649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4.5474735088646412E-13</v>
      </c>
      <c r="DP171" s="18">
        <f>DO171*VLOOKUP('Données projet'!$B$14,Paramètres!$A$1:$I$89,3,0)*VLOOKUP('Données projet'!$B$14,Paramètres!$A$1:$I$89,5,0)</f>
        <v>3.3342075766995548E-13</v>
      </c>
      <c r="DQ171" s="14">
        <f t="shared" si="176"/>
        <v>4.3537988100583648E-12</v>
      </c>
      <c r="DR171" s="22">
        <f t="shared" si="177"/>
        <v>8.1635740804601579E-12</v>
      </c>
      <c r="DS171" s="62">
        <f t="shared" si="125"/>
        <v>289.38527665638759</v>
      </c>
      <c r="DT171" s="62">
        <f ca="1">AVERAGE(OFFSET($DS$3,0,0,'Données projet'!$E$14+1,1))-AVERAGE(OFFSET($H$3,0,0,'Données projet'!$E$14+1,1))</f>
        <v>416.72317068678774</v>
      </c>
      <c r="DU171" s="62">
        <f t="shared" si="152"/>
        <v>447.32457429495537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68.923257269921649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5.6843418860808015E-14</v>
      </c>
      <c r="EK171" s="18">
        <f>EJ171*VLOOKUP('Données projet'!$B$15,Paramètres!$A$1:$I$89,3,0)*VLOOKUP('Données projet'!$B$15,Paramètres!$A$1:$I$89,5,0)</f>
        <v>5.4092197387944907E-14</v>
      </c>
      <c r="EL171" s="14">
        <f t="shared" si="179"/>
        <v>8.7287050538073676E-13</v>
      </c>
      <c r="EM171" s="22">
        <f t="shared" si="180"/>
        <v>1.6144600406554537E-12</v>
      </c>
      <c r="EN171" s="62">
        <f t="shared" si="128"/>
        <v>289.385276656381</v>
      </c>
      <c r="EO171" s="62">
        <f ca="1">AVERAGE(OFFSET($EN$3,0,0,'Données projet'!$E$15+1,1))-AVERAGE(OFFSET($H$3,0,0,'Données projet'!$E$15+1,1))</f>
        <v>454.78867027701426</v>
      </c>
      <c r="EP171" s="62">
        <f t="shared" si="154"/>
        <v>366.45346303927056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0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68.923257269921649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>
        <f>FE171*VLOOKUP('Données projet'!$B$16,Paramètres!$A$1:$I$89,3,0)*VLOOKUP('Données projet'!$B$16,Paramètres!$A$1:$I$89,5,0)</f>
        <v>0</v>
      </c>
      <c r="FG171" s="14" t="e">
        <f t="shared" si="182"/>
        <v>#NUM!</v>
      </c>
      <c r="FH171" s="22" t="e">
        <f t="shared" si="183"/>
        <v>#NUM!</v>
      </c>
      <c r="FI171" s="62" t="e">
        <f t="shared" si="131"/>
        <v>#NUM!</v>
      </c>
      <c r="FJ171" s="62">
        <f ca="1">AVERAGE(OFFSET($FI$3,0,0,'Données projet'!$E$16+1,1))-AVERAGE(OFFSET($H$3,0,0,'Données projet'!$E$16+1,1))</f>
        <v>390.05579539539576</v>
      </c>
      <c r="FK171" s="62">
        <f t="shared" si="156"/>
        <v>323.72278615226139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projet'!$B$16,Paramètres!$A$1:$I$89,3,0)*0.475*44/12</f>
        <v>0</v>
      </c>
      <c r="FR171" s="23">
        <f>EXP(-LN(2)/25)*FR170+(1-EXP(-LN(2)/25))/(LN(2)/25)*Calculateur!FM171*Calculateur!FO171*VLOOKUP('Données projet'!$B$16,Paramètres!$A$1:$I$89,3,0)*0.475*44/12</f>
        <v>0</v>
      </c>
      <c r="FS171" s="23">
        <f>EXP(-LN(2)/2)*FS170+(1-EXP(-LN(2)/2))/(LN(2)/2)*FM171*FP171*VLOOKUP('Données projet'!$B$16,Paramètres!$A$1:$I$89,3,0)*0.475*44/12</f>
        <v>0</v>
      </c>
      <c r="FT171" s="24">
        <f t="shared" si="184"/>
        <v>0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68.923257269921649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5.6843418860808015E-14</v>
      </c>
      <c r="GA171" s="18">
        <f>FZ171*VLOOKUP('Données projet'!$B$17,Paramètres!$A$1:$I$89,3,0)*VLOOKUP('Données projet'!$B$17,Paramètres!$A$1:$I$89,5,0)</f>
        <v>5.4978954722173515E-14</v>
      </c>
      <c r="GB171" s="14">
        <f t="shared" si="185"/>
        <v>8.8550225887742724E-13</v>
      </c>
      <c r="GC171" s="22">
        <f t="shared" si="186"/>
        <v>1.6380047803526383E-12</v>
      </c>
      <c r="GD171" s="62">
        <f t="shared" si="134"/>
        <v>289.38527665638105</v>
      </c>
      <c r="GE171" s="62">
        <f ca="1">AVERAGE(OFFSET($GD$3,0,0,'Données projet'!$E$17+1,1))-AVERAGE(OFFSET($H$3,0,0,'Données projet'!$E$17+1,1))</f>
        <v>578.44111602076555</v>
      </c>
      <c r="GF171" s="62">
        <f t="shared" si="158"/>
        <v>368.08542661432784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>
        <f>EXP(-LN(2)/35)*GL170+(1-EXP(-LN(2)/35))/(LN(2)/35)*GH171*GI171*VLOOKUP('Données projet'!$B$17,Paramètres!$A$1:$I$89,3,0)*0.475*44/12</f>
        <v>0</v>
      </c>
      <c r="GM171" s="23">
        <f>EXP(-LN(2)/25)*GM170+(1-EXP(-LN(2)/25))/(LN(2)/25)*Calculateur!GH171*Calculateur!GJ171*VLOOKUP('Données projet'!$B$17,Paramètres!$A$1:$I$89,3,0)*0.475*44/12</f>
        <v>0</v>
      </c>
      <c r="GN171" s="23">
        <f>EXP(-LN(2)/2)*GN170+(1-EXP(-LN(2)/2))/(LN(2)/2)*GH171*GK171*VLOOKUP('Données projet'!$B$17,Paramètres!$A$1:$I$89,3,0)*0.475*44/12</f>
        <v>0</v>
      </c>
      <c r="GO171" s="23">
        <f t="shared" si="187"/>
        <v>0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68.923257269921649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4.0735000000000001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14.936166666666667</v>
      </c>
      <c r="H172" s="70">
        <f t="shared" si="110"/>
        <v>196.922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68.941936349052398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5.1431925385259088E-14</v>
      </c>
      <c r="P172" s="14">
        <f t="shared" si="141"/>
        <v>8.3482866290946129E-13</v>
      </c>
      <c r="Q172" s="22">
        <f t="shared" si="162"/>
        <v>1.5435705246133045E-12</v>
      </c>
      <c r="R172" s="62">
        <f t="shared" si="109"/>
        <v>289.45376661319369</v>
      </c>
      <c r="S172" s="62">
        <f ca="1">AVERAGE(OFFSET($R$3,0,0,'Données projet'!$E$9+1,1))-AVERAGE(OFFSET($H$3,0,0,'Données projet'!$E$9+1,1))</f>
        <v>546.11281471711925</v>
      </c>
      <c r="T172" s="62">
        <f t="shared" si="142"/>
        <v>348.18069831447099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68.941936349052398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-1.2505552149377763E-12</v>
      </c>
      <c r="AJ172" s="14">
        <f>AI172*VLOOKUP('Données projet'!$B$10,Paramètres!$A$1:$I$89,3,0)*VLOOKUP('Données projet'!$B$10,Paramètres!$A$1:$I$89,5,0)</f>
        <v>-1.0729763744166122E-12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693.87994318348024</v>
      </c>
      <c r="AO172" s="62">
        <f t="shared" si="144"/>
        <v>327.71043739333641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68.941936349052398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5.6843418860808015E-14</v>
      </c>
      <c r="BE172" s="14">
        <f>BD172*VLOOKUP('Données projet'!$B$11,Paramètres!$A$1:$I$89,3,0)*VLOOKUP('Données projet'!$B$11,Paramètres!$A$1:$I$89,5,0)</f>
        <v>4.7884896048344674E-14</v>
      </c>
      <c r="BF172" s="14">
        <f t="shared" si="167"/>
        <v>7.8374629847779921E-13</v>
      </c>
      <c r="BG172" s="22">
        <f t="shared" si="168"/>
        <v>1.4484243304663672E-12</v>
      </c>
      <c r="BH172" s="62">
        <f t="shared" si="116"/>
        <v>289.45376661319358</v>
      </c>
      <c r="BI172" s="62">
        <f ca="1">AVERAGE(OFFSET($BH$3,0,0,'Données projet'!$E$11+1,1))-AVERAGE(OFFSET($H$3,0,0,'Données projet'!$E$11+1,1))</f>
        <v>513.7388209355762</v>
      </c>
      <c r="BJ172" s="62">
        <f t="shared" si="146"/>
        <v>328.24603121433927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68.941936349052398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4.5474735088646412E-13</v>
      </c>
      <c r="BZ172" s="14">
        <f>BY172*VLOOKUP('Données projet'!$B$12,Paramètres!$A$1:$I$89,3,0)*VLOOKUP('Données projet'!$B$12,Paramètres!$A$1:$I$89,5,0)</f>
        <v>3.6179699236527089E-13</v>
      </c>
      <c r="CA172" s="14">
        <f t="shared" si="170"/>
        <v>4.6796319415916035E-12</v>
      </c>
      <c r="CB172" s="22">
        <f t="shared" si="171"/>
        <v>8.7804887266415556E-12</v>
      </c>
      <c r="CC172" s="62">
        <f t="shared" si="119"/>
        <v>289.45376661320091</v>
      </c>
      <c r="CD172" s="62">
        <f ca="1">AVERAGE(OFFSET($CC$3,0,0,'Données projet'!$E$12+1,1))-AVERAGE(OFFSET($H$3,0,0,'Données projet'!$E$12+1,1))</f>
        <v>447.25854887589878</v>
      </c>
      <c r="CE172" s="62">
        <f t="shared" si="148"/>
        <v>480.13390593590157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68.941936349052398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1.1368683772161603E-13</v>
      </c>
      <c r="CU172" s="18">
        <f>CT172*VLOOKUP('Données projet'!$B$13,Paramètres!$A$1:$I$89,3,0)*VLOOKUP('Données projet'!$B$13,Paramètres!$A$1:$I$89,5,0)</f>
        <v>8.8675733422860506E-14</v>
      </c>
      <c r="CV172" s="14">
        <f t="shared" si="173"/>
        <v>1.3509285393066301E-12</v>
      </c>
      <c r="CW172" s="22">
        <f t="shared" si="174"/>
        <v>2.5073107750038623E-12</v>
      </c>
      <c r="CX172" s="62">
        <f t="shared" si="122"/>
        <v>289.45376661319466</v>
      </c>
      <c r="CY172" s="62">
        <f ca="1">AVERAGE(OFFSET($CX$3,0,0,'Données projet'!$E$13+1,1))-AVERAGE(OFFSET($H$3,0,0,'Données projet'!$E$13+1,1))</f>
        <v>308.52515801950324</v>
      </c>
      <c r="CZ172" s="62">
        <f t="shared" si="150"/>
        <v>299.05420638408953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68.941936349052398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4.5474735088646412E-13</v>
      </c>
      <c r="DP172" s="18">
        <f>DO172*VLOOKUP('Données projet'!$B$14,Paramètres!$A$1:$I$89,3,0)*VLOOKUP('Données projet'!$B$14,Paramètres!$A$1:$I$89,5,0)</f>
        <v>3.3342075766995548E-13</v>
      </c>
      <c r="DQ172" s="14">
        <f t="shared" si="176"/>
        <v>4.3537988100583648E-12</v>
      </c>
      <c r="DR172" s="22">
        <f t="shared" si="177"/>
        <v>8.1635740804601579E-12</v>
      </c>
      <c r="DS172" s="62">
        <f t="shared" si="125"/>
        <v>289.45376661320034</v>
      </c>
      <c r="DT172" s="62">
        <f ca="1">AVERAGE(OFFSET($DS$3,0,0,'Données projet'!$E$14+1,1))-AVERAGE(OFFSET($H$3,0,0,'Données projet'!$E$14+1,1))</f>
        <v>416.72317068678774</v>
      </c>
      <c r="DU172" s="62">
        <f t="shared" si="152"/>
        <v>447.32457429495537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68.941936349052398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5.6843418860808015E-14</v>
      </c>
      <c r="EK172" s="18">
        <f>EJ172*VLOOKUP('Données projet'!$B$15,Paramètres!$A$1:$I$89,3,0)*VLOOKUP('Données projet'!$B$15,Paramètres!$A$1:$I$89,5,0)</f>
        <v>5.4092197387944907E-14</v>
      </c>
      <c r="EL172" s="14">
        <f t="shared" si="179"/>
        <v>8.7287050538073676E-13</v>
      </c>
      <c r="EM172" s="22">
        <f t="shared" si="180"/>
        <v>1.6144600406554537E-12</v>
      </c>
      <c r="EN172" s="62">
        <f t="shared" si="128"/>
        <v>289.45376661319375</v>
      </c>
      <c r="EO172" s="62">
        <f ca="1">AVERAGE(OFFSET($EN$3,0,0,'Données projet'!$E$15+1,1))-AVERAGE(OFFSET($H$3,0,0,'Données projet'!$E$15+1,1))</f>
        <v>454.78867027701426</v>
      </c>
      <c r="EP172" s="62">
        <f t="shared" si="154"/>
        <v>366.45346303927056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0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68.941936349052398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>
        <f>FE172*VLOOKUP('Données projet'!$B$16,Paramètres!$A$1:$I$89,3,0)*VLOOKUP('Données projet'!$B$16,Paramètres!$A$1:$I$89,5,0)</f>
        <v>0</v>
      </c>
      <c r="FG172" s="14" t="e">
        <f t="shared" si="182"/>
        <v>#NUM!</v>
      </c>
      <c r="FH172" s="22" t="e">
        <f t="shared" si="183"/>
        <v>#NUM!</v>
      </c>
      <c r="FI172" s="62" t="e">
        <f t="shared" si="131"/>
        <v>#NUM!</v>
      </c>
      <c r="FJ172" s="62">
        <f ca="1">AVERAGE(OFFSET($FI$3,0,0,'Données projet'!$E$16+1,1))-AVERAGE(OFFSET($H$3,0,0,'Données projet'!$E$16+1,1))</f>
        <v>390.05579539539576</v>
      </c>
      <c r="FK172" s="62">
        <f t="shared" si="156"/>
        <v>323.72278615226139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projet'!$B$16,Paramètres!$A$1:$I$89,3,0)*0.475*44/12</f>
        <v>0</v>
      </c>
      <c r="FR172" s="23">
        <f>EXP(-LN(2)/25)*FR171+(1-EXP(-LN(2)/25))/(LN(2)/25)*Calculateur!FM172*Calculateur!FO172*VLOOKUP('Données projet'!$B$16,Paramètres!$A$1:$I$89,3,0)*0.475*44/12</f>
        <v>0</v>
      </c>
      <c r="FS172" s="23">
        <f>EXP(-LN(2)/2)*FS171+(1-EXP(-LN(2)/2))/(LN(2)/2)*FM172*FP172*VLOOKUP('Données projet'!$B$16,Paramètres!$A$1:$I$89,3,0)*0.475*44/12</f>
        <v>0</v>
      </c>
      <c r="FT172" s="24">
        <f t="shared" si="184"/>
        <v>0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68.941936349052398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5.6843418860808015E-14</v>
      </c>
      <c r="GA172" s="18">
        <f>FZ172*VLOOKUP('Données projet'!$B$17,Paramètres!$A$1:$I$89,3,0)*VLOOKUP('Données projet'!$B$17,Paramètres!$A$1:$I$89,5,0)</f>
        <v>5.4978954722173515E-14</v>
      </c>
      <c r="GB172" s="14">
        <f t="shared" si="185"/>
        <v>8.8550225887742724E-13</v>
      </c>
      <c r="GC172" s="22">
        <f t="shared" si="186"/>
        <v>1.6380047803526383E-12</v>
      </c>
      <c r="GD172" s="62">
        <f t="shared" si="134"/>
        <v>289.45376661319381</v>
      </c>
      <c r="GE172" s="62">
        <f ca="1">AVERAGE(OFFSET($GD$3,0,0,'Données projet'!$E$17+1,1))-AVERAGE(OFFSET($H$3,0,0,'Données projet'!$E$17+1,1))</f>
        <v>578.44111602076555</v>
      </c>
      <c r="GF172" s="62">
        <f t="shared" si="158"/>
        <v>368.08542661432784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>
        <f>EXP(-LN(2)/35)*GL171+(1-EXP(-LN(2)/35))/(LN(2)/35)*GH172*GI172*VLOOKUP('Données projet'!$B$17,Paramètres!$A$1:$I$89,3,0)*0.475*44/12</f>
        <v>0</v>
      </c>
      <c r="GM172" s="23">
        <f>EXP(-LN(2)/25)*GM171+(1-EXP(-LN(2)/25))/(LN(2)/25)*Calculateur!GH172*Calculateur!GJ172*VLOOKUP('Données projet'!$B$17,Paramètres!$A$1:$I$89,3,0)*0.475*44/12</f>
        <v>0</v>
      </c>
      <c r="GN172" s="23">
        <f>EXP(-LN(2)/2)*GN171+(1-EXP(-LN(2)/2))/(LN(2)/2)*GH172*GK172*VLOOKUP('Données projet'!$B$17,Paramètres!$A$1:$I$89,3,0)*0.475*44/12</f>
        <v>0</v>
      </c>
      <c r="GO172" s="23">
        <f t="shared" si="187"/>
        <v>0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68.941936349052398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4.0735000000000001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14.936166666666667</v>
      </c>
      <c r="H173" s="70">
        <f t="shared" si="110"/>
        <v>196.922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68.960291387920392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5.1431925385259088E-14</v>
      </c>
      <c r="P173" s="14">
        <f t="shared" si="141"/>
        <v>8.3482866290946129E-13</v>
      </c>
      <c r="Q173" s="22">
        <f t="shared" si="162"/>
        <v>1.5435705246133045E-12</v>
      </c>
      <c r="R173" s="62">
        <f t="shared" si="109"/>
        <v>289.52106842237629</v>
      </c>
      <c r="S173" s="62">
        <f ca="1">AVERAGE(OFFSET($R$3,0,0,'Données projet'!$E$9+1,1))-AVERAGE(OFFSET($H$3,0,0,'Données projet'!$E$9+1,1))</f>
        <v>546.11281471711925</v>
      </c>
      <c r="T173" s="62">
        <f t="shared" si="142"/>
        <v>348.18069831447099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68.960291387920392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-1.2505552149377763E-12</v>
      </c>
      <c r="AJ173" s="14">
        <f>AI173*VLOOKUP('Données projet'!$B$10,Paramètres!$A$1:$I$89,3,0)*VLOOKUP('Données projet'!$B$10,Paramètres!$A$1:$I$89,5,0)</f>
        <v>-1.0729763744166122E-12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693.87994318348024</v>
      </c>
      <c r="AO173" s="62">
        <f t="shared" si="144"/>
        <v>327.71043739333641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68.960291387920392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5.6843418860808015E-14</v>
      </c>
      <c r="BE173" s="14">
        <f>BD173*VLOOKUP('Données projet'!$B$11,Paramètres!$A$1:$I$89,3,0)*VLOOKUP('Données projet'!$B$11,Paramètres!$A$1:$I$89,5,0)</f>
        <v>4.7884896048344674E-14</v>
      </c>
      <c r="BF173" s="14">
        <f t="shared" si="167"/>
        <v>7.8374629847779921E-13</v>
      </c>
      <c r="BG173" s="22">
        <f t="shared" si="168"/>
        <v>1.4484243304663672E-12</v>
      </c>
      <c r="BH173" s="62">
        <f t="shared" si="116"/>
        <v>289.52106842237617</v>
      </c>
      <c r="BI173" s="62">
        <f ca="1">AVERAGE(OFFSET($BH$3,0,0,'Données projet'!$E$11+1,1))-AVERAGE(OFFSET($H$3,0,0,'Données projet'!$E$11+1,1))</f>
        <v>513.7388209355762</v>
      </c>
      <c r="BJ173" s="62">
        <f t="shared" si="146"/>
        <v>328.24603121433927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68.960291387920392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4.5474735088646412E-13</v>
      </c>
      <c r="BZ173" s="14">
        <f>BY173*VLOOKUP('Données projet'!$B$12,Paramètres!$A$1:$I$89,3,0)*VLOOKUP('Données projet'!$B$12,Paramètres!$A$1:$I$89,5,0)</f>
        <v>3.6179699236527089E-13</v>
      </c>
      <c r="CA173" s="14">
        <f t="shared" si="170"/>
        <v>4.6796319415916035E-12</v>
      </c>
      <c r="CB173" s="22">
        <f t="shared" si="171"/>
        <v>8.7804887266415556E-12</v>
      </c>
      <c r="CC173" s="62">
        <f t="shared" si="119"/>
        <v>289.52106842238351</v>
      </c>
      <c r="CD173" s="62">
        <f ca="1">AVERAGE(OFFSET($CC$3,0,0,'Données projet'!$E$12+1,1))-AVERAGE(OFFSET($H$3,0,0,'Données projet'!$E$12+1,1))</f>
        <v>447.25854887589878</v>
      </c>
      <c r="CE173" s="62">
        <f t="shared" si="148"/>
        <v>480.13390593590157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68.960291387920392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1.1368683772161603E-13</v>
      </c>
      <c r="CU173" s="18">
        <f>CT173*VLOOKUP('Données projet'!$B$13,Paramètres!$A$1:$I$89,3,0)*VLOOKUP('Données projet'!$B$13,Paramètres!$A$1:$I$89,5,0)</f>
        <v>8.8675733422860506E-14</v>
      </c>
      <c r="CV173" s="14">
        <f t="shared" si="173"/>
        <v>1.3509285393066301E-12</v>
      </c>
      <c r="CW173" s="22">
        <f t="shared" si="174"/>
        <v>2.5073107750038623E-12</v>
      </c>
      <c r="CX173" s="62">
        <f t="shared" si="122"/>
        <v>289.52106842237725</v>
      </c>
      <c r="CY173" s="62">
        <f ca="1">AVERAGE(OFFSET($CX$3,0,0,'Données projet'!$E$13+1,1))-AVERAGE(OFFSET($H$3,0,0,'Données projet'!$E$13+1,1))</f>
        <v>308.52515801950324</v>
      </c>
      <c r="CZ173" s="62">
        <f t="shared" si="150"/>
        <v>299.05420638408953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68.960291387920392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4.5474735088646412E-13</v>
      </c>
      <c r="DP173" s="18">
        <f>DO173*VLOOKUP('Données projet'!$B$14,Paramètres!$A$1:$I$89,3,0)*VLOOKUP('Données projet'!$B$14,Paramètres!$A$1:$I$89,5,0)</f>
        <v>3.3342075766995548E-13</v>
      </c>
      <c r="DQ173" s="14">
        <f t="shared" si="176"/>
        <v>4.3537988100583648E-12</v>
      </c>
      <c r="DR173" s="22">
        <f t="shared" si="177"/>
        <v>8.1635740804601579E-12</v>
      </c>
      <c r="DS173" s="62">
        <f t="shared" si="125"/>
        <v>289.52106842238294</v>
      </c>
      <c r="DT173" s="62">
        <f ca="1">AVERAGE(OFFSET($DS$3,0,0,'Données projet'!$E$14+1,1))-AVERAGE(OFFSET($H$3,0,0,'Données projet'!$E$14+1,1))</f>
        <v>416.72317068678774</v>
      </c>
      <c r="DU173" s="62">
        <f t="shared" si="152"/>
        <v>447.32457429495537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68.960291387920392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5.6843418860808015E-14</v>
      </c>
      <c r="EK173" s="18">
        <f>EJ173*VLOOKUP('Données projet'!$B$15,Paramètres!$A$1:$I$89,3,0)*VLOOKUP('Données projet'!$B$15,Paramètres!$A$1:$I$89,5,0)</f>
        <v>5.4092197387944907E-14</v>
      </c>
      <c r="EL173" s="14">
        <f t="shared" si="179"/>
        <v>8.7287050538073676E-13</v>
      </c>
      <c r="EM173" s="22">
        <f t="shared" si="180"/>
        <v>1.6144600406554537E-12</v>
      </c>
      <c r="EN173" s="62">
        <f t="shared" si="128"/>
        <v>289.52106842237635</v>
      </c>
      <c r="EO173" s="62">
        <f ca="1">AVERAGE(OFFSET($EN$3,0,0,'Données projet'!$E$15+1,1))-AVERAGE(OFFSET($H$3,0,0,'Données projet'!$E$15+1,1))</f>
        <v>454.78867027701426</v>
      </c>
      <c r="EP173" s="62">
        <f t="shared" si="154"/>
        <v>366.45346303927056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0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68.960291387920392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>
        <f>FE173*VLOOKUP('Données projet'!$B$16,Paramètres!$A$1:$I$89,3,0)*VLOOKUP('Données projet'!$B$16,Paramètres!$A$1:$I$89,5,0)</f>
        <v>0</v>
      </c>
      <c r="FG173" s="14" t="e">
        <f t="shared" si="182"/>
        <v>#NUM!</v>
      </c>
      <c r="FH173" s="22" t="e">
        <f t="shared" si="183"/>
        <v>#NUM!</v>
      </c>
      <c r="FI173" s="62" t="e">
        <f t="shared" si="131"/>
        <v>#NUM!</v>
      </c>
      <c r="FJ173" s="62">
        <f ca="1">AVERAGE(OFFSET($FI$3,0,0,'Données projet'!$E$16+1,1))-AVERAGE(OFFSET($H$3,0,0,'Données projet'!$E$16+1,1))</f>
        <v>390.05579539539576</v>
      </c>
      <c r="FK173" s="62">
        <f t="shared" si="156"/>
        <v>323.72278615226139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projet'!$B$16,Paramètres!$A$1:$I$89,3,0)*0.475*44/12</f>
        <v>0</v>
      </c>
      <c r="FR173" s="23">
        <f>EXP(-LN(2)/25)*FR172+(1-EXP(-LN(2)/25))/(LN(2)/25)*Calculateur!FM173*Calculateur!FO173*VLOOKUP('Données projet'!$B$16,Paramètres!$A$1:$I$89,3,0)*0.475*44/12</f>
        <v>0</v>
      </c>
      <c r="FS173" s="23">
        <f>EXP(-LN(2)/2)*FS172+(1-EXP(-LN(2)/2))/(LN(2)/2)*FM173*FP173*VLOOKUP('Données projet'!$B$16,Paramètres!$A$1:$I$89,3,0)*0.475*44/12</f>
        <v>0</v>
      </c>
      <c r="FT173" s="24">
        <f t="shared" si="184"/>
        <v>0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68.960291387920392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5.6843418860808015E-14</v>
      </c>
      <c r="GA173" s="18">
        <f>FZ173*VLOOKUP('Données projet'!$B$17,Paramètres!$A$1:$I$89,3,0)*VLOOKUP('Données projet'!$B$17,Paramètres!$A$1:$I$89,5,0)</f>
        <v>5.4978954722173515E-14</v>
      </c>
      <c r="GB173" s="14">
        <f t="shared" si="185"/>
        <v>8.8550225887742724E-13</v>
      </c>
      <c r="GC173" s="22">
        <f t="shared" si="186"/>
        <v>1.6380047803526383E-12</v>
      </c>
      <c r="GD173" s="62">
        <f t="shared" si="134"/>
        <v>289.5210684223764</v>
      </c>
      <c r="GE173" s="62">
        <f ca="1">AVERAGE(OFFSET($GD$3,0,0,'Données projet'!$E$17+1,1))-AVERAGE(OFFSET($H$3,0,0,'Données projet'!$E$17+1,1))</f>
        <v>578.44111602076555</v>
      </c>
      <c r="GF173" s="62">
        <f t="shared" si="158"/>
        <v>368.08542661432784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>
        <f>EXP(-LN(2)/35)*GL172+(1-EXP(-LN(2)/35))/(LN(2)/35)*GH173*GI173*VLOOKUP('Données projet'!$B$17,Paramètres!$A$1:$I$89,3,0)*0.475*44/12</f>
        <v>0</v>
      </c>
      <c r="GM173" s="23">
        <f>EXP(-LN(2)/25)*GM172+(1-EXP(-LN(2)/25))/(LN(2)/25)*Calculateur!GH173*Calculateur!GJ173*VLOOKUP('Données projet'!$B$17,Paramètres!$A$1:$I$89,3,0)*0.475*44/12</f>
        <v>0</v>
      </c>
      <c r="GN173" s="23">
        <f>EXP(-LN(2)/2)*GN172+(1-EXP(-LN(2)/2))/(LN(2)/2)*GH173*GK173*VLOOKUP('Données projet'!$B$17,Paramètres!$A$1:$I$89,3,0)*0.475*44/12</f>
        <v>0</v>
      </c>
      <c r="GO173" s="23">
        <f t="shared" si="187"/>
        <v>0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68.960291387920392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4.0735000000000001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14.936166666666667</v>
      </c>
      <c r="H174" s="70">
        <f t="shared" si="110"/>
        <v>196.922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68.978328007899734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5.1431925385259088E-14</v>
      </c>
      <c r="P174" s="14">
        <f t="shared" si="141"/>
        <v>8.3482866290946129E-13</v>
      </c>
      <c r="Q174" s="22">
        <f t="shared" si="162"/>
        <v>1.5435705246133045E-12</v>
      </c>
      <c r="R174" s="62">
        <f t="shared" si="109"/>
        <v>289.58720269563389</v>
      </c>
      <c r="S174" s="62">
        <f ca="1">AVERAGE(OFFSET($R$3,0,0,'Données projet'!$E$9+1,1))-AVERAGE(OFFSET($H$3,0,0,'Données projet'!$E$9+1,1))</f>
        <v>546.11281471711925</v>
      </c>
      <c r="T174" s="62">
        <f t="shared" si="142"/>
        <v>348.18069831447099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68.978328007899734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-1.2505552149377763E-12</v>
      </c>
      <c r="AJ174" s="14">
        <f>AI174*VLOOKUP('Données projet'!$B$10,Paramètres!$A$1:$I$89,3,0)*VLOOKUP('Données projet'!$B$10,Paramètres!$A$1:$I$89,5,0)</f>
        <v>-1.0729763744166122E-12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693.87994318348024</v>
      </c>
      <c r="AO174" s="62">
        <f t="shared" si="144"/>
        <v>327.71043739333641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68.978328007899734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5.6843418860808015E-14</v>
      </c>
      <c r="BE174" s="14">
        <f>BD174*VLOOKUP('Données projet'!$B$11,Paramètres!$A$1:$I$89,3,0)*VLOOKUP('Données projet'!$B$11,Paramètres!$A$1:$I$89,5,0)</f>
        <v>4.7884896048344674E-14</v>
      </c>
      <c r="BF174" s="14">
        <f t="shared" si="167"/>
        <v>7.8374629847779921E-13</v>
      </c>
      <c r="BG174" s="22">
        <f t="shared" si="168"/>
        <v>1.4484243304663672E-12</v>
      </c>
      <c r="BH174" s="62">
        <f t="shared" si="116"/>
        <v>289.58720269563378</v>
      </c>
      <c r="BI174" s="62">
        <f ca="1">AVERAGE(OFFSET($BH$3,0,0,'Données projet'!$E$11+1,1))-AVERAGE(OFFSET($H$3,0,0,'Données projet'!$E$11+1,1))</f>
        <v>513.7388209355762</v>
      </c>
      <c r="BJ174" s="62">
        <f t="shared" si="146"/>
        <v>328.24603121433927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68.978328007899734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4.5474735088646412E-13</v>
      </c>
      <c r="BZ174" s="14">
        <f>BY174*VLOOKUP('Données projet'!$B$12,Paramètres!$A$1:$I$89,3,0)*VLOOKUP('Données projet'!$B$12,Paramètres!$A$1:$I$89,5,0)</f>
        <v>3.6179699236527089E-13</v>
      </c>
      <c r="CA174" s="14">
        <f t="shared" si="170"/>
        <v>4.6796319415916035E-12</v>
      </c>
      <c r="CB174" s="22">
        <f t="shared" si="171"/>
        <v>8.7804887266415556E-12</v>
      </c>
      <c r="CC174" s="62">
        <f t="shared" si="119"/>
        <v>289.58720269564111</v>
      </c>
      <c r="CD174" s="62">
        <f ca="1">AVERAGE(OFFSET($CC$3,0,0,'Données projet'!$E$12+1,1))-AVERAGE(OFFSET($H$3,0,0,'Données projet'!$E$12+1,1))</f>
        <v>447.25854887589878</v>
      </c>
      <c r="CE174" s="62">
        <f t="shared" si="148"/>
        <v>480.13390593590157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68.978328007899734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1.1368683772161603E-13</v>
      </c>
      <c r="CU174" s="18">
        <f>CT174*VLOOKUP('Données projet'!$B$13,Paramètres!$A$1:$I$89,3,0)*VLOOKUP('Données projet'!$B$13,Paramètres!$A$1:$I$89,5,0)</f>
        <v>8.8675733422860506E-14</v>
      </c>
      <c r="CV174" s="14">
        <f t="shared" si="173"/>
        <v>1.3509285393066301E-12</v>
      </c>
      <c r="CW174" s="22">
        <f t="shared" si="174"/>
        <v>2.5073107750038623E-12</v>
      </c>
      <c r="CX174" s="62">
        <f t="shared" si="122"/>
        <v>289.58720269563486</v>
      </c>
      <c r="CY174" s="62">
        <f ca="1">AVERAGE(OFFSET($CX$3,0,0,'Données projet'!$E$13+1,1))-AVERAGE(OFFSET($H$3,0,0,'Données projet'!$E$13+1,1))</f>
        <v>308.52515801950324</v>
      </c>
      <c r="CZ174" s="62">
        <f t="shared" si="150"/>
        <v>299.05420638408953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68.978328007899734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4.5474735088646412E-13</v>
      </c>
      <c r="DP174" s="18">
        <f>DO174*VLOOKUP('Données projet'!$B$14,Paramètres!$A$1:$I$89,3,0)*VLOOKUP('Données projet'!$B$14,Paramètres!$A$1:$I$89,5,0)</f>
        <v>3.3342075766995548E-13</v>
      </c>
      <c r="DQ174" s="14">
        <f t="shared" si="176"/>
        <v>4.3537988100583648E-12</v>
      </c>
      <c r="DR174" s="22">
        <f t="shared" si="177"/>
        <v>8.1635740804601579E-12</v>
      </c>
      <c r="DS174" s="62">
        <f t="shared" si="125"/>
        <v>289.58720269564054</v>
      </c>
      <c r="DT174" s="62">
        <f ca="1">AVERAGE(OFFSET($DS$3,0,0,'Données projet'!$E$14+1,1))-AVERAGE(OFFSET($H$3,0,0,'Données projet'!$E$14+1,1))</f>
        <v>416.72317068678774</v>
      </c>
      <c r="DU174" s="62">
        <f t="shared" si="152"/>
        <v>447.32457429495537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68.978328007899734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5.6843418860808015E-14</v>
      </c>
      <c r="EK174" s="18">
        <f>EJ174*VLOOKUP('Données projet'!$B$15,Paramètres!$A$1:$I$89,3,0)*VLOOKUP('Données projet'!$B$15,Paramètres!$A$1:$I$89,5,0)</f>
        <v>5.4092197387944907E-14</v>
      </c>
      <c r="EL174" s="14">
        <f t="shared" si="179"/>
        <v>8.7287050538073676E-13</v>
      </c>
      <c r="EM174" s="22">
        <f t="shared" si="180"/>
        <v>1.6144600406554537E-12</v>
      </c>
      <c r="EN174" s="62">
        <f t="shared" si="128"/>
        <v>289.58720269563395</v>
      </c>
      <c r="EO174" s="62">
        <f ca="1">AVERAGE(OFFSET($EN$3,0,0,'Données projet'!$E$15+1,1))-AVERAGE(OFFSET($H$3,0,0,'Données projet'!$E$15+1,1))</f>
        <v>454.78867027701426</v>
      </c>
      <c r="EP174" s="62">
        <f t="shared" si="154"/>
        <v>366.45346303927056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0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68.978328007899734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>
        <f>FE174*VLOOKUP('Données projet'!$B$16,Paramètres!$A$1:$I$89,3,0)*VLOOKUP('Données projet'!$B$16,Paramètres!$A$1:$I$89,5,0)</f>
        <v>0</v>
      </c>
      <c r="FG174" s="14" t="e">
        <f t="shared" si="182"/>
        <v>#NUM!</v>
      </c>
      <c r="FH174" s="22" t="e">
        <f t="shared" si="183"/>
        <v>#NUM!</v>
      </c>
      <c r="FI174" s="62" t="e">
        <f t="shared" si="131"/>
        <v>#NUM!</v>
      </c>
      <c r="FJ174" s="62">
        <f ca="1">AVERAGE(OFFSET($FI$3,0,0,'Données projet'!$E$16+1,1))-AVERAGE(OFFSET($H$3,0,0,'Données projet'!$E$16+1,1))</f>
        <v>390.05579539539576</v>
      </c>
      <c r="FK174" s="62">
        <f t="shared" si="156"/>
        <v>323.72278615226139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projet'!$B$16,Paramètres!$A$1:$I$89,3,0)*0.475*44/12</f>
        <v>0</v>
      </c>
      <c r="FR174" s="23">
        <f>EXP(-LN(2)/25)*FR173+(1-EXP(-LN(2)/25))/(LN(2)/25)*Calculateur!FM174*Calculateur!FO174*VLOOKUP('Données projet'!$B$16,Paramètres!$A$1:$I$89,3,0)*0.475*44/12</f>
        <v>0</v>
      </c>
      <c r="FS174" s="23">
        <f>EXP(-LN(2)/2)*FS173+(1-EXP(-LN(2)/2))/(LN(2)/2)*FM174*FP174*VLOOKUP('Données projet'!$B$16,Paramètres!$A$1:$I$89,3,0)*0.475*44/12</f>
        <v>0</v>
      </c>
      <c r="FT174" s="24">
        <f t="shared" si="184"/>
        <v>0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68.978328007899734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5.6843418860808015E-14</v>
      </c>
      <c r="GA174" s="18">
        <f>FZ174*VLOOKUP('Données projet'!$B$17,Paramètres!$A$1:$I$89,3,0)*VLOOKUP('Données projet'!$B$17,Paramètres!$A$1:$I$89,5,0)</f>
        <v>5.4978954722173515E-14</v>
      </c>
      <c r="GB174" s="14">
        <f t="shared" si="185"/>
        <v>8.8550225887742724E-13</v>
      </c>
      <c r="GC174" s="22">
        <f t="shared" si="186"/>
        <v>1.6380047803526383E-12</v>
      </c>
      <c r="GD174" s="62">
        <f t="shared" si="134"/>
        <v>289.58720269563401</v>
      </c>
      <c r="GE174" s="62">
        <f ca="1">AVERAGE(OFFSET($GD$3,0,0,'Données projet'!$E$17+1,1))-AVERAGE(OFFSET($H$3,0,0,'Données projet'!$E$17+1,1))</f>
        <v>578.44111602076555</v>
      </c>
      <c r="GF174" s="62">
        <f t="shared" si="158"/>
        <v>368.08542661432784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>
        <f>EXP(-LN(2)/35)*GL173+(1-EXP(-LN(2)/35))/(LN(2)/35)*GH174*GI174*VLOOKUP('Données projet'!$B$17,Paramètres!$A$1:$I$89,3,0)*0.475*44/12</f>
        <v>0</v>
      </c>
      <c r="GM174" s="23">
        <f>EXP(-LN(2)/25)*GM173+(1-EXP(-LN(2)/25))/(LN(2)/25)*Calculateur!GH174*Calculateur!GJ174*VLOOKUP('Données projet'!$B$17,Paramètres!$A$1:$I$89,3,0)*0.475*44/12</f>
        <v>0</v>
      </c>
      <c r="GN174" s="23">
        <f>EXP(-LN(2)/2)*GN173+(1-EXP(-LN(2)/2))/(LN(2)/2)*GH174*GK174*VLOOKUP('Données projet'!$B$17,Paramètres!$A$1:$I$89,3,0)*0.475*44/12</f>
        <v>0</v>
      </c>
      <c r="GO174" s="23">
        <f t="shared" si="187"/>
        <v>0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68.978328007899734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4.0735000000000001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14.936166666666667</v>
      </c>
      <c r="H175" s="70">
        <f t="shared" si="110"/>
        <v>196.922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68.996051732846283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5.1431925385259088E-14</v>
      </c>
      <c r="P175" s="14">
        <f t="shared" si="141"/>
        <v>8.3482866290946129E-13</v>
      </c>
      <c r="Q175" s="22">
        <f t="shared" si="162"/>
        <v>1.5435705246133045E-12</v>
      </c>
      <c r="R175" s="62">
        <f t="shared" si="109"/>
        <v>289.65218968710457</v>
      </c>
      <c r="S175" s="62">
        <f ca="1">AVERAGE(OFFSET($R$3,0,0,'Données projet'!$E$9+1,1))-AVERAGE(OFFSET($H$3,0,0,'Données projet'!$E$9+1,1))</f>
        <v>546.11281471711925</v>
      </c>
      <c r="T175" s="62">
        <f t="shared" si="142"/>
        <v>348.18069831447099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68.996051732846283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-1.2505552149377763E-12</v>
      </c>
      <c r="AJ175" s="14">
        <f>AI175*VLOOKUP('Données projet'!$B$10,Paramètres!$A$1:$I$89,3,0)*VLOOKUP('Données projet'!$B$10,Paramètres!$A$1:$I$89,5,0)</f>
        <v>-1.0729763744166122E-12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693.87994318348024</v>
      </c>
      <c r="AO175" s="62">
        <f t="shared" si="144"/>
        <v>327.71043739333641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68.996051732846283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5.6843418860808015E-14</v>
      </c>
      <c r="BE175" s="14">
        <f>BD175*VLOOKUP('Données projet'!$B$11,Paramètres!$A$1:$I$89,3,0)*VLOOKUP('Données projet'!$B$11,Paramètres!$A$1:$I$89,5,0)</f>
        <v>4.7884896048344674E-14</v>
      </c>
      <c r="BF175" s="14">
        <f t="shared" si="167"/>
        <v>7.8374629847779921E-13</v>
      </c>
      <c r="BG175" s="22">
        <f t="shared" si="168"/>
        <v>1.4484243304663672E-12</v>
      </c>
      <c r="BH175" s="62">
        <f t="shared" si="116"/>
        <v>289.65218968710445</v>
      </c>
      <c r="BI175" s="62">
        <f ca="1">AVERAGE(OFFSET($BH$3,0,0,'Données projet'!$E$11+1,1))-AVERAGE(OFFSET($H$3,0,0,'Données projet'!$E$11+1,1))</f>
        <v>513.7388209355762</v>
      </c>
      <c r="BJ175" s="62">
        <f t="shared" si="146"/>
        <v>328.24603121433927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68.996051732846283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4.5474735088646412E-13</v>
      </c>
      <c r="BZ175" s="14">
        <f>BY175*VLOOKUP('Données projet'!$B$12,Paramètres!$A$1:$I$89,3,0)*VLOOKUP('Données projet'!$B$12,Paramètres!$A$1:$I$89,5,0)</f>
        <v>3.6179699236527089E-13</v>
      </c>
      <c r="CA175" s="14">
        <f t="shared" si="170"/>
        <v>4.6796319415916035E-12</v>
      </c>
      <c r="CB175" s="22">
        <f t="shared" si="171"/>
        <v>8.7804887266415556E-12</v>
      </c>
      <c r="CC175" s="62">
        <f t="shared" si="119"/>
        <v>289.65218968711179</v>
      </c>
      <c r="CD175" s="62">
        <f ca="1">AVERAGE(OFFSET($CC$3,0,0,'Données projet'!$E$12+1,1))-AVERAGE(OFFSET($H$3,0,0,'Données projet'!$E$12+1,1))</f>
        <v>447.25854887589878</v>
      </c>
      <c r="CE175" s="62">
        <f t="shared" si="148"/>
        <v>480.13390593590157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68.996051732846283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1.1368683772161603E-13</v>
      </c>
      <c r="CU175" s="18">
        <f>CT175*VLOOKUP('Données projet'!$B$13,Paramètres!$A$1:$I$89,3,0)*VLOOKUP('Données projet'!$B$13,Paramètres!$A$1:$I$89,5,0)</f>
        <v>8.8675733422860506E-14</v>
      </c>
      <c r="CV175" s="14">
        <f t="shared" si="173"/>
        <v>1.3509285393066301E-12</v>
      </c>
      <c r="CW175" s="22">
        <f t="shared" si="174"/>
        <v>2.5073107750038623E-12</v>
      </c>
      <c r="CX175" s="62">
        <f t="shared" si="122"/>
        <v>289.65218968710553</v>
      </c>
      <c r="CY175" s="62">
        <f ca="1">AVERAGE(OFFSET($CX$3,0,0,'Données projet'!$E$13+1,1))-AVERAGE(OFFSET($H$3,0,0,'Données projet'!$E$13+1,1))</f>
        <v>308.52515801950324</v>
      </c>
      <c r="CZ175" s="62">
        <f t="shared" si="150"/>
        <v>299.05420638408953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68.996051732846283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4.5474735088646412E-13</v>
      </c>
      <c r="DP175" s="18">
        <f>DO175*VLOOKUP('Données projet'!$B$14,Paramètres!$A$1:$I$89,3,0)*VLOOKUP('Données projet'!$B$14,Paramètres!$A$1:$I$89,5,0)</f>
        <v>3.3342075766995548E-13</v>
      </c>
      <c r="DQ175" s="14">
        <f t="shared" si="176"/>
        <v>4.3537988100583648E-12</v>
      </c>
      <c r="DR175" s="22">
        <f t="shared" si="177"/>
        <v>8.1635740804601579E-12</v>
      </c>
      <c r="DS175" s="62">
        <f t="shared" si="125"/>
        <v>289.65218968711122</v>
      </c>
      <c r="DT175" s="62">
        <f ca="1">AVERAGE(OFFSET($DS$3,0,0,'Données projet'!$E$14+1,1))-AVERAGE(OFFSET($H$3,0,0,'Données projet'!$E$14+1,1))</f>
        <v>416.72317068678774</v>
      </c>
      <c r="DU175" s="62">
        <f t="shared" si="152"/>
        <v>447.32457429495537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68.996051732846283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5.6843418860808015E-14</v>
      </c>
      <c r="EK175" s="18">
        <f>EJ175*VLOOKUP('Données projet'!$B$15,Paramètres!$A$1:$I$89,3,0)*VLOOKUP('Données projet'!$B$15,Paramètres!$A$1:$I$89,5,0)</f>
        <v>5.4092197387944907E-14</v>
      </c>
      <c r="EL175" s="14">
        <f t="shared" si="179"/>
        <v>8.7287050538073676E-13</v>
      </c>
      <c r="EM175" s="22">
        <f t="shared" si="180"/>
        <v>1.6144600406554537E-12</v>
      </c>
      <c r="EN175" s="62">
        <f t="shared" si="128"/>
        <v>289.65218968710462</v>
      </c>
      <c r="EO175" s="62">
        <f ca="1">AVERAGE(OFFSET($EN$3,0,0,'Données projet'!$E$15+1,1))-AVERAGE(OFFSET($H$3,0,0,'Données projet'!$E$15+1,1))</f>
        <v>454.78867027701426</v>
      </c>
      <c r="EP175" s="62">
        <f t="shared" si="154"/>
        <v>366.45346303927056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0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68.996051732846283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>
        <f>FE175*VLOOKUP('Données projet'!$B$16,Paramètres!$A$1:$I$89,3,0)*VLOOKUP('Données projet'!$B$16,Paramètres!$A$1:$I$89,5,0)</f>
        <v>0</v>
      </c>
      <c r="FG175" s="14" t="e">
        <f t="shared" si="182"/>
        <v>#NUM!</v>
      </c>
      <c r="FH175" s="22" t="e">
        <f t="shared" si="183"/>
        <v>#NUM!</v>
      </c>
      <c r="FI175" s="62" t="e">
        <f t="shared" si="131"/>
        <v>#NUM!</v>
      </c>
      <c r="FJ175" s="62">
        <f ca="1">AVERAGE(OFFSET($FI$3,0,0,'Données projet'!$E$16+1,1))-AVERAGE(OFFSET($H$3,0,0,'Données projet'!$E$16+1,1))</f>
        <v>390.05579539539576</v>
      </c>
      <c r="FK175" s="62">
        <f t="shared" si="156"/>
        <v>323.72278615226139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projet'!$B$16,Paramètres!$A$1:$I$89,3,0)*0.475*44/12</f>
        <v>0</v>
      </c>
      <c r="FR175" s="23">
        <f>EXP(-LN(2)/25)*FR174+(1-EXP(-LN(2)/25))/(LN(2)/25)*Calculateur!FM175*Calculateur!FO175*VLOOKUP('Données projet'!$B$16,Paramètres!$A$1:$I$89,3,0)*0.475*44/12</f>
        <v>0</v>
      </c>
      <c r="FS175" s="23">
        <f>EXP(-LN(2)/2)*FS174+(1-EXP(-LN(2)/2))/(LN(2)/2)*FM175*FP175*VLOOKUP('Données projet'!$B$16,Paramètres!$A$1:$I$89,3,0)*0.475*44/12</f>
        <v>0</v>
      </c>
      <c r="FT175" s="24">
        <f t="shared" si="184"/>
        <v>0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68.996051732846283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5.6843418860808015E-14</v>
      </c>
      <c r="GA175" s="18">
        <f>FZ175*VLOOKUP('Données projet'!$B$17,Paramètres!$A$1:$I$89,3,0)*VLOOKUP('Données projet'!$B$17,Paramètres!$A$1:$I$89,5,0)</f>
        <v>5.4978954722173515E-14</v>
      </c>
      <c r="GB175" s="14">
        <f t="shared" si="185"/>
        <v>8.8550225887742724E-13</v>
      </c>
      <c r="GC175" s="22">
        <f t="shared" si="186"/>
        <v>1.6380047803526383E-12</v>
      </c>
      <c r="GD175" s="62">
        <f t="shared" si="134"/>
        <v>289.65218968710468</v>
      </c>
      <c r="GE175" s="62">
        <f ca="1">AVERAGE(OFFSET($GD$3,0,0,'Données projet'!$E$17+1,1))-AVERAGE(OFFSET($H$3,0,0,'Données projet'!$E$17+1,1))</f>
        <v>578.44111602076555</v>
      </c>
      <c r="GF175" s="62">
        <f t="shared" si="158"/>
        <v>368.08542661432784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>
        <f>EXP(-LN(2)/35)*GL174+(1-EXP(-LN(2)/35))/(LN(2)/35)*GH175*GI175*VLOOKUP('Données projet'!$B$17,Paramètres!$A$1:$I$89,3,0)*0.475*44/12</f>
        <v>0</v>
      </c>
      <c r="GM175" s="23">
        <f>EXP(-LN(2)/25)*GM174+(1-EXP(-LN(2)/25))/(LN(2)/25)*Calculateur!GH175*Calculateur!GJ175*VLOOKUP('Données projet'!$B$17,Paramètres!$A$1:$I$89,3,0)*0.475*44/12</f>
        <v>0</v>
      </c>
      <c r="GN175" s="23">
        <f>EXP(-LN(2)/2)*GN174+(1-EXP(-LN(2)/2))/(LN(2)/2)*GH175*GK175*VLOOKUP('Données projet'!$B$17,Paramètres!$A$1:$I$89,3,0)*0.475*44/12</f>
        <v>0</v>
      </c>
      <c r="GO175" s="23">
        <f t="shared" si="187"/>
        <v>0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68.996051732846283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4.0735000000000001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14.936166666666667</v>
      </c>
      <c r="H176" s="70">
        <f t="shared" si="110"/>
        <v>196.922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69.013467990789323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5.1431925385259088E-14</v>
      </c>
      <c r="P176" s="14">
        <f t="shared" si="141"/>
        <v>8.3482866290946129E-13</v>
      </c>
      <c r="Q176" s="22">
        <f t="shared" si="162"/>
        <v>1.5435705246133045E-12</v>
      </c>
      <c r="R176" s="62">
        <f t="shared" si="109"/>
        <v>289.71604929956237</v>
      </c>
      <c r="S176" s="62">
        <f ca="1">AVERAGE(OFFSET($R$3,0,0,'Données projet'!$E$9+1,1))-AVERAGE(OFFSET($H$3,0,0,'Données projet'!$E$9+1,1))</f>
        <v>546.11281471711925</v>
      </c>
      <c r="T176" s="62">
        <f t="shared" si="142"/>
        <v>348.18069831447099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69.013467990789323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-1.2505552149377763E-12</v>
      </c>
      <c r="AJ176" s="14">
        <f>AI176*VLOOKUP('Données projet'!$B$10,Paramètres!$A$1:$I$89,3,0)*VLOOKUP('Données projet'!$B$10,Paramètres!$A$1:$I$89,5,0)</f>
        <v>-1.0729763744166122E-12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693.87994318348024</v>
      </c>
      <c r="AO176" s="62">
        <f t="shared" si="144"/>
        <v>327.71043739333641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69.013467990789323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5.6843418860808015E-14</v>
      </c>
      <c r="BE176" s="14">
        <f>BD176*VLOOKUP('Données projet'!$B$11,Paramètres!$A$1:$I$89,3,0)*VLOOKUP('Données projet'!$B$11,Paramètres!$A$1:$I$89,5,0)</f>
        <v>4.7884896048344674E-14</v>
      </c>
      <c r="BF176" s="14">
        <f t="shared" si="167"/>
        <v>7.8374629847779921E-13</v>
      </c>
      <c r="BG176" s="22">
        <f t="shared" si="168"/>
        <v>1.4484243304663672E-12</v>
      </c>
      <c r="BH176" s="62">
        <f t="shared" si="116"/>
        <v>289.71604929956226</v>
      </c>
      <c r="BI176" s="62">
        <f ca="1">AVERAGE(OFFSET($BH$3,0,0,'Données projet'!$E$11+1,1))-AVERAGE(OFFSET($H$3,0,0,'Données projet'!$E$11+1,1))</f>
        <v>513.7388209355762</v>
      </c>
      <c r="BJ176" s="62">
        <f t="shared" si="146"/>
        <v>328.24603121433927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69.013467990789323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4.5474735088646412E-13</v>
      </c>
      <c r="BZ176" s="14">
        <f>BY176*VLOOKUP('Données projet'!$B$12,Paramètres!$A$1:$I$89,3,0)*VLOOKUP('Données projet'!$B$12,Paramètres!$A$1:$I$89,5,0)</f>
        <v>3.6179699236527089E-13</v>
      </c>
      <c r="CA176" s="14">
        <f t="shared" si="170"/>
        <v>4.6796319415916035E-12</v>
      </c>
      <c r="CB176" s="22">
        <f t="shared" si="171"/>
        <v>8.7804887266415556E-12</v>
      </c>
      <c r="CC176" s="62">
        <f t="shared" si="119"/>
        <v>289.71604929956959</v>
      </c>
      <c r="CD176" s="62">
        <f ca="1">AVERAGE(OFFSET($CC$3,0,0,'Données projet'!$E$12+1,1))-AVERAGE(OFFSET($H$3,0,0,'Données projet'!$E$12+1,1))</f>
        <v>447.25854887589878</v>
      </c>
      <c r="CE176" s="62">
        <f t="shared" si="148"/>
        <v>480.13390593590157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69.013467990789323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1.1368683772161603E-13</v>
      </c>
      <c r="CU176" s="18">
        <f>CT176*VLOOKUP('Données projet'!$B$13,Paramètres!$A$1:$I$89,3,0)*VLOOKUP('Données projet'!$B$13,Paramètres!$A$1:$I$89,5,0)</f>
        <v>8.8675733422860506E-14</v>
      </c>
      <c r="CV176" s="14">
        <f t="shared" si="173"/>
        <v>1.3509285393066301E-12</v>
      </c>
      <c r="CW176" s="22">
        <f t="shared" si="174"/>
        <v>2.5073107750038623E-12</v>
      </c>
      <c r="CX176" s="62">
        <f t="shared" si="122"/>
        <v>289.71604929956334</v>
      </c>
      <c r="CY176" s="62">
        <f ca="1">AVERAGE(OFFSET($CX$3,0,0,'Données projet'!$E$13+1,1))-AVERAGE(OFFSET($H$3,0,0,'Données projet'!$E$13+1,1))</f>
        <v>308.52515801950324</v>
      </c>
      <c r="CZ176" s="62">
        <f t="shared" si="150"/>
        <v>299.05420638408953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69.013467990789323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4.5474735088646412E-13</v>
      </c>
      <c r="DP176" s="18">
        <f>DO176*VLOOKUP('Données projet'!$B$14,Paramètres!$A$1:$I$89,3,0)*VLOOKUP('Données projet'!$B$14,Paramètres!$A$1:$I$89,5,0)</f>
        <v>3.3342075766995548E-13</v>
      </c>
      <c r="DQ176" s="14">
        <f t="shared" si="176"/>
        <v>4.3537988100583648E-12</v>
      </c>
      <c r="DR176" s="22">
        <f t="shared" si="177"/>
        <v>8.1635740804601579E-12</v>
      </c>
      <c r="DS176" s="62">
        <f t="shared" si="125"/>
        <v>289.71604929956902</v>
      </c>
      <c r="DT176" s="62">
        <f ca="1">AVERAGE(OFFSET($DS$3,0,0,'Données projet'!$E$14+1,1))-AVERAGE(OFFSET($H$3,0,0,'Données projet'!$E$14+1,1))</f>
        <v>416.72317068678774</v>
      </c>
      <c r="DU176" s="62">
        <f t="shared" si="152"/>
        <v>447.32457429495537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69.013467990789323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5.6843418860808015E-14</v>
      </c>
      <c r="EK176" s="18">
        <f>EJ176*VLOOKUP('Données projet'!$B$15,Paramètres!$A$1:$I$89,3,0)*VLOOKUP('Données projet'!$B$15,Paramètres!$A$1:$I$89,5,0)</f>
        <v>5.4092197387944907E-14</v>
      </c>
      <c r="EL176" s="14">
        <f t="shared" si="179"/>
        <v>8.7287050538073676E-13</v>
      </c>
      <c r="EM176" s="22">
        <f t="shared" si="180"/>
        <v>1.6144600406554537E-12</v>
      </c>
      <c r="EN176" s="62">
        <f t="shared" si="128"/>
        <v>289.71604929956243</v>
      </c>
      <c r="EO176" s="62">
        <f ca="1">AVERAGE(OFFSET($EN$3,0,0,'Données projet'!$E$15+1,1))-AVERAGE(OFFSET($H$3,0,0,'Données projet'!$E$15+1,1))</f>
        <v>454.78867027701426</v>
      </c>
      <c r="EP176" s="62">
        <f t="shared" si="154"/>
        <v>366.45346303927056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0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69.013467990789323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>
        <f>FE176*VLOOKUP('Données projet'!$B$16,Paramètres!$A$1:$I$89,3,0)*VLOOKUP('Données projet'!$B$16,Paramètres!$A$1:$I$89,5,0)</f>
        <v>0</v>
      </c>
      <c r="FG176" s="14" t="e">
        <f t="shared" si="182"/>
        <v>#NUM!</v>
      </c>
      <c r="FH176" s="22" t="e">
        <f t="shared" si="183"/>
        <v>#NUM!</v>
      </c>
      <c r="FI176" s="62" t="e">
        <f t="shared" si="131"/>
        <v>#NUM!</v>
      </c>
      <c r="FJ176" s="62">
        <f ca="1">AVERAGE(OFFSET($FI$3,0,0,'Données projet'!$E$16+1,1))-AVERAGE(OFFSET($H$3,0,0,'Données projet'!$E$16+1,1))</f>
        <v>390.05579539539576</v>
      </c>
      <c r="FK176" s="62">
        <f t="shared" si="156"/>
        <v>323.72278615226139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projet'!$B$16,Paramètres!$A$1:$I$89,3,0)*0.475*44/12</f>
        <v>0</v>
      </c>
      <c r="FR176" s="23">
        <f>EXP(-LN(2)/25)*FR175+(1-EXP(-LN(2)/25))/(LN(2)/25)*Calculateur!FM176*Calculateur!FO176*VLOOKUP('Données projet'!$B$16,Paramètres!$A$1:$I$89,3,0)*0.475*44/12</f>
        <v>0</v>
      </c>
      <c r="FS176" s="23">
        <f>EXP(-LN(2)/2)*FS175+(1-EXP(-LN(2)/2))/(LN(2)/2)*FM176*FP176*VLOOKUP('Données projet'!$B$16,Paramètres!$A$1:$I$89,3,0)*0.475*44/12</f>
        <v>0</v>
      </c>
      <c r="FT176" s="24">
        <f t="shared" si="184"/>
        <v>0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69.013467990789323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5.6843418860808015E-14</v>
      </c>
      <c r="GA176" s="18">
        <f>FZ176*VLOOKUP('Données projet'!$B$17,Paramètres!$A$1:$I$89,3,0)*VLOOKUP('Données projet'!$B$17,Paramètres!$A$1:$I$89,5,0)</f>
        <v>5.4978954722173515E-14</v>
      </c>
      <c r="GB176" s="14">
        <f t="shared" si="185"/>
        <v>8.8550225887742724E-13</v>
      </c>
      <c r="GC176" s="22">
        <f t="shared" si="186"/>
        <v>1.6380047803526383E-12</v>
      </c>
      <c r="GD176" s="62">
        <f t="shared" si="134"/>
        <v>289.71604929956248</v>
      </c>
      <c r="GE176" s="62">
        <f ca="1">AVERAGE(OFFSET($GD$3,0,0,'Données projet'!$E$17+1,1))-AVERAGE(OFFSET($H$3,0,0,'Données projet'!$E$17+1,1))</f>
        <v>578.44111602076555</v>
      </c>
      <c r="GF176" s="62">
        <f t="shared" si="158"/>
        <v>368.08542661432784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>
        <f>EXP(-LN(2)/35)*GL175+(1-EXP(-LN(2)/35))/(LN(2)/35)*GH176*GI176*VLOOKUP('Données projet'!$B$17,Paramètres!$A$1:$I$89,3,0)*0.475*44/12</f>
        <v>0</v>
      </c>
      <c r="GM176" s="23">
        <f>EXP(-LN(2)/25)*GM175+(1-EXP(-LN(2)/25))/(LN(2)/25)*Calculateur!GH176*Calculateur!GJ176*VLOOKUP('Données projet'!$B$17,Paramètres!$A$1:$I$89,3,0)*0.475*44/12</f>
        <v>0</v>
      </c>
      <c r="GN176" s="23">
        <f>EXP(-LN(2)/2)*GN175+(1-EXP(-LN(2)/2))/(LN(2)/2)*GH176*GK176*VLOOKUP('Données projet'!$B$17,Paramètres!$A$1:$I$89,3,0)*0.475*44/12</f>
        <v>0</v>
      </c>
      <c r="GO176" s="23">
        <f t="shared" si="187"/>
        <v>0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69.013467990789323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4.0735000000000001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14.936166666666667</v>
      </c>
      <c r="H177" s="70">
        <f t="shared" si="110"/>
        <v>196.922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69.030582115593973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5.1431925385259088E-14</v>
      </c>
      <c r="P177" s="14">
        <f t="shared" si="141"/>
        <v>8.3482866290946129E-13</v>
      </c>
      <c r="Q177" s="22">
        <f t="shared" si="162"/>
        <v>1.5435705246133045E-12</v>
      </c>
      <c r="R177" s="62">
        <f t="shared" si="109"/>
        <v>289.77880109051279</v>
      </c>
      <c r="S177" s="62">
        <f ca="1">AVERAGE(OFFSET($R$3,0,0,'Données projet'!$E$9+1,1))-AVERAGE(OFFSET($H$3,0,0,'Données projet'!$E$9+1,1))</f>
        <v>546.11281471711925</v>
      </c>
      <c r="T177" s="62">
        <f t="shared" si="142"/>
        <v>348.18069831447099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69.030582115593973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-1.2505552149377763E-12</v>
      </c>
      <c r="AJ177" s="14">
        <f>AI177*VLOOKUP('Données projet'!$B$10,Paramètres!$A$1:$I$89,3,0)*VLOOKUP('Données projet'!$B$10,Paramètres!$A$1:$I$89,5,0)</f>
        <v>-1.0729763744166122E-12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693.87994318348024</v>
      </c>
      <c r="AO177" s="62">
        <f t="shared" si="144"/>
        <v>327.71043739333641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69.030582115593973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5.6843418860808015E-14</v>
      </c>
      <c r="BE177" s="14">
        <f>BD177*VLOOKUP('Données projet'!$B$11,Paramètres!$A$1:$I$89,3,0)*VLOOKUP('Données projet'!$B$11,Paramètres!$A$1:$I$89,5,0)</f>
        <v>4.7884896048344674E-14</v>
      </c>
      <c r="BF177" s="14">
        <f t="shared" si="167"/>
        <v>7.8374629847779921E-13</v>
      </c>
      <c r="BG177" s="22">
        <f t="shared" si="168"/>
        <v>1.4484243304663672E-12</v>
      </c>
      <c r="BH177" s="62">
        <f t="shared" si="116"/>
        <v>289.77880109051267</v>
      </c>
      <c r="BI177" s="62">
        <f ca="1">AVERAGE(OFFSET($BH$3,0,0,'Données projet'!$E$11+1,1))-AVERAGE(OFFSET($H$3,0,0,'Données projet'!$E$11+1,1))</f>
        <v>513.7388209355762</v>
      </c>
      <c r="BJ177" s="62">
        <f t="shared" si="146"/>
        <v>328.24603121433927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69.030582115593973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4.5474735088646412E-13</v>
      </c>
      <c r="BZ177" s="14">
        <f>BY177*VLOOKUP('Données projet'!$B$12,Paramètres!$A$1:$I$89,3,0)*VLOOKUP('Données projet'!$B$12,Paramètres!$A$1:$I$89,5,0)</f>
        <v>3.6179699236527089E-13</v>
      </c>
      <c r="CA177" s="14">
        <f t="shared" si="170"/>
        <v>4.6796319415916035E-12</v>
      </c>
      <c r="CB177" s="22">
        <f t="shared" si="171"/>
        <v>8.7804887266415556E-12</v>
      </c>
      <c r="CC177" s="62">
        <f t="shared" si="119"/>
        <v>289.77880109052001</v>
      </c>
      <c r="CD177" s="62">
        <f ca="1">AVERAGE(OFFSET($CC$3,0,0,'Données projet'!$E$12+1,1))-AVERAGE(OFFSET($H$3,0,0,'Données projet'!$E$12+1,1))</f>
        <v>447.25854887589878</v>
      </c>
      <c r="CE177" s="62">
        <f t="shared" si="148"/>
        <v>480.13390593590157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69.030582115593973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1.1368683772161603E-13</v>
      </c>
      <c r="CU177" s="18">
        <f>CT177*VLOOKUP('Données projet'!$B$13,Paramètres!$A$1:$I$89,3,0)*VLOOKUP('Données projet'!$B$13,Paramètres!$A$1:$I$89,5,0)</f>
        <v>8.8675733422860506E-14</v>
      </c>
      <c r="CV177" s="14">
        <f t="shared" si="173"/>
        <v>1.3509285393066301E-12</v>
      </c>
      <c r="CW177" s="22">
        <f t="shared" si="174"/>
        <v>2.5073107750038623E-12</v>
      </c>
      <c r="CX177" s="62">
        <f t="shared" si="122"/>
        <v>289.77880109051375</v>
      </c>
      <c r="CY177" s="62">
        <f ca="1">AVERAGE(OFFSET($CX$3,0,0,'Données projet'!$E$13+1,1))-AVERAGE(OFFSET($H$3,0,0,'Données projet'!$E$13+1,1))</f>
        <v>308.52515801950324</v>
      </c>
      <c r="CZ177" s="62">
        <f t="shared" si="150"/>
        <v>299.05420638408953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69.030582115593973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4.5474735088646412E-13</v>
      </c>
      <c r="DP177" s="18">
        <f>DO177*VLOOKUP('Données projet'!$B$14,Paramètres!$A$1:$I$89,3,0)*VLOOKUP('Données projet'!$B$14,Paramètres!$A$1:$I$89,5,0)</f>
        <v>3.3342075766995548E-13</v>
      </c>
      <c r="DQ177" s="14">
        <f t="shared" si="176"/>
        <v>4.3537988100583648E-12</v>
      </c>
      <c r="DR177" s="22">
        <f t="shared" si="177"/>
        <v>8.1635740804601579E-12</v>
      </c>
      <c r="DS177" s="62">
        <f t="shared" si="125"/>
        <v>289.77880109051944</v>
      </c>
      <c r="DT177" s="62">
        <f ca="1">AVERAGE(OFFSET($DS$3,0,0,'Données projet'!$E$14+1,1))-AVERAGE(OFFSET($H$3,0,0,'Données projet'!$E$14+1,1))</f>
        <v>416.72317068678774</v>
      </c>
      <c r="DU177" s="62">
        <f t="shared" si="152"/>
        <v>447.32457429495537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69.030582115593973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5.6843418860808015E-14</v>
      </c>
      <c r="EK177" s="18">
        <f>EJ177*VLOOKUP('Données projet'!$B$15,Paramètres!$A$1:$I$89,3,0)*VLOOKUP('Données projet'!$B$15,Paramètres!$A$1:$I$89,5,0)</f>
        <v>5.4092197387944907E-14</v>
      </c>
      <c r="EL177" s="14">
        <f t="shared" si="179"/>
        <v>8.7287050538073676E-13</v>
      </c>
      <c r="EM177" s="22">
        <f t="shared" si="180"/>
        <v>1.6144600406554537E-12</v>
      </c>
      <c r="EN177" s="62">
        <f t="shared" si="128"/>
        <v>289.77880109051284</v>
      </c>
      <c r="EO177" s="62">
        <f ca="1">AVERAGE(OFFSET($EN$3,0,0,'Données projet'!$E$15+1,1))-AVERAGE(OFFSET($H$3,0,0,'Données projet'!$E$15+1,1))</f>
        <v>454.78867027701426</v>
      </c>
      <c r="EP177" s="62">
        <f t="shared" si="154"/>
        <v>366.45346303927056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0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69.030582115593973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>
        <f>FE177*VLOOKUP('Données projet'!$B$16,Paramètres!$A$1:$I$89,3,0)*VLOOKUP('Données projet'!$B$16,Paramètres!$A$1:$I$89,5,0)</f>
        <v>0</v>
      </c>
      <c r="FG177" s="14" t="e">
        <f t="shared" si="182"/>
        <v>#NUM!</v>
      </c>
      <c r="FH177" s="22" t="e">
        <f t="shared" si="183"/>
        <v>#NUM!</v>
      </c>
      <c r="FI177" s="62" t="e">
        <f t="shared" si="131"/>
        <v>#NUM!</v>
      </c>
      <c r="FJ177" s="62">
        <f ca="1">AVERAGE(OFFSET($FI$3,0,0,'Données projet'!$E$16+1,1))-AVERAGE(OFFSET($H$3,0,0,'Données projet'!$E$16+1,1))</f>
        <v>390.05579539539576</v>
      </c>
      <c r="FK177" s="62">
        <f t="shared" si="156"/>
        <v>323.72278615226139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projet'!$B$16,Paramètres!$A$1:$I$89,3,0)*0.475*44/12</f>
        <v>0</v>
      </c>
      <c r="FR177" s="23">
        <f>EXP(-LN(2)/25)*FR176+(1-EXP(-LN(2)/25))/(LN(2)/25)*Calculateur!FM177*Calculateur!FO177*VLOOKUP('Données projet'!$B$16,Paramètres!$A$1:$I$89,3,0)*0.475*44/12</f>
        <v>0</v>
      </c>
      <c r="FS177" s="23">
        <f>EXP(-LN(2)/2)*FS176+(1-EXP(-LN(2)/2))/(LN(2)/2)*FM177*FP177*VLOOKUP('Données projet'!$B$16,Paramètres!$A$1:$I$89,3,0)*0.475*44/12</f>
        <v>0</v>
      </c>
      <c r="FT177" s="24">
        <f t="shared" si="184"/>
        <v>0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69.030582115593973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5.6843418860808015E-14</v>
      </c>
      <c r="GA177" s="18">
        <f>FZ177*VLOOKUP('Données projet'!$B$17,Paramètres!$A$1:$I$89,3,0)*VLOOKUP('Données projet'!$B$17,Paramètres!$A$1:$I$89,5,0)</f>
        <v>5.4978954722173515E-14</v>
      </c>
      <c r="GB177" s="14">
        <f t="shared" si="185"/>
        <v>8.8550225887742724E-13</v>
      </c>
      <c r="GC177" s="22">
        <f t="shared" si="186"/>
        <v>1.6380047803526383E-12</v>
      </c>
      <c r="GD177" s="62">
        <f t="shared" si="134"/>
        <v>289.7788010905129</v>
      </c>
      <c r="GE177" s="62">
        <f ca="1">AVERAGE(OFFSET($GD$3,0,0,'Données projet'!$E$17+1,1))-AVERAGE(OFFSET($H$3,0,0,'Données projet'!$E$17+1,1))</f>
        <v>578.44111602076555</v>
      </c>
      <c r="GF177" s="62">
        <f t="shared" si="158"/>
        <v>368.08542661432784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>
        <f>EXP(-LN(2)/35)*GL176+(1-EXP(-LN(2)/35))/(LN(2)/35)*GH177*GI177*VLOOKUP('Données projet'!$B$17,Paramètres!$A$1:$I$89,3,0)*0.475*44/12</f>
        <v>0</v>
      </c>
      <c r="GM177" s="23">
        <f>EXP(-LN(2)/25)*GM176+(1-EXP(-LN(2)/25))/(LN(2)/25)*Calculateur!GH177*Calculateur!GJ177*VLOOKUP('Données projet'!$B$17,Paramètres!$A$1:$I$89,3,0)*0.475*44/12</f>
        <v>0</v>
      </c>
      <c r="GN177" s="23">
        <f>EXP(-LN(2)/2)*GN176+(1-EXP(-LN(2)/2))/(LN(2)/2)*GH177*GK177*VLOOKUP('Données projet'!$B$17,Paramètres!$A$1:$I$89,3,0)*0.475*44/12</f>
        <v>0</v>
      </c>
      <c r="GO177" s="23">
        <f t="shared" si="187"/>
        <v>0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69.030582115593973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4.0735000000000001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14.936166666666667</v>
      </c>
      <c r="H178" s="70">
        <f t="shared" si="110"/>
        <v>196.922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69.047399348594709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5.1431925385259088E-14</v>
      </c>
      <c r="P178" s="14">
        <f t="shared" si="141"/>
        <v>8.3482866290946129E-13</v>
      </c>
      <c r="Q178" s="22">
        <f t="shared" si="162"/>
        <v>1.5435705246133045E-12</v>
      </c>
      <c r="R178" s="62">
        <f t="shared" si="109"/>
        <v>289.84046427818214</v>
      </c>
      <c r="S178" s="62">
        <f ca="1">AVERAGE(OFFSET($R$3,0,0,'Données projet'!$E$9+1,1))-AVERAGE(OFFSET($H$3,0,0,'Données projet'!$E$9+1,1))</f>
        <v>546.11281471711925</v>
      </c>
      <c r="T178" s="62">
        <f t="shared" si="142"/>
        <v>348.18069831447099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69.047399348594709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-1.2505552149377763E-12</v>
      </c>
      <c r="AJ178" s="14">
        <f>AI178*VLOOKUP('Données projet'!$B$10,Paramètres!$A$1:$I$89,3,0)*VLOOKUP('Données projet'!$B$10,Paramètres!$A$1:$I$89,5,0)</f>
        <v>-1.0729763744166122E-12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693.87994318348024</v>
      </c>
      <c r="AO178" s="62">
        <f t="shared" si="144"/>
        <v>327.71043739333641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69.047399348594709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5.6843418860808015E-14</v>
      </c>
      <c r="BE178" s="14">
        <f>BD178*VLOOKUP('Données projet'!$B$11,Paramètres!$A$1:$I$89,3,0)*VLOOKUP('Données projet'!$B$11,Paramètres!$A$1:$I$89,5,0)</f>
        <v>4.7884896048344674E-14</v>
      </c>
      <c r="BF178" s="14">
        <f t="shared" si="167"/>
        <v>7.8374629847779921E-13</v>
      </c>
      <c r="BG178" s="22">
        <f t="shared" si="168"/>
        <v>1.4484243304663672E-12</v>
      </c>
      <c r="BH178" s="62">
        <f t="shared" si="116"/>
        <v>289.84046427818203</v>
      </c>
      <c r="BI178" s="62">
        <f ca="1">AVERAGE(OFFSET($BH$3,0,0,'Données projet'!$E$11+1,1))-AVERAGE(OFFSET($H$3,0,0,'Données projet'!$E$11+1,1))</f>
        <v>513.7388209355762</v>
      </c>
      <c r="BJ178" s="62">
        <f t="shared" si="146"/>
        <v>328.24603121433927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69.047399348594709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4.5474735088646412E-13</v>
      </c>
      <c r="BZ178" s="14">
        <f>BY178*VLOOKUP('Données projet'!$B$12,Paramètres!$A$1:$I$89,3,0)*VLOOKUP('Données projet'!$B$12,Paramètres!$A$1:$I$89,5,0)</f>
        <v>3.6179699236527089E-13</v>
      </c>
      <c r="CA178" s="14">
        <f t="shared" si="170"/>
        <v>4.6796319415916035E-12</v>
      </c>
      <c r="CB178" s="22">
        <f t="shared" si="171"/>
        <v>8.7804887266415556E-12</v>
      </c>
      <c r="CC178" s="62">
        <f t="shared" si="119"/>
        <v>289.84046427818936</v>
      </c>
      <c r="CD178" s="62">
        <f ca="1">AVERAGE(OFFSET($CC$3,0,0,'Données projet'!$E$12+1,1))-AVERAGE(OFFSET($H$3,0,0,'Données projet'!$E$12+1,1))</f>
        <v>447.25854887589878</v>
      </c>
      <c r="CE178" s="62">
        <f t="shared" si="148"/>
        <v>480.13390593590157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69.047399348594709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1.1368683772161603E-13</v>
      </c>
      <c r="CU178" s="18">
        <f>CT178*VLOOKUP('Données projet'!$B$13,Paramètres!$A$1:$I$89,3,0)*VLOOKUP('Données projet'!$B$13,Paramètres!$A$1:$I$89,5,0)</f>
        <v>8.8675733422860506E-14</v>
      </c>
      <c r="CV178" s="14">
        <f t="shared" si="173"/>
        <v>1.3509285393066301E-12</v>
      </c>
      <c r="CW178" s="22">
        <f t="shared" si="174"/>
        <v>2.5073107750038623E-12</v>
      </c>
      <c r="CX178" s="62">
        <f t="shared" si="122"/>
        <v>289.84046427818311</v>
      </c>
      <c r="CY178" s="62">
        <f ca="1">AVERAGE(OFFSET($CX$3,0,0,'Données projet'!$E$13+1,1))-AVERAGE(OFFSET($H$3,0,0,'Données projet'!$E$13+1,1))</f>
        <v>308.52515801950324</v>
      </c>
      <c r="CZ178" s="62">
        <f t="shared" si="150"/>
        <v>299.05420638408953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69.047399348594709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4.5474735088646412E-13</v>
      </c>
      <c r="DP178" s="18">
        <f>DO178*VLOOKUP('Données projet'!$B$14,Paramètres!$A$1:$I$89,3,0)*VLOOKUP('Données projet'!$B$14,Paramètres!$A$1:$I$89,5,0)</f>
        <v>3.3342075766995548E-13</v>
      </c>
      <c r="DQ178" s="14">
        <f t="shared" si="176"/>
        <v>4.3537988100583648E-12</v>
      </c>
      <c r="DR178" s="22">
        <f t="shared" si="177"/>
        <v>8.1635740804601579E-12</v>
      </c>
      <c r="DS178" s="62">
        <f t="shared" si="125"/>
        <v>289.84046427818879</v>
      </c>
      <c r="DT178" s="62">
        <f ca="1">AVERAGE(OFFSET($DS$3,0,0,'Données projet'!$E$14+1,1))-AVERAGE(OFFSET($H$3,0,0,'Données projet'!$E$14+1,1))</f>
        <v>416.72317068678774</v>
      </c>
      <c r="DU178" s="62">
        <f t="shared" si="152"/>
        <v>447.32457429495537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69.047399348594709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5.6843418860808015E-14</v>
      </c>
      <c r="EK178" s="18">
        <f>EJ178*VLOOKUP('Données projet'!$B$15,Paramètres!$A$1:$I$89,3,0)*VLOOKUP('Données projet'!$B$15,Paramètres!$A$1:$I$89,5,0)</f>
        <v>5.4092197387944907E-14</v>
      </c>
      <c r="EL178" s="14">
        <f t="shared" si="179"/>
        <v>8.7287050538073676E-13</v>
      </c>
      <c r="EM178" s="22">
        <f t="shared" si="180"/>
        <v>1.6144600406554537E-12</v>
      </c>
      <c r="EN178" s="62">
        <f t="shared" si="128"/>
        <v>289.8404642781822</v>
      </c>
      <c r="EO178" s="62">
        <f ca="1">AVERAGE(OFFSET($EN$3,0,0,'Données projet'!$E$15+1,1))-AVERAGE(OFFSET($H$3,0,0,'Données projet'!$E$15+1,1))</f>
        <v>454.78867027701426</v>
      </c>
      <c r="EP178" s="62">
        <f t="shared" si="154"/>
        <v>366.45346303927056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0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69.047399348594709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>
        <f>FE178*VLOOKUP('Données projet'!$B$16,Paramètres!$A$1:$I$89,3,0)*VLOOKUP('Données projet'!$B$16,Paramètres!$A$1:$I$89,5,0)</f>
        <v>0</v>
      </c>
      <c r="FG178" s="14" t="e">
        <f t="shared" si="182"/>
        <v>#NUM!</v>
      </c>
      <c r="FH178" s="22" t="e">
        <f t="shared" si="183"/>
        <v>#NUM!</v>
      </c>
      <c r="FI178" s="62" t="e">
        <f t="shared" si="131"/>
        <v>#NUM!</v>
      </c>
      <c r="FJ178" s="62">
        <f ca="1">AVERAGE(OFFSET($FI$3,0,0,'Données projet'!$E$16+1,1))-AVERAGE(OFFSET($H$3,0,0,'Données projet'!$E$16+1,1))</f>
        <v>390.05579539539576</v>
      </c>
      <c r="FK178" s="62">
        <f t="shared" si="156"/>
        <v>323.72278615226139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projet'!$B$16,Paramètres!$A$1:$I$89,3,0)*0.475*44/12</f>
        <v>0</v>
      </c>
      <c r="FR178" s="23">
        <f>EXP(-LN(2)/25)*FR177+(1-EXP(-LN(2)/25))/(LN(2)/25)*Calculateur!FM178*Calculateur!FO178*VLOOKUP('Données projet'!$B$16,Paramètres!$A$1:$I$89,3,0)*0.475*44/12</f>
        <v>0</v>
      </c>
      <c r="FS178" s="23">
        <f>EXP(-LN(2)/2)*FS177+(1-EXP(-LN(2)/2))/(LN(2)/2)*FM178*FP178*VLOOKUP('Données projet'!$B$16,Paramètres!$A$1:$I$89,3,0)*0.475*44/12</f>
        <v>0</v>
      </c>
      <c r="FT178" s="24">
        <f t="shared" si="184"/>
        <v>0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69.047399348594709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5.6843418860808015E-14</v>
      </c>
      <c r="GA178" s="18">
        <f>FZ178*VLOOKUP('Données projet'!$B$17,Paramètres!$A$1:$I$89,3,0)*VLOOKUP('Données projet'!$B$17,Paramètres!$A$1:$I$89,5,0)</f>
        <v>5.4978954722173515E-14</v>
      </c>
      <c r="GB178" s="14">
        <f t="shared" si="185"/>
        <v>8.8550225887742724E-13</v>
      </c>
      <c r="GC178" s="22">
        <f t="shared" si="186"/>
        <v>1.6380047803526383E-12</v>
      </c>
      <c r="GD178" s="62">
        <f t="shared" si="134"/>
        <v>289.84046427818225</v>
      </c>
      <c r="GE178" s="62">
        <f ca="1">AVERAGE(OFFSET($GD$3,0,0,'Données projet'!$E$17+1,1))-AVERAGE(OFFSET($H$3,0,0,'Données projet'!$E$17+1,1))</f>
        <v>578.44111602076555</v>
      </c>
      <c r="GF178" s="62">
        <f t="shared" si="158"/>
        <v>368.08542661432784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>
        <f>EXP(-LN(2)/35)*GL177+(1-EXP(-LN(2)/35))/(LN(2)/35)*GH178*GI178*VLOOKUP('Données projet'!$B$17,Paramètres!$A$1:$I$89,3,0)*0.475*44/12</f>
        <v>0</v>
      </c>
      <c r="GM178" s="23">
        <f>EXP(-LN(2)/25)*GM177+(1-EXP(-LN(2)/25))/(LN(2)/25)*Calculateur!GH178*Calculateur!GJ178*VLOOKUP('Données projet'!$B$17,Paramètres!$A$1:$I$89,3,0)*0.475*44/12</f>
        <v>0</v>
      </c>
      <c r="GN178" s="23">
        <f>EXP(-LN(2)/2)*GN177+(1-EXP(-LN(2)/2))/(LN(2)/2)*GH178*GK178*VLOOKUP('Données projet'!$B$17,Paramètres!$A$1:$I$89,3,0)*0.475*44/12</f>
        <v>0</v>
      </c>
      <c r="GO178" s="23">
        <f t="shared" si="187"/>
        <v>0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69.047399348594709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4.0735000000000001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14.936166666666667</v>
      </c>
      <c r="H179" s="70">
        <f t="shared" si="110"/>
        <v>196.922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69.063924840200585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5.1431925385259088E-14</v>
      </c>
      <c r="P179" s="14">
        <f t="shared" si="141"/>
        <v>8.3482866290946129E-13</v>
      </c>
      <c r="Q179" s="22">
        <f t="shared" si="162"/>
        <v>1.5435705246133045E-12</v>
      </c>
      <c r="R179" s="62">
        <f t="shared" si="109"/>
        <v>289.90105774740368</v>
      </c>
      <c r="S179" s="62">
        <f ca="1">AVERAGE(OFFSET($R$3,0,0,'Données projet'!$E$9+1,1))-AVERAGE(OFFSET($H$3,0,0,'Données projet'!$E$9+1,1))</f>
        <v>546.11281471711925</v>
      </c>
      <c r="T179" s="62">
        <f t="shared" si="142"/>
        <v>348.18069831447099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69.063924840200585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-1.2505552149377763E-12</v>
      </c>
      <c r="AJ179" s="14">
        <f>AI179*VLOOKUP('Données projet'!$B$10,Paramètres!$A$1:$I$89,3,0)*VLOOKUP('Données projet'!$B$10,Paramètres!$A$1:$I$89,5,0)</f>
        <v>-1.0729763744166122E-12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693.87994318348024</v>
      </c>
      <c r="AO179" s="62">
        <f t="shared" si="144"/>
        <v>327.71043739333641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69.063924840200585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5.6843418860808015E-14</v>
      </c>
      <c r="BE179" s="14">
        <f>BD179*VLOOKUP('Données projet'!$B$11,Paramètres!$A$1:$I$89,3,0)*VLOOKUP('Données projet'!$B$11,Paramètres!$A$1:$I$89,5,0)</f>
        <v>4.7884896048344674E-14</v>
      </c>
      <c r="BF179" s="14">
        <f t="shared" si="167"/>
        <v>7.8374629847779921E-13</v>
      </c>
      <c r="BG179" s="22">
        <f t="shared" si="168"/>
        <v>1.4484243304663672E-12</v>
      </c>
      <c r="BH179" s="62">
        <f t="shared" si="116"/>
        <v>289.90105774740357</v>
      </c>
      <c r="BI179" s="62">
        <f ca="1">AVERAGE(OFFSET($BH$3,0,0,'Données projet'!$E$11+1,1))-AVERAGE(OFFSET($H$3,0,0,'Données projet'!$E$11+1,1))</f>
        <v>513.7388209355762</v>
      </c>
      <c r="BJ179" s="62">
        <f t="shared" si="146"/>
        <v>328.24603121433927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69.063924840200585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4.5474735088646412E-13</v>
      </c>
      <c r="BZ179" s="14">
        <f>BY179*VLOOKUP('Données projet'!$B$12,Paramètres!$A$1:$I$89,3,0)*VLOOKUP('Données projet'!$B$12,Paramètres!$A$1:$I$89,5,0)</f>
        <v>3.6179699236527089E-13</v>
      </c>
      <c r="CA179" s="14">
        <f t="shared" si="170"/>
        <v>4.6796319415916035E-12</v>
      </c>
      <c r="CB179" s="22">
        <f t="shared" si="171"/>
        <v>8.7804887266415556E-12</v>
      </c>
      <c r="CC179" s="62">
        <f t="shared" si="119"/>
        <v>289.9010577474109</v>
      </c>
      <c r="CD179" s="62">
        <f ca="1">AVERAGE(OFFSET($CC$3,0,0,'Données projet'!$E$12+1,1))-AVERAGE(OFFSET($H$3,0,0,'Données projet'!$E$12+1,1))</f>
        <v>447.25854887589878</v>
      </c>
      <c r="CE179" s="62">
        <f t="shared" si="148"/>
        <v>480.13390593590157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69.063924840200585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1.1368683772161603E-13</v>
      </c>
      <c r="CU179" s="18">
        <f>CT179*VLOOKUP('Données projet'!$B$13,Paramètres!$A$1:$I$89,3,0)*VLOOKUP('Données projet'!$B$13,Paramètres!$A$1:$I$89,5,0)</f>
        <v>8.8675733422860506E-14</v>
      </c>
      <c r="CV179" s="14">
        <f t="shared" si="173"/>
        <v>1.3509285393066301E-12</v>
      </c>
      <c r="CW179" s="22">
        <f t="shared" si="174"/>
        <v>2.5073107750038623E-12</v>
      </c>
      <c r="CX179" s="62">
        <f t="shared" si="122"/>
        <v>289.90105774740465</v>
      </c>
      <c r="CY179" s="62">
        <f ca="1">AVERAGE(OFFSET($CX$3,0,0,'Données projet'!$E$13+1,1))-AVERAGE(OFFSET($H$3,0,0,'Données projet'!$E$13+1,1))</f>
        <v>308.52515801950324</v>
      </c>
      <c r="CZ179" s="62">
        <f t="shared" si="150"/>
        <v>299.05420638408953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69.063924840200585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4.5474735088646412E-13</v>
      </c>
      <c r="DP179" s="18">
        <f>DO179*VLOOKUP('Données projet'!$B$14,Paramètres!$A$1:$I$89,3,0)*VLOOKUP('Données projet'!$B$14,Paramètres!$A$1:$I$89,5,0)</f>
        <v>3.3342075766995548E-13</v>
      </c>
      <c r="DQ179" s="14">
        <f t="shared" si="176"/>
        <v>4.3537988100583648E-12</v>
      </c>
      <c r="DR179" s="22">
        <f t="shared" si="177"/>
        <v>8.1635740804601579E-12</v>
      </c>
      <c r="DS179" s="62">
        <f t="shared" si="125"/>
        <v>289.90105774741033</v>
      </c>
      <c r="DT179" s="62">
        <f ca="1">AVERAGE(OFFSET($DS$3,0,0,'Données projet'!$E$14+1,1))-AVERAGE(OFFSET($H$3,0,0,'Données projet'!$E$14+1,1))</f>
        <v>416.72317068678774</v>
      </c>
      <c r="DU179" s="62">
        <f t="shared" si="152"/>
        <v>447.32457429495537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69.063924840200585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5.6843418860808015E-14</v>
      </c>
      <c r="EK179" s="18">
        <f>EJ179*VLOOKUP('Données projet'!$B$15,Paramètres!$A$1:$I$89,3,0)*VLOOKUP('Données projet'!$B$15,Paramètres!$A$1:$I$89,5,0)</f>
        <v>5.4092197387944907E-14</v>
      </c>
      <c r="EL179" s="14">
        <f t="shared" si="179"/>
        <v>8.7287050538073676E-13</v>
      </c>
      <c r="EM179" s="22">
        <f t="shared" si="180"/>
        <v>1.6144600406554537E-12</v>
      </c>
      <c r="EN179" s="62">
        <f t="shared" si="128"/>
        <v>289.90105774740374</v>
      </c>
      <c r="EO179" s="62">
        <f ca="1">AVERAGE(OFFSET($EN$3,0,0,'Données projet'!$E$15+1,1))-AVERAGE(OFFSET($H$3,0,0,'Données projet'!$E$15+1,1))</f>
        <v>454.78867027701426</v>
      </c>
      <c r="EP179" s="62">
        <f t="shared" si="154"/>
        <v>366.45346303927056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0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69.063924840200585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>
        <f>FE179*VLOOKUP('Données projet'!$B$16,Paramètres!$A$1:$I$89,3,0)*VLOOKUP('Données projet'!$B$16,Paramètres!$A$1:$I$89,5,0)</f>
        <v>0</v>
      </c>
      <c r="FG179" s="14" t="e">
        <f t="shared" si="182"/>
        <v>#NUM!</v>
      </c>
      <c r="FH179" s="22" t="e">
        <f t="shared" si="183"/>
        <v>#NUM!</v>
      </c>
      <c r="FI179" s="62" t="e">
        <f t="shared" si="131"/>
        <v>#NUM!</v>
      </c>
      <c r="FJ179" s="62">
        <f ca="1">AVERAGE(OFFSET($FI$3,0,0,'Données projet'!$E$16+1,1))-AVERAGE(OFFSET($H$3,0,0,'Données projet'!$E$16+1,1))</f>
        <v>390.05579539539576</v>
      </c>
      <c r="FK179" s="62">
        <f t="shared" si="156"/>
        <v>323.72278615226139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projet'!$B$16,Paramètres!$A$1:$I$89,3,0)*0.475*44/12</f>
        <v>0</v>
      </c>
      <c r="FR179" s="23">
        <f>EXP(-LN(2)/25)*FR178+(1-EXP(-LN(2)/25))/(LN(2)/25)*Calculateur!FM179*Calculateur!FO179*VLOOKUP('Données projet'!$B$16,Paramètres!$A$1:$I$89,3,0)*0.475*44/12</f>
        <v>0</v>
      </c>
      <c r="FS179" s="23">
        <f>EXP(-LN(2)/2)*FS178+(1-EXP(-LN(2)/2))/(LN(2)/2)*FM179*FP179*VLOOKUP('Données projet'!$B$16,Paramètres!$A$1:$I$89,3,0)*0.475*44/12</f>
        <v>0</v>
      </c>
      <c r="FT179" s="24">
        <f t="shared" si="184"/>
        <v>0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69.063924840200585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5.6843418860808015E-14</v>
      </c>
      <c r="GA179" s="18">
        <f>FZ179*VLOOKUP('Données projet'!$B$17,Paramètres!$A$1:$I$89,3,0)*VLOOKUP('Données projet'!$B$17,Paramètres!$A$1:$I$89,5,0)</f>
        <v>5.4978954722173515E-14</v>
      </c>
      <c r="GB179" s="14">
        <f t="shared" si="185"/>
        <v>8.8550225887742724E-13</v>
      </c>
      <c r="GC179" s="22">
        <f t="shared" si="186"/>
        <v>1.6380047803526383E-12</v>
      </c>
      <c r="GD179" s="62">
        <f t="shared" si="134"/>
        <v>289.9010577474038</v>
      </c>
      <c r="GE179" s="62">
        <f ca="1">AVERAGE(OFFSET($GD$3,0,0,'Données projet'!$E$17+1,1))-AVERAGE(OFFSET($H$3,0,0,'Données projet'!$E$17+1,1))</f>
        <v>578.44111602076555</v>
      </c>
      <c r="GF179" s="62">
        <f t="shared" si="158"/>
        <v>368.08542661432784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>
        <f>EXP(-LN(2)/35)*GL178+(1-EXP(-LN(2)/35))/(LN(2)/35)*GH179*GI179*VLOOKUP('Données projet'!$B$17,Paramètres!$A$1:$I$89,3,0)*0.475*44/12</f>
        <v>0</v>
      </c>
      <c r="GM179" s="23">
        <f>EXP(-LN(2)/25)*GM178+(1-EXP(-LN(2)/25))/(LN(2)/25)*Calculateur!GH179*Calculateur!GJ179*VLOOKUP('Données projet'!$B$17,Paramètres!$A$1:$I$89,3,0)*0.475*44/12</f>
        <v>0</v>
      </c>
      <c r="GN179" s="23">
        <f>EXP(-LN(2)/2)*GN178+(1-EXP(-LN(2)/2))/(LN(2)/2)*GH179*GK179*VLOOKUP('Données projet'!$B$17,Paramètres!$A$1:$I$89,3,0)*0.475*44/12</f>
        <v>0</v>
      </c>
      <c r="GO179" s="23">
        <f t="shared" si="187"/>
        <v>0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69.063924840200585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4.0735000000000001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14.936166666666667</v>
      </c>
      <c r="H180" s="70">
        <f t="shared" si="110"/>
        <v>196.922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69.080163651472574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5.1431925385259088E-14</v>
      </c>
      <c r="P180" s="14">
        <f t="shared" si="141"/>
        <v>8.3482866290946129E-13</v>
      </c>
      <c r="Q180" s="22">
        <f t="shared" si="162"/>
        <v>1.5435705246133045E-12</v>
      </c>
      <c r="R180" s="62">
        <f t="shared" si="109"/>
        <v>289.96060005540096</v>
      </c>
      <c r="S180" s="62">
        <f ca="1">AVERAGE(OFFSET($R$3,0,0,'Données projet'!$E$9+1,1))-AVERAGE(OFFSET($H$3,0,0,'Données projet'!$E$9+1,1))</f>
        <v>546.11281471711925</v>
      </c>
      <c r="T180" s="62">
        <f t="shared" si="142"/>
        <v>348.18069831447099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69.080163651472574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-1.2505552149377763E-12</v>
      </c>
      <c r="AJ180" s="14">
        <f>AI180*VLOOKUP('Données projet'!$B$10,Paramètres!$A$1:$I$89,3,0)*VLOOKUP('Données projet'!$B$10,Paramètres!$A$1:$I$89,5,0)</f>
        <v>-1.0729763744166122E-12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693.87994318348024</v>
      </c>
      <c r="AO180" s="62">
        <f t="shared" si="144"/>
        <v>327.71043739333641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69.080163651472574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5.6843418860808015E-14</v>
      </c>
      <c r="BE180" s="14">
        <f>BD180*VLOOKUP('Données projet'!$B$11,Paramètres!$A$1:$I$89,3,0)*VLOOKUP('Données projet'!$B$11,Paramètres!$A$1:$I$89,5,0)</f>
        <v>4.7884896048344674E-14</v>
      </c>
      <c r="BF180" s="14">
        <f t="shared" si="167"/>
        <v>7.8374629847779921E-13</v>
      </c>
      <c r="BG180" s="22">
        <f t="shared" si="168"/>
        <v>1.4484243304663672E-12</v>
      </c>
      <c r="BH180" s="62">
        <f t="shared" si="116"/>
        <v>289.96060005540085</v>
      </c>
      <c r="BI180" s="62">
        <f ca="1">AVERAGE(OFFSET($BH$3,0,0,'Données projet'!$E$11+1,1))-AVERAGE(OFFSET($H$3,0,0,'Données projet'!$E$11+1,1))</f>
        <v>513.7388209355762</v>
      </c>
      <c r="BJ180" s="62">
        <f t="shared" si="146"/>
        <v>328.24603121433927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69.080163651472574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4.5474735088646412E-13</v>
      </c>
      <c r="BZ180" s="14">
        <f>BY180*VLOOKUP('Données projet'!$B$12,Paramètres!$A$1:$I$89,3,0)*VLOOKUP('Données projet'!$B$12,Paramètres!$A$1:$I$89,5,0)</f>
        <v>3.6179699236527089E-13</v>
      </c>
      <c r="CA180" s="14">
        <f t="shared" si="170"/>
        <v>4.6796319415916035E-12</v>
      </c>
      <c r="CB180" s="22">
        <f t="shared" si="171"/>
        <v>8.7804887266415556E-12</v>
      </c>
      <c r="CC180" s="62">
        <f t="shared" si="119"/>
        <v>289.96060005540818</v>
      </c>
      <c r="CD180" s="62">
        <f ca="1">AVERAGE(OFFSET($CC$3,0,0,'Données projet'!$E$12+1,1))-AVERAGE(OFFSET($H$3,0,0,'Données projet'!$E$12+1,1))</f>
        <v>447.25854887589878</v>
      </c>
      <c r="CE180" s="62">
        <f t="shared" si="148"/>
        <v>480.13390593590157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69.080163651472574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1.1368683772161603E-13</v>
      </c>
      <c r="CU180" s="18">
        <f>CT180*VLOOKUP('Données projet'!$B$13,Paramètres!$A$1:$I$89,3,0)*VLOOKUP('Données projet'!$B$13,Paramètres!$A$1:$I$89,5,0)</f>
        <v>8.8675733422860506E-14</v>
      </c>
      <c r="CV180" s="14">
        <f t="shared" si="173"/>
        <v>1.3509285393066301E-12</v>
      </c>
      <c r="CW180" s="22">
        <f t="shared" si="174"/>
        <v>2.5073107750038623E-12</v>
      </c>
      <c r="CX180" s="62">
        <f t="shared" si="122"/>
        <v>289.96060005540193</v>
      </c>
      <c r="CY180" s="62">
        <f ca="1">AVERAGE(OFFSET($CX$3,0,0,'Données projet'!$E$13+1,1))-AVERAGE(OFFSET($H$3,0,0,'Données projet'!$E$13+1,1))</f>
        <v>308.52515801950324</v>
      </c>
      <c r="CZ180" s="62">
        <f t="shared" si="150"/>
        <v>299.05420638408953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69.080163651472574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4.5474735088646412E-13</v>
      </c>
      <c r="DP180" s="18">
        <f>DO180*VLOOKUP('Données projet'!$B$14,Paramètres!$A$1:$I$89,3,0)*VLOOKUP('Données projet'!$B$14,Paramètres!$A$1:$I$89,5,0)</f>
        <v>3.3342075766995548E-13</v>
      </c>
      <c r="DQ180" s="14">
        <f t="shared" si="176"/>
        <v>4.3537988100583648E-12</v>
      </c>
      <c r="DR180" s="22">
        <f t="shared" si="177"/>
        <v>8.1635740804601579E-12</v>
      </c>
      <c r="DS180" s="62">
        <f t="shared" si="125"/>
        <v>289.96060005540761</v>
      </c>
      <c r="DT180" s="62">
        <f ca="1">AVERAGE(OFFSET($DS$3,0,0,'Données projet'!$E$14+1,1))-AVERAGE(OFFSET($H$3,0,0,'Données projet'!$E$14+1,1))</f>
        <v>416.72317068678774</v>
      </c>
      <c r="DU180" s="62">
        <f t="shared" si="152"/>
        <v>447.32457429495537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69.080163651472574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5.6843418860808015E-14</v>
      </c>
      <c r="EK180" s="18">
        <f>EJ180*VLOOKUP('Données projet'!$B$15,Paramètres!$A$1:$I$89,3,0)*VLOOKUP('Données projet'!$B$15,Paramètres!$A$1:$I$89,5,0)</f>
        <v>5.4092197387944907E-14</v>
      </c>
      <c r="EL180" s="14">
        <f t="shared" si="179"/>
        <v>8.7287050538073676E-13</v>
      </c>
      <c r="EM180" s="22">
        <f t="shared" si="180"/>
        <v>1.6144600406554537E-12</v>
      </c>
      <c r="EN180" s="62">
        <f t="shared" si="128"/>
        <v>289.96060005540102</v>
      </c>
      <c r="EO180" s="62">
        <f ca="1">AVERAGE(OFFSET($EN$3,0,0,'Données projet'!$E$15+1,1))-AVERAGE(OFFSET($H$3,0,0,'Données projet'!$E$15+1,1))</f>
        <v>454.78867027701426</v>
      </c>
      <c r="EP180" s="62">
        <f t="shared" si="154"/>
        <v>366.45346303927056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0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69.080163651472574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>
        <f>FE180*VLOOKUP('Données projet'!$B$16,Paramètres!$A$1:$I$89,3,0)*VLOOKUP('Données projet'!$B$16,Paramètres!$A$1:$I$89,5,0)</f>
        <v>0</v>
      </c>
      <c r="FG180" s="14" t="e">
        <f t="shared" si="182"/>
        <v>#NUM!</v>
      </c>
      <c r="FH180" s="22" t="e">
        <f t="shared" si="183"/>
        <v>#NUM!</v>
      </c>
      <c r="FI180" s="62" t="e">
        <f t="shared" si="131"/>
        <v>#NUM!</v>
      </c>
      <c r="FJ180" s="62">
        <f ca="1">AVERAGE(OFFSET($FI$3,0,0,'Données projet'!$E$16+1,1))-AVERAGE(OFFSET($H$3,0,0,'Données projet'!$E$16+1,1))</f>
        <v>390.05579539539576</v>
      </c>
      <c r="FK180" s="62">
        <f t="shared" si="156"/>
        <v>323.72278615226139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projet'!$B$16,Paramètres!$A$1:$I$89,3,0)*0.475*44/12</f>
        <v>0</v>
      </c>
      <c r="FR180" s="23">
        <f>EXP(-LN(2)/25)*FR179+(1-EXP(-LN(2)/25))/(LN(2)/25)*Calculateur!FM180*Calculateur!FO180*VLOOKUP('Données projet'!$B$16,Paramètres!$A$1:$I$89,3,0)*0.475*44/12</f>
        <v>0</v>
      </c>
      <c r="FS180" s="23">
        <f>EXP(-LN(2)/2)*FS179+(1-EXP(-LN(2)/2))/(LN(2)/2)*FM180*FP180*VLOOKUP('Données projet'!$B$16,Paramètres!$A$1:$I$89,3,0)*0.475*44/12</f>
        <v>0</v>
      </c>
      <c r="FT180" s="24">
        <f t="shared" si="184"/>
        <v>0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69.080163651472574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5.6843418860808015E-14</v>
      </c>
      <c r="GA180" s="18">
        <f>FZ180*VLOOKUP('Données projet'!$B$17,Paramètres!$A$1:$I$89,3,0)*VLOOKUP('Données projet'!$B$17,Paramètres!$A$1:$I$89,5,0)</f>
        <v>5.4978954722173515E-14</v>
      </c>
      <c r="GB180" s="14">
        <f t="shared" si="185"/>
        <v>8.8550225887742724E-13</v>
      </c>
      <c r="GC180" s="22">
        <f t="shared" si="186"/>
        <v>1.6380047803526383E-12</v>
      </c>
      <c r="GD180" s="62">
        <f t="shared" si="134"/>
        <v>289.96060005540107</v>
      </c>
      <c r="GE180" s="62">
        <f ca="1">AVERAGE(OFFSET($GD$3,0,0,'Données projet'!$E$17+1,1))-AVERAGE(OFFSET($H$3,0,0,'Données projet'!$E$17+1,1))</f>
        <v>578.44111602076555</v>
      </c>
      <c r="GF180" s="62">
        <f t="shared" si="158"/>
        <v>368.08542661432784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>
        <f>EXP(-LN(2)/35)*GL179+(1-EXP(-LN(2)/35))/(LN(2)/35)*GH180*GI180*VLOOKUP('Données projet'!$B$17,Paramètres!$A$1:$I$89,3,0)*0.475*44/12</f>
        <v>0</v>
      </c>
      <c r="GM180" s="23">
        <f>EXP(-LN(2)/25)*GM179+(1-EXP(-LN(2)/25))/(LN(2)/25)*Calculateur!GH180*Calculateur!GJ180*VLOOKUP('Données projet'!$B$17,Paramètres!$A$1:$I$89,3,0)*0.475*44/12</f>
        <v>0</v>
      </c>
      <c r="GN180" s="23">
        <f>EXP(-LN(2)/2)*GN179+(1-EXP(-LN(2)/2))/(LN(2)/2)*GH180*GK180*VLOOKUP('Données projet'!$B$17,Paramètres!$A$1:$I$89,3,0)*0.475*44/12</f>
        <v>0</v>
      </c>
      <c r="GO180" s="23">
        <f t="shared" si="187"/>
        <v>0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69.080163651472574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4.0735000000000001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14.936166666666667</v>
      </c>
      <c r="H181" s="70">
        <f t="shared" si="110"/>
        <v>196.922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69.096120755673525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5.1431925385259088E-14</v>
      </c>
      <c r="P181" s="14">
        <f t="shared" si="141"/>
        <v>8.3482866290946129E-13</v>
      </c>
      <c r="Q181" s="22">
        <f t="shared" si="162"/>
        <v>1.5435705246133045E-12</v>
      </c>
      <c r="R181" s="62">
        <f t="shared" si="109"/>
        <v>290.01910943747112</v>
      </c>
      <c r="S181" s="62">
        <f ca="1">AVERAGE(OFFSET($R$3,0,0,'Données projet'!$E$9+1,1))-AVERAGE(OFFSET($H$3,0,0,'Données projet'!$E$9+1,1))</f>
        <v>546.11281471711925</v>
      </c>
      <c r="T181" s="62">
        <f t="shared" si="142"/>
        <v>348.18069831447099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69.096120755673525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-1.2505552149377763E-12</v>
      </c>
      <c r="AJ181" s="14">
        <f>AI181*VLOOKUP('Données projet'!$B$10,Paramètres!$A$1:$I$89,3,0)*VLOOKUP('Données projet'!$B$10,Paramètres!$A$1:$I$89,5,0)</f>
        <v>-1.0729763744166122E-12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693.87994318348024</v>
      </c>
      <c r="AO181" s="62">
        <f t="shared" si="144"/>
        <v>327.71043739333641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69.096120755673525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5.6843418860808015E-14</v>
      </c>
      <c r="BE181" s="14">
        <f>BD181*VLOOKUP('Données projet'!$B$11,Paramètres!$A$1:$I$89,3,0)*VLOOKUP('Données projet'!$B$11,Paramètres!$A$1:$I$89,5,0)</f>
        <v>4.7884896048344674E-14</v>
      </c>
      <c r="BF181" s="14">
        <f t="shared" si="167"/>
        <v>7.8374629847779921E-13</v>
      </c>
      <c r="BG181" s="22">
        <f t="shared" si="168"/>
        <v>1.4484243304663672E-12</v>
      </c>
      <c r="BH181" s="62">
        <f t="shared" si="116"/>
        <v>290.019109437471</v>
      </c>
      <c r="BI181" s="62">
        <f ca="1">AVERAGE(OFFSET($BH$3,0,0,'Données projet'!$E$11+1,1))-AVERAGE(OFFSET($H$3,0,0,'Données projet'!$E$11+1,1))</f>
        <v>513.7388209355762</v>
      </c>
      <c r="BJ181" s="62">
        <f t="shared" si="146"/>
        <v>328.24603121433927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69.096120755673525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4.5474735088646412E-13</v>
      </c>
      <c r="BZ181" s="14">
        <f>BY181*VLOOKUP('Données projet'!$B$12,Paramètres!$A$1:$I$89,3,0)*VLOOKUP('Données projet'!$B$12,Paramètres!$A$1:$I$89,5,0)</f>
        <v>3.6179699236527089E-13</v>
      </c>
      <c r="CA181" s="14">
        <f t="shared" si="170"/>
        <v>4.6796319415916035E-12</v>
      </c>
      <c r="CB181" s="22">
        <f t="shared" si="171"/>
        <v>8.7804887266415556E-12</v>
      </c>
      <c r="CC181" s="62">
        <f t="shared" si="119"/>
        <v>290.01910943747833</v>
      </c>
      <c r="CD181" s="62">
        <f ca="1">AVERAGE(OFFSET($CC$3,0,0,'Données projet'!$E$12+1,1))-AVERAGE(OFFSET($H$3,0,0,'Données projet'!$E$12+1,1))</f>
        <v>447.25854887589878</v>
      </c>
      <c r="CE181" s="62">
        <f t="shared" si="148"/>
        <v>480.13390593590157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69.096120755673525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1.1368683772161603E-13</v>
      </c>
      <c r="CU181" s="18">
        <f>CT181*VLOOKUP('Données projet'!$B$13,Paramètres!$A$1:$I$89,3,0)*VLOOKUP('Données projet'!$B$13,Paramètres!$A$1:$I$89,5,0)</f>
        <v>8.8675733422860506E-14</v>
      </c>
      <c r="CV181" s="14">
        <f t="shared" si="173"/>
        <v>1.3509285393066301E-12</v>
      </c>
      <c r="CW181" s="22">
        <f t="shared" si="174"/>
        <v>2.5073107750038623E-12</v>
      </c>
      <c r="CX181" s="62">
        <f t="shared" si="122"/>
        <v>290.01910943747208</v>
      </c>
      <c r="CY181" s="62">
        <f ca="1">AVERAGE(OFFSET($CX$3,0,0,'Données projet'!$E$13+1,1))-AVERAGE(OFFSET($H$3,0,0,'Données projet'!$E$13+1,1))</f>
        <v>308.52515801950324</v>
      </c>
      <c r="CZ181" s="62">
        <f t="shared" si="150"/>
        <v>299.05420638408953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69.096120755673525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4.5474735088646412E-13</v>
      </c>
      <c r="DP181" s="18">
        <f>DO181*VLOOKUP('Données projet'!$B$14,Paramètres!$A$1:$I$89,3,0)*VLOOKUP('Données projet'!$B$14,Paramètres!$A$1:$I$89,5,0)</f>
        <v>3.3342075766995548E-13</v>
      </c>
      <c r="DQ181" s="14">
        <f t="shared" si="176"/>
        <v>4.3537988100583648E-12</v>
      </c>
      <c r="DR181" s="22">
        <f t="shared" si="177"/>
        <v>8.1635740804601579E-12</v>
      </c>
      <c r="DS181" s="62">
        <f t="shared" si="125"/>
        <v>290.01910943747777</v>
      </c>
      <c r="DT181" s="62">
        <f ca="1">AVERAGE(OFFSET($DS$3,0,0,'Données projet'!$E$14+1,1))-AVERAGE(OFFSET($H$3,0,0,'Données projet'!$E$14+1,1))</f>
        <v>416.72317068678774</v>
      </c>
      <c r="DU181" s="62">
        <f t="shared" si="152"/>
        <v>447.32457429495537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69.096120755673525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5.6843418860808015E-14</v>
      </c>
      <c r="EK181" s="18">
        <f>EJ181*VLOOKUP('Données projet'!$B$15,Paramètres!$A$1:$I$89,3,0)*VLOOKUP('Données projet'!$B$15,Paramètres!$A$1:$I$89,5,0)</f>
        <v>5.4092197387944907E-14</v>
      </c>
      <c r="EL181" s="14">
        <f t="shared" si="179"/>
        <v>8.7287050538073676E-13</v>
      </c>
      <c r="EM181" s="22">
        <f t="shared" si="180"/>
        <v>1.6144600406554537E-12</v>
      </c>
      <c r="EN181" s="62">
        <f t="shared" si="128"/>
        <v>290.01910943747117</v>
      </c>
      <c r="EO181" s="62">
        <f ca="1">AVERAGE(OFFSET($EN$3,0,0,'Données projet'!$E$15+1,1))-AVERAGE(OFFSET($H$3,0,0,'Données projet'!$E$15+1,1))</f>
        <v>454.78867027701426</v>
      </c>
      <c r="EP181" s="62">
        <f t="shared" si="154"/>
        <v>366.45346303927056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0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69.096120755673525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>
        <f>FE181*VLOOKUP('Données projet'!$B$16,Paramètres!$A$1:$I$89,3,0)*VLOOKUP('Données projet'!$B$16,Paramètres!$A$1:$I$89,5,0)</f>
        <v>0</v>
      </c>
      <c r="FG181" s="14" t="e">
        <f t="shared" si="182"/>
        <v>#NUM!</v>
      </c>
      <c r="FH181" s="22" t="e">
        <f t="shared" si="183"/>
        <v>#NUM!</v>
      </c>
      <c r="FI181" s="62" t="e">
        <f t="shared" si="131"/>
        <v>#NUM!</v>
      </c>
      <c r="FJ181" s="62">
        <f ca="1">AVERAGE(OFFSET($FI$3,0,0,'Données projet'!$E$16+1,1))-AVERAGE(OFFSET($H$3,0,0,'Données projet'!$E$16+1,1))</f>
        <v>390.05579539539576</v>
      </c>
      <c r="FK181" s="62">
        <f t="shared" si="156"/>
        <v>323.72278615226139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projet'!$B$16,Paramètres!$A$1:$I$89,3,0)*0.475*44/12</f>
        <v>0</v>
      </c>
      <c r="FR181" s="23">
        <f>EXP(-LN(2)/25)*FR180+(1-EXP(-LN(2)/25))/(LN(2)/25)*Calculateur!FM181*Calculateur!FO181*VLOOKUP('Données projet'!$B$16,Paramètres!$A$1:$I$89,3,0)*0.475*44/12</f>
        <v>0</v>
      </c>
      <c r="FS181" s="23">
        <f>EXP(-LN(2)/2)*FS180+(1-EXP(-LN(2)/2))/(LN(2)/2)*FM181*FP181*VLOOKUP('Données projet'!$B$16,Paramètres!$A$1:$I$89,3,0)*0.475*44/12</f>
        <v>0</v>
      </c>
      <c r="FT181" s="24">
        <f t="shared" si="184"/>
        <v>0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69.096120755673525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5.6843418860808015E-14</v>
      </c>
      <c r="GA181" s="18">
        <f>FZ181*VLOOKUP('Données projet'!$B$17,Paramètres!$A$1:$I$89,3,0)*VLOOKUP('Données projet'!$B$17,Paramètres!$A$1:$I$89,5,0)</f>
        <v>5.4978954722173515E-14</v>
      </c>
      <c r="GB181" s="14">
        <f t="shared" si="185"/>
        <v>8.8550225887742724E-13</v>
      </c>
      <c r="GC181" s="22">
        <f t="shared" si="186"/>
        <v>1.6380047803526383E-12</v>
      </c>
      <c r="GD181" s="62">
        <f t="shared" si="134"/>
        <v>290.01910943747123</v>
      </c>
      <c r="GE181" s="62">
        <f ca="1">AVERAGE(OFFSET($GD$3,0,0,'Données projet'!$E$17+1,1))-AVERAGE(OFFSET($H$3,0,0,'Données projet'!$E$17+1,1))</f>
        <v>578.44111602076555</v>
      </c>
      <c r="GF181" s="62">
        <f t="shared" si="158"/>
        <v>368.08542661432784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>
        <f>EXP(-LN(2)/35)*GL180+(1-EXP(-LN(2)/35))/(LN(2)/35)*GH181*GI181*VLOOKUP('Données projet'!$B$17,Paramètres!$A$1:$I$89,3,0)*0.475*44/12</f>
        <v>0</v>
      </c>
      <c r="GM181" s="23">
        <f>EXP(-LN(2)/25)*GM180+(1-EXP(-LN(2)/25))/(LN(2)/25)*Calculateur!GH181*Calculateur!GJ181*VLOOKUP('Données projet'!$B$17,Paramètres!$A$1:$I$89,3,0)*0.475*44/12</f>
        <v>0</v>
      </c>
      <c r="GN181" s="23">
        <f>EXP(-LN(2)/2)*GN180+(1-EXP(-LN(2)/2))/(LN(2)/2)*GH181*GK181*VLOOKUP('Données projet'!$B$17,Paramètres!$A$1:$I$89,3,0)*0.475*44/12</f>
        <v>0</v>
      </c>
      <c r="GO181" s="23">
        <f t="shared" si="187"/>
        <v>0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69.096120755673525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4.0735000000000001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14.936166666666667</v>
      </c>
      <c r="H182" s="70">
        <f t="shared" si="110"/>
        <v>196.922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69.111801039791331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5.1431925385259088E-14</v>
      </c>
      <c r="P182" s="14">
        <f t="shared" si="141"/>
        <v>8.3482866290946129E-13</v>
      </c>
      <c r="Q182" s="22">
        <f t="shared" si="162"/>
        <v>1.5435705246133045E-12</v>
      </c>
      <c r="R182" s="62">
        <f t="shared" si="109"/>
        <v>290.07660381256972</v>
      </c>
      <c r="S182" s="62">
        <f ca="1">AVERAGE(OFFSET($R$3,0,0,'Données projet'!$E$9+1,1))-AVERAGE(OFFSET($H$3,0,0,'Données projet'!$E$9+1,1))</f>
        <v>546.11281471711925</v>
      </c>
      <c r="T182" s="62">
        <f t="shared" si="142"/>
        <v>348.18069831447099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69.111801039791331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-1.2505552149377763E-12</v>
      </c>
      <c r="AJ182" s="14">
        <f>AI182*VLOOKUP('Données projet'!$B$10,Paramètres!$A$1:$I$89,3,0)*VLOOKUP('Données projet'!$B$10,Paramètres!$A$1:$I$89,5,0)</f>
        <v>-1.0729763744166122E-12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693.87994318348024</v>
      </c>
      <c r="AO182" s="62">
        <f t="shared" si="144"/>
        <v>327.71043739333641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69.111801039791331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5.6843418860808015E-14</v>
      </c>
      <c r="BE182" s="14">
        <f>BD182*VLOOKUP('Données projet'!$B$11,Paramètres!$A$1:$I$89,3,0)*VLOOKUP('Données projet'!$B$11,Paramètres!$A$1:$I$89,5,0)</f>
        <v>4.7884896048344674E-14</v>
      </c>
      <c r="BF182" s="14">
        <f t="shared" si="167"/>
        <v>7.8374629847779921E-13</v>
      </c>
      <c r="BG182" s="22">
        <f t="shared" si="168"/>
        <v>1.4484243304663672E-12</v>
      </c>
      <c r="BH182" s="62">
        <f t="shared" si="116"/>
        <v>290.0766038125696</v>
      </c>
      <c r="BI182" s="62">
        <f ca="1">AVERAGE(OFFSET($BH$3,0,0,'Données projet'!$E$11+1,1))-AVERAGE(OFFSET($H$3,0,0,'Données projet'!$E$11+1,1))</f>
        <v>513.7388209355762</v>
      </c>
      <c r="BJ182" s="62">
        <f t="shared" si="146"/>
        <v>328.24603121433927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69.111801039791331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4.5474735088646412E-13</v>
      </c>
      <c r="BZ182" s="14">
        <f>BY182*VLOOKUP('Données projet'!$B$12,Paramètres!$A$1:$I$89,3,0)*VLOOKUP('Données projet'!$B$12,Paramètres!$A$1:$I$89,5,0)</f>
        <v>3.6179699236527089E-13</v>
      </c>
      <c r="CA182" s="14">
        <f t="shared" si="170"/>
        <v>4.6796319415916035E-12</v>
      </c>
      <c r="CB182" s="22">
        <f t="shared" si="171"/>
        <v>8.7804887266415556E-12</v>
      </c>
      <c r="CC182" s="62">
        <f t="shared" si="119"/>
        <v>290.07660381257693</v>
      </c>
      <c r="CD182" s="62">
        <f ca="1">AVERAGE(OFFSET($CC$3,0,0,'Données projet'!$E$12+1,1))-AVERAGE(OFFSET($H$3,0,0,'Données projet'!$E$12+1,1))</f>
        <v>447.25854887589878</v>
      </c>
      <c r="CE182" s="62">
        <f t="shared" si="148"/>
        <v>480.13390593590157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69.111801039791331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1.1368683772161603E-13</v>
      </c>
      <c r="CU182" s="18">
        <f>CT182*VLOOKUP('Données projet'!$B$13,Paramètres!$A$1:$I$89,3,0)*VLOOKUP('Données projet'!$B$13,Paramètres!$A$1:$I$89,5,0)</f>
        <v>8.8675733422860506E-14</v>
      </c>
      <c r="CV182" s="14">
        <f t="shared" si="173"/>
        <v>1.3509285393066301E-12</v>
      </c>
      <c r="CW182" s="22">
        <f t="shared" si="174"/>
        <v>2.5073107750038623E-12</v>
      </c>
      <c r="CX182" s="62">
        <f t="shared" si="122"/>
        <v>290.07660381257068</v>
      </c>
      <c r="CY182" s="62">
        <f ca="1">AVERAGE(OFFSET($CX$3,0,0,'Données projet'!$E$13+1,1))-AVERAGE(OFFSET($H$3,0,0,'Données projet'!$E$13+1,1))</f>
        <v>308.52515801950324</v>
      </c>
      <c r="CZ182" s="62">
        <f t="shared" si="150"/>
        <v>299.05420638408953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69.111801039791331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4.5474735088646412E-13</v>
      </c>
      <c r="DP182" s="18">
        <f>DO182*VLOOKUP('Données projet'!$B$14,Paramètres!$A$1:$I$89,3,0)*VLOOKUP('Données projet'!$B$14,Paramètres!$A$1:$I$89,5,0)</f>
        <v>3.3342075766995548E-13</v>
      </c>
      <c r="DQ182" s="14">
        <f t="shared" si="176"/>
        <v>4.3537988100583648E-12</v>
      </c>
      <c r="DR182" s="22">
        <f t="shared" si="177"/>
        <v>8.1635740804601579E-12</v>
      </c>
      <c r="DS182" s="62">
        <f t="shared" si="125"/>
        <v>290.07660381257637</v>
      </c>
      <c r="DT182" s="62">
        <f ca="1">AVERAGE(OFFSET($DS$3,0,0,'Données projet'!$E$14+1,1))-AVERAGE(OFFSET($H$3,0,0,'Données projet'!$E$14+1,1))</f>
        <v>416.72317068678774</v>
      </c>
      <c r="DU182" s="62">
        <f t="shared" si="152"/>
        <v>447.32457429495537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69.111801039791331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5.6843418860808015E-14</v>
      </c>
      <c r="EK182" s="18">
        <f>EJ182*VLOOKUP('Données projet'!$B$15,Paramètres!$A$1:$I$89,3,0)*VLOOKUP('Données projet'!$B$15,Paramètres!$A$1:$I$89,5,0)</f>
        <v>5.4092197387944907E-14</v>
      </c>
      <c r="EL182" s="14">
        <f t="shared" si="179"/>
        <v>8.7287050538073676E-13</v>
      </c>
      <c r="EM182" s="22">
        <f t="shared" si="180"/>
        <v>1.6144600406554537E-12</v>
      </c>
      <c r="EN182" s="62">
        <f t="shared" si="128"/>
        <v>290.07660381256977</v>
      </c>
      <c r="EO182" s="62">
        <f ca="1">AVERAGE(OFFSET($EN$3,0,0,'Données projet'!$E$15+1,1))-AVERAGE(OFFSET($H$3,0,0,'Données projet'!$E$15+1,1))</f>
        <v>454.78867027701426</v>
      </c>
      <c r="EP182" s="62">
        <f t="shared" si="154"/>
        <v>366.45346303927056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0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69.111801039791331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>
        <f>FE182*VLOOKUP('Données projet'!$B$16,Paramètres!$A$1:$I$89,3,0)*VLOOKUP('Données projet'!$B$16,Paramètres!$A$1:$I$89,5,0)</f>
        <v>0</v>
      </c>
      <c r="FG182" s="14" t="e">
        <f t="shared" si="182"/>
        <v>#NUM!</v>
      </c>
      <c r="FH182" s="22" t="e">
        <f t="shared" si="183"/>
        <v>#NUM!</v>
      </c>
      <c r="FI182" s="62" t="e">
        <f t="shared" si="131"/>
        <v>#NUM!</v>
      </c>
      <c r="FJ182" s="62">
        <f ca="1">AVERAGE(OFFSET($FI$3,0,0,'Données projet'!$E$16+1,1))-AVERAGE(OFFSET($H$3,0,0,'Données projet'!$E$16+1,1))</f>
        <v>390.05579539539576</v>
      </c>
      <c r="FK182" s="62">
        <f t="shared" si="156"/>
        <v>323.72278615226139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projet'!$B$16,Paramètres!$A$1:$I$89,3,0)*0.475*44/12</f>
        <v>0</v>
      </c>
      <c r="FR182" s="23">
        <f>EXP(-LN(2)/25)*FR181+(1-EXP(-LN(2)/25))/(LN(2)/25)*Calculateur!FM182*Calculateur!FO182*VLOOKUP('Données projet'!$B$16,Paramètres!$A$1:$I$89,3,0)*0.475*44/12</f>
        <v>0</v>
      </c>
      <c r="FS182" s="23">
        <f>EXP(-LN(2)/2)*FS181+(1-EXP(-LN(2)/2))/(LN(2)/2)*FM182*FP182*VLOOKUP('Données projet'!$B$16,Paramètres!$A$1:$I$89,3,0)*0.475*44/12</f>
        <v>0</v>
      </c>
      <c r="FT182" s="24">
        <f t="shared" si="184"/>
        <v>0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69.111801039791331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5.6843418860808015E-14</v>
      </c>
      <c r="GA182" s="18">
        <f>FZ182*VLOOKUP('Données projet'!$B$17,Paramètres!$A$1:$I$89,3,0)*VLOOKUP('Données projet'!$B$17,Paramètres!$A$1:$I$89,5,0)</f>
        <v>5.4978954722173515E-14</v>
      </c>
      <c r="GB182" s="14">
        <f t="shared" si="185"/>
        <v>8.8550225887742724E-13</v>
      </c>
      <c r="GC182" s="22">
        <f t="shared" si="186"/>
        <v>1.6380047803526383E-12</v>
      </c>
      <c r="GD182" s="62">
        <f t="shared" si="134"/>
        <v>290.07660381256983</v>
      </c>
      <c r="GE182" s="62">
        <f ca="1">AVERAGE(OFFSET($GD$3,0,0,'Données projet'!$E$17+1,1))-AVERAGE(OFFSET($H$3,0,0,'Données projet'!$E$17+1,1))</f>
        <v>578.44111602076555</v>
      </c>
      <c r="GF182" s="62">
        <f t="shared" si="158"/>
        <v>368.08542661432784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>
        <f>EXP(-LN(2)/35)*GL181+(1-EXP(-LN(2)/35))/(LN(2)/35)*GH182*GI182*VLOOKUP('Données projet'!$B$17,Paramètres!$A$1:$I$89,3,0)*0.475*44/12</f>
        <v>0</v>
      </c>
      <c r="GM182" s="23">
        <f>EXP(-LN(2)/25)*GM181+(1-EXP(-LN(2)/25))/(LN(2)/25)*Calculateur!GH182*Calculateur!GJ182*VLOOKUP('Données projet'!$B$17,Paramètres!$A$1:$I$89,3,0)*0.475*44/12</f>
        <v>0</v>
      </c>
      <c r="GN182" s="23">
        <f>EXP(-LN(2)/2)*GN181+(1-EXP(-LN(2)/2))/(LN(2)/2)*GH182*GK182*VLOOKUP('Données projet'!$B$17,Paramètres!$A$1:$I$89,3,0)*0.475*44/12</f>
        <v>0</v>
      </c>
      <c r="GO182" s="23">
        <f t="shared" si="187"/>
        <v>0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69.111801039791331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4.0735000000000001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14.936166666666667</v>
      </c>
      <c r="H183" s="70">
        <f t="shared" si="110"/>
        <v>196.922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69.127209306035553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5.1431925385259088E-14</v>
      </c>
      <c r="P183" s="14">
        <f t="shared" si="141"/>
        <v>8.3482866290946129E-13</v>
      </c>
      <c r="Q183" s="22">
        <f t="shared" si="162"/>
        <v>1.5435705246133045E-12</v>
      </c>
      <c r="R183" s="62">
        <f t="shared" si="109"/>
        <v>290.13310078879857</v>
      </c>
      <c r="S183" s="62">
        <f ca="1">AVERAGE(OFFSET($R$3,0,0,'Données projet'!$E$9+1,1))-AVERAGE(OFFSET($H$3,0,0,'Données projet'!$E$9+1,1))</f>
        <v>546.11281471711925</v>
      </c>
      <c r="T183" s="62">
        <f t="shared" si="142"/>
        <v>348.18069831447099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69.127209306035553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-1.2505552149377763E-12</v>
      </c>
      <c r="AJ183" s="14">
        <f>AI183*VLOOKUP('Données projet'!$B$10,Paramètres!$A$1:$I$89,3,0)*VLOOKUP('Données projet'!$B$10,Paramètres!$A$1:$I$89,5,0)</f>
        <v>-1.0729763744166122E-12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693.87994318348024</v>
      </c>
      <c r="AO183" s="62">
        <f t="shared" si="144"/>
        <v>327.71043739333641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69.127209306035553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5.6843418860808015E-14</v>
      </c>
      <c r="BE183" s="14">
        <f>BD183*VLOOKUP('Données projet'!$B$11,Paramètres!$A$1:$I$89,3,0)*VLOOKUP('Données projet'!$B$11,Paramètres!$A$1:$I$89,5,0)</f>
        <v>4.7884896048344674E-14</v>
      </c>
      <c r="BF183" s="14">
        <f t="shared" si="167"/>
        <v>7.8374629847779921E-13</v>
      </c>
      <c r="BG183" s="22">
        <f t="shared" si="168"/>
        <v>1.4484243304663672E-12</v>
      </c>
      <c r="BH183" s="62">
        <f t="shared" si="116"/>
        <v>290.13310078879846</v>
      </c>
      <c r="BI183" s="62">
        <f ca="1">AVERAGE(OFFSET($BH$3,0,0,'Données projet'!$E$11+1,1))-AVERAGE(OFFSET($H$3,0,0,'Données projet'!$E$11+1,1))</f>
        <v>513.7388209355762</v>
      </c>
      <c r="BJ183" s="62">
        <f t="shared" si="146"/>
        <v>328.24603121433927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69.127209306035553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4.5474735088646412E-13</v>
      </c>
      <c r="BZ183" s="14">
        <f>BY183*VLOOKUP('Données projet'!$B$12,Paramètres!$A$1:$I$89,3,0)*VLOOKUP('Données projet'!$B$12,Paramètres!$A$1:$I$89,5,0)</f>
        <v>3.6179699236527089E-13</v>
      </c>
      <c r="CA183" s="14">
        <f t="shared" si="170"/>
        <v>4.6796319415916035E-12</v>
      </c>
      <c r="CB183" s="22">
        <f t="shared" si="171"/>
        <v>8.7804887266415556E-12</v>
      </c>
      <c r="CC183" s="62">
        <f t="shared" si="119"/>
        <v>290.13310078880579</v>
      </c>
      <c r="CD183" s="62">
        <f ca="1">AVERAGE(OFFSET($CC$3,0,0,'Données projet'!$E$12+1,1))-AVERAGE(OFFSET($H$3,0,0,'Données projet'!$E$12+1,1))</f>
        <v>447.25854887589878</v>
      </c>
      <c r="CE183" s="62">
        <f t="shared" si="148"/>
        <v>480.13390593590157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69.127209306035553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1.1368683772161603E-13</v>
      </c>
      <c r="CU183" s="18">
        <f>CT183*VLOOKUP('Données projet'!$B$13,Paramètres!$A$1:$I$89,3,0)*VLOOKUP('Données projet'!$B$13,Paramètres!$A$1:$I$89,5,0)</f>
        <v>8.8675733422860506E-14</v>
      </c>
      <c r="CV183" s="14">
        <f t="shared" si="173"/>
        <v>1.3509285393066301E-12</v>
      </c>
      <c r="CW183" s="22">
        <f t="shared" si="174"/>
        <v>2.5073107750038623E-12</v>
      </c>
      <c r="CX183" s="62">
        <f t="shared" si="122"/>
        <v>290.13310078879954</v>
      </c>
      <c r="CY183" s="62">
        <f ca="1">AVERAGE(OFFSET($CX$3,0,0,'Données projet'!$E$13+1,1))-AVERAGE(OFFSET($H$3,0,0,'Données projet'!$E$13+1,1))</f>
        <v>308.52515801950324</v>
      </c>
      <c r="CZ183" s="62">
        <f t="shared" si="150"/>
        <v>299.05420638408953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69.127209306035553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4.5474735088646412E-13</v>
      </c>
      <c r="DP183" s="18">
        <f>DO183*VLOOKUP('Données projet'!$B$14,Paramètres!$A$1:$I$89,3,0)*VLOOKUP('Données projet'!$B$14,Paramètres!$A$1:$I$89,5,0)</f>
        <v>3.3342075766995548E-13</v>
      </c>
      <c r="DQ183" s="14">
        <f t="shared" si="176"/>
        <v>4.3537988100583648E-12</v>
      </c>
      <c r="DR183" s="22">
        <f t="shared" si="177"/>
        <v>8.1635740804601579E-12</v>
      </c>
      <c r="DS183" s="62">
        <f t="shared" si="125"/>
        <v>290.13310078880522</v>
      </c>
      <c r="DT183" s="62">
        <f ca="1">AVERAGE(OFFSET($DS$3,0,0,'Données projet'!$E$14+1,1))-AVERAGE(OFFSET($H$3,0,0,'Données projet'!$E$14+1,1))</f>
        <v>416.72317068678774</v>
      </c>
      <c r="DU183" s="62">
        <f t="shared" si="152"/>
        <v>447.32457429495537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69.127209306035553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5.6843418860808015E-14</v>
      </c>
      <c r="EK183" s="18">
        <f>EJ183*VLOOKUP('Données projet'!$B$15,Paramètres!$A$1:$I$89,3,0)*VLOOKUP('Données projet'!$B$15,Paramètres!$A$1:$I$89,5,0)</f>
        <v>5.4092197387944907E-14</v>
      </c>
      <c r="EL183" s="14">
        <f t="shared" si="179"/>
        <v>8.7287050538073676E-13</v>
      </c>
      <c r="EM183" s="22">
        <f t="shared" si="180"/>
        <v>1.6144600406554537E-12</v>
      </c>
      <c r="EN183" s="62">
        <f t="shared" si="128"/>
        <v>290.13310078879863</v>
      </c>
      <c r="EO183" s="62">
        <f ca="1">AVERAGE(OFFSET($EN$3,0,0,'Données projet'!$E$15+1,1))-AVERAGE(OFFSET($H$3,0,0,'Données projet'!$E$15+1,1))</f>
        <v>454.78867027701426</v>
      </c>
      <c r="EP183" s="62">
        <f t="shared" si="154"/>
        <v>366.45346303927056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0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69.127209306035553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>
        <f>FE183*VLOOKUP('Données projet'!$B$16,Paramètres!$A$1:$I$89,3,0)*VLOOKUP('Données projet'!$B$16,Paramètres!$A$1:$I$89,5,0)</f>
        <v>0</v>
      </c>
      <c r="FG183" s="14" t="e">
        <f t="shared" si="182"/>
        <v>#NUM!</v>
      </c>
      <c r="FH183" s="22" t="e">
        <f t="shared" si="183"/>
        <v>#NUM!</v>
      </c>
      <c r="FI183" s="62" t="e">
        <f t="shared" si="131"/>
        <v>#NUM!</v>
      </c>
      <c r="FJ183" s="62">
        <f ca="1">AVERAGE(OFFSET($FI$3,0,0,'Données projet'!$E$16+1,1))-AVERAGE(OFFSET($H$3,0,0,'Données projet'!$E$16+1,1))</f>
        <v>390.05579539539576</v>
      </c>
      <c r="FK183" s="62">
        <f t="shared" si="156"/>
        <v>323.72278615226139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projet'!$B$16,Paramètres!$A$1:$I$89,3,0)*0.475*44/12</f>
        <v>0</v>
      </c>
      <c r="FR183" s="23">
        <f>EXP(-LN(2)/25)*FR182+(1-EXP(-LN(2)/25))/(LN(2)/25)*Calculateur!FM183*Calculateur!FO183*VLOOKUP('Données projet'!$B$16,Paramètres!$A$1:$I$89,3,0)*0.475*44/12</f>
        <v>0</v>
      </c>
      <c r="FS183" s="23">
        <f>EXP(-LN(2)/2)*FS182+(1-EXP(-LN(2)/2))/(LN(2)/2)*FM183*FP183*VLOOKUP('Données projet'!$B$16,Paramètres!$A$1:$I$89,3,0)*0.475*44/12</f>
        <v>0</v>
      </c>
      <c r="FT183" s="24">
        <f t="shared" si="184"/>
        <v>0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69.127209306035553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5.6843418860808015E-14</v>
      </c>
      <c r="GA183" s="18">
        <f>FZ183*VLOOKUP('Données projet'!$B$17,Paramètres!$A$1:$I$89,3,0)*VLOOKUP('Données projet'!$B$17,Paramètres!$A$1:$I$89,5,0)</f>
        <v>5.4978954722173515E-14</v>
      </c>
      <c r="GB183" s="14">
        <f t="shared" si="185"/>
        <v>8.8550225887742724E-13</v>
      </c>
      <c r="GC183" s="22">
        <f t="shared" si="186"/>
        <v>1.6380047803526383E-12</v>
      </c>
      <c r="GD183" s="62">
        <f t="shared" si="134"/>
        <v>290.13310078879869</v>
      </c>
      <c r="GE183" s="62">
        <f ca="1">AVERAGE(OFFSET($GD$3,0,0,'Données projet'!$E$17+1,1))-AVERAGE(OFFSET($H$3,0,0,'Données projet'!$E$17+1,1))</f>
        <v>578.44111602076555</v>
      </c>
      <c r="GF183" s="62">
        <f t="shared" si="158"/>
        <v>368.08542661432784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>
        <f>EXP(-LN(2)/35)*GL182+(1-EXP(-LN(2)/35))/(LN(2)/35)*GH183*GI183*VLOOKUP('Données projet'!$B$17,Paramètres!$A$1:$I$89,3,0)*0.475*44/12</f>
        <v>0</v>
      </c>
      <c r="GM183" s="23">
        <f>EXP(-LN(2)/25)*GM182+(1-EXP(-LN(2)/25))/(LN(2)/25)*Calculateur!GH183*Calculateur!GJ183*VLOOKUP('Données projet'!$B$17,Paramètres!$A$1:$I$89,3,0)*0.475*44/12</f>
        <v>0</v>
      </c>
      <c r="GN183" s="23">
        <f>EXP(-LN(2)/2)*GN182+(1-EXP(-LN(2)/2))/(LN(2)/2)*GH183*GK183*VLOOKUP('Données projet'!$B$17,Paramètres!$A$1:$I$89,3,0)*0.475*44/12</f>
        <v>0</v>
      </c>
      <c r="GO183" s="23">
        <f t="shared" si="187"/>
        <v>0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69.127209306035553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4.0735000000000001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14.936166666666667</v>
      </c>
      <c r="H184" s="70">
        <f t="shared" si="110"/>
        <v>196.922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69.142350273308168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5.1431925385259088E-14</v>
      </c>
      <c r="P184" s="14">
        <f t="shared" si="141"/>
        <v>8.3482866290946129E-13</v>
      </c>
      <c r="Q184" s="22">
        <f t="shared" si="162"/>
        <v>1.5435705246133045E-12</v>
      </c>
      <c r="R184" s="62">
        <f t="shared" si="109"/>
        <v>290.18861766879814</v>
      </c>
      <c r="S184" s="62">
        <f ca="1">AVERAGE(OFFSET($R$3,0,0,'Données projet'!$E$9+1,1))-AVERAGE(OFFSET($H$3,0,0,'Données projet'!$E$9+1,1))</f>
        <v>546.11281471711925</v>
      </c>
      <c r="T184" s="62">
        <f t="shared" si="142"/>
        <v>348.18069831447099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69.142350273308168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-1.2505552149377763E-12</v>
      </c>
      <c r="AJ184" s="14">
        <f>AI184*VLOOKUP('Données projet'!$B$10,Paramètres!$A$1:$I$89,3,0)*VLOOKUP('Données projet'!$B$10,Paramètres!$A$1:$I$89,5,0)</f>
        <v>-1.0729763744166122E-12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693.87994318348024</v>
      </c>
      <c r="AO184" s="62">
        <f t="shared" si="144"/>
        <v>327.71043739333641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69.142350273308168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5.6843418860808015E-14</v>
      </c>
      <c r="BE184" s="14">
        <f>BD184*VLOOKUP('Données projet'!$B$11,Paramètres!$A$1:$I$89,3,0)*VLOOKUP('Données projet'!$B$11,Paramètres!$A$1:$I$89,5,0)</f>
        <v>4.7884896048344674E-14</v>
      </c>
      <c r="BF184" s="14">
        <f t="shared" si="167"/>
        <v>7.8374629847779921E-13</v>
      </c>
      <c r="BG184" s="22">
        <f t="shared" si="168"/>
        <v>1.4484243304663672E-12</v>
      </c>
      <c r="BH184" s="62">
        <f t="shared" si="116"/>
        <v>290.18861766879803</v>
      </c>
      <c r="BI184" s="62">
        <f ca="1">AVERAGE(OFFSET($BH$3,0,0,'Données projet'!$E$11+1,1))-AVERAGE(OFFSET($H$3,0,0,'Données projet'!$E$11+1,1))</f>
        <v>513.7388209355762</v>
      </c>
      <c r="BJ184" s="62">
        <f t="shared" si="146"/>
        <v>328.24603121433927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69.142350273308168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4.5474735088646412E-13</v>
      </c>
      <c r="BZ184" s="14">
        <f>BY184*VLOOKUP('Données projet'!$B$12,Paramètres!$A$1:$I$89,3,0)*VLOOKUP('Données projet'!$B$12,Paramètres!$A$1:$I$89,5,0)</f>
        <v>3.6179699236527089E-13</v>
      </c>
      <c r="CA184" s="14">
        <f t="shared" si="170"/>
        <v>4.6796319415916035E-12</v>
      </c>
      <c r="CB184" s="22">
        <f t="shared" si="171"/>
        <v>8.7804887266415556E-12</v>
      </c>
      <c r="CC184" s="62">
        <f t="shared" si="119"/>
        <v>290.18861766880536</v>
      </c>
      <c r="CD184" s="62">
        <f ca="1">AVERAGE(OFFSET($CC$3,0,0,'Données projet'!$E$12+1,1))-AVERAGE(OFFSET($H$3,0,0,'Données projet'!$E$12+1,1))</f>
        <v>447.25854887589878</v>
      </c>
      <c r="CE184" s="62">
        <f t="shared" si="148"/>
        <v>480.13390593590157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69.142350273308168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1.1368683772161603E-13</v>
      </c>
      <c r="CU184" s="18">
        <f>CT184*VLOOKUP('Données projet'!$B$13,Paramètres!$A$1:$I$89,3,0)*VLOOKUP('Données projet'!$B$13,Paramètres!$A$1:$I$89,5,0)</f>
        <v>8.8675733422860506E-14</v>
      </c>
      <c r="CV184" s="14">
        <f t="shared" si="173"/>
        <v>1.3509285393066301E-12</v>
      </c>
      <c r="CW184" s="22">
        <f t="shared" si="174"/>
        <v>2.5073107750038623E-12</v>
      </c>
      <c r="CX184" s="62">
        <f t="shared" si="122"/>
        <v>290.18861766879911</v>
      </c>
      <c r="CY184" s="62">
        <f ca="1">AVERAGE(OFFSET($CX$3,0,0,'Données projet'!$E$13+1,1))-AVERAGE(OFFSET($H$3,0,0,'Données projet'!$E$13+1,1))</f>
        <v>308.52515801950324</v>
      </c>
      <c r="CZ184" s="62">
        <f t="shared" si="150"/>
        <v>299.05420638408953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69.142350273308168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4.5474735088646412E-13</v>
      </c>
      <c r="DP184" s="18">
        <f>DO184*VLOOKUP('Données projet'!$B$14,Paramètres!$A$1:$I$89,3,0)*VLOOKUP('Données projet'!$B$14,Paramètres!$A$1:$I$89,5,0)</f>
        <v>3.3342075766995548E-13</v>
      </c>
      <c r="DQ184" s="14">
        <f t="shared" si="176"/>
        <v>4.3537988100583648E-12</v>
      </c>
      <c r="DR184" s="22">
        <f t="shared" si="177"/>
        <v>8.1635740804601579E-12</v>
      </c>
      <c r="DS184" s="62">
        <f t="shared" si="125"/>
        <v>290.1886176688048</v>
      </c>
      <c r="DT184" s="62">
        <f ca="1">AVERAGE(OFFSET($DS$3,0,0,'Données projet'!$E$14+1,1))-AVERAGE(OFFSET($H$3,0,0,'Données projet'!$E$14+1,1))</f>
        <v>416.72317068678774</v>
      </c>
      <c r="DU184" s="62">
        <f t="shared" si="152"/>
        <v>447.32457429495537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69.142350273308168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5.6843418860808015E-14</v>
      </c>
      <c r="EK184" s="18">
        <f>EJ184*VLOOKUP('Données projet'!$B$15,Paramètres!$A$1:$I$89,3,0)*VLOOKUP('Données projet'!$B$15,Paramètres!$A$1:$I$89,5,0)</f>
        <v>5.4092197387944907E-14</v>
      </c>
      <c r="EL184" s="14">
        <f t="shared" si="179"/>
        <v>8.7287050538073676E-13</v>
      </c>
      <c r="EM184" s="22">
        <f t="shared" si="180"/>
        <v>1.6144600406554537E-12</v>
      </c>
      <c r="EN184" s="62">
        <f t="shared" si="128"/>
        <v>290.1886176687982</v>
      </c>
      <c r="EO184" s="62">
        <f ca="1">AVERAGE(OFFSET($EN$3,0,0,'Données projet'!$E$15+1,1))-AVERAGE(OFFSET($H$3,0,0,'Données projet'!$E$15+1,1))</f>
        <v>454.78867027701426</v>
      </c>
      <c r="EP184" s="62">
        <f t="shared" si="154"/>
        <v>366.45346303927056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0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69.142350273308168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>
        <f>FE184*VLOOKUP('Données projet'!$B$16,Paramètres!$A$1:$I$89,3,0)*VLOOKUP('Données projet'!$B$16,Paramètres!$A$1:$I$89,5,0)</f>
        <v>0</v>
      </c>
      <c r="FG184" s="14" t="e">
        <f t="shared" si="182"/>
        <v>#NUM!</v>
      </c>
      <c r="FH184" s="22" t="e">
        <f t="shared" si="183"/>
        <v>#NUM!</v>
      </c>
      <c r="FI184" s="62" t="e">
        <f t="shared" si="131"/>
        <v>#NUM!</v>
      </c>
      <c r="FJ184" s="62">
        <f ca="1">AVERAGE(OFFSET($FI$3,0,0,'Données projet'!$E$16+1,1))-AVERAGE(OFFSET($H$3,0,0,'Données projet'!$E$16+1,1))</f>
        <v>390.05579539539576</v>
      </c>
      <c r="FK184" s="62">
        <f t="shared" si="156"/>
        <v>323.72278615226139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projet'!$B$16,Paramètres!$A$1:$I$89,3,0)*0.475*44/12</f>
        <v>0</v>
      </c>
      <c r="FR184" s="23">
        <f>EXP(-LN(2)/25)*FR183+(1-EXP(-LN(2)/25))/(LN(2)/25)*Calculateur!FM184*Calculateur!FO184*VLOOKUP('Données projet'!$B$16,Paramètres!$A$1:$I$89,3,0)*0.475*44/12</f>
        <v>0</v>
      </c>
      <c r="FS184" s="23">
        <f>EXP(-LN(2)/2)*FS183+(1-EXP(-LN(2)/2))/(LN(2)/2)*FM184*FP184*VLOOKUP('Données projet'!$B$16,Paramètres!$A$1:$I$89,3,0)*0.475*44/12</f>
        <v>0</v>
      </c>
      <c r="FT184" s="24">
        <f t="shared" si="184"/>
        <v>0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69.142350273308168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5.6843418860808015E-14</v>
      </c>
      <c r="GA184" s="18">
        <f>FZ184*VLOOKUP('Données projet'!$B$17,Paramètres!$A$1:$I$89,3,0)*VLOOKUP('Données projet'!$B$17,Paramètres!$A$1:$I$89,5,0)</f>
        <v>5.4978954722173515E-14</v>
      </c>
      <c r="GB184" s="14">
        <f t="shared" si="185"/>
        <v>8.8550225887742724E-13</v>
      </c>
      <c r="GC184" s="22">
        <f t="shared" si="186"/>
        <v>1.6380047803526383E-12</v>
      </c>
      <c r="GD184" s="62">
        <f t="shared" si="134"/>
        <v>290.18861766879826</v>
      </c>
      <c r="GE184" s="62">
        <f ca="1">AVERAGE(OFFSET($GD$3,0,0,'Données projet'!$E$17+1,1))-AVERAGE(OFFSET($H$3,0,0,'Données projet'!$E$17+1,1))</f>
        <v>578.44111602076555</v>
      </c>
      <c r="GF184" s="62">
        <f t="shared" si="158"/>
        <v>368.08542661432784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>
        <f>EXP(-LN(2)/35)*GL183+(1-EXP(-LN(2)/35))/(LN(2)/35)*GH184*GI184*VLOOKUP('Données projet'!$B$17,Paramètres!$A$1:$I$89,3,0)*0.475*44/12</f>
        <v>0</v>
      </c>
      <c r="GM184" s="23">
        <f>EXP(-LN(2)/25)*GM183+(1-EXP(-LN(2)/25))/(LN(2)/25)*Calculateur!GH184*Calculateur!GJ184*VLOOKUP('Données projet'!$B$17,Paramètres!$A$1:$I$89,3,0)*0.475*44/12</f>
        <v>0</v>
      </c>
      <c r="GN184" s="23">
        <f>EXP(-LN(2)/2)*GN183+(1-EXP(-LN(2)/2))/(LN(2)/2)*GH184*GK184*VLOOKUP('Données projet'!$B$17,Paramètres!$A$1:$I$89,3,0)*0.475*44/12</f>
        <v>0</v>
      </c>
      <c r="GO184" s="23">
        <f t="shared" si="187"/>
        <v>0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69.142350273308168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4.0735000000000001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14.936166666666667</v>
      </c>
      <c r="H185" s="70">
        <f t="shared" si="110"/>
        <v>196.922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69.157228578648741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5.1431925385259088E-14</v>
      </c>
      <c r="P185" s="14">
        <f t="shared" si="141"/>
        <v>8.3482866290946129E-13</v>
      </c>
      <c r="Q185" s="22">
        <f t="shared" si="162"/>
        <v>1.5435705246133045E-12</v>
      </c>
      <c r="R185" s="62">
        <f t="shared" si="109"/>
        <v>290.24317145504693</v>
      </c>
      <c r="S185" s="62">
        <f ca="1">AVERAGE(OFFSET($R$3,0,0,'Données projet'!$E$9+1,1))-AVERAGE(OFFSET($H$3,0,0,'Données projet'!$E$9+1,1))</f>
        <v>546.11281471711925</v>
      </c>
      <c r="T185" s="62">
        <f t="shared" si="142"/>
        <v>348.18069831447099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69.157228578648741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-1.2505552149377763E-12</v>
      </c>
      <c r="AJ185" s="14">
        <f>AI185*VLOOKUP('Données projet'!$B$10,Paramètres!$A$1:$I$89,3,0)*VLOOKUP('Données projet'!$B$10,Paramètres!$A$1:$I$89,5,0)</f>
        <v>-1.0729763744166122E-12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693.87994318348024</v>
      </c>
      <c r="AO185" s="62">
        <f t="shared" si="144"/>
        <v>327.71043739333641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69.157228578648741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5.6843418860808015E-14</v>
      </c>
      <c r="BE185" s="14">
        <f>BD185*VLOOKUP('Données projet'!$B$11,Paramètres!$A$1:$I$89,3,0)*VLOOKUP('Données projet'!$B$11,Paramètres!$A$1:$I$89,5,0)</f>
        <v>4.7884896048344674E-14</v>
      </c>
      <c r="BF185" s="14">
        <f t="shared" si="167"/>
        <v>7.8374629847779921E-13</v>
      </c>
      <c r="BG185" s="22">
        <f t="shared" si="168"/>
        <v>1.4484243304663672E-12</v>
      </c>
      <c r="BH185" s="62">
        <f t="shared" si="116"/>
        <v>290.24317145504682</v>
      </c>
      <c r="BI185" s="62">
        <f ca="1">AVERAGE(OFFSET($BH$3,0,0,'Données projet'!$E$11+1,1))-AVERAGE(OFFSET($H$3,0,0,'Données projet'!$E$11+1,1))</f>
        <v>513.7388209355762</v>
      </c>
      <c r="BJ185" s="62">
        <f t="shared" si="146"/>
        <v>328.24603121433927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69.157228578648741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4.5474735088646412E-13</v>
      </c>
      <c r="BZ185" s="14">
        <f>BY185*VLOOKUP('Données projet'!$B$12,Paramètres!$A$1:$I$89,3,0)*VLOOKUP('Données projet'!$B$12,Paramètres!$A$1:$I$89,5,0)</f>
        <v>3.6179699236527089E-13</v>
      </c>
      <c r="CA185" s="14">
        <f t="shared" si="170"/>
        <v>4.6796319415916035E-12</v>
      </c>
      <c r="CB185" s="22">
        <f t="shared" si="171"/>
        <v>8.7804887266415556E-12</v>
      </c>
      <c r="CC185" s="62">
        <f t="shared" si="119"/>
        <v>290.24317145505415</v>
      </c>
      <c r="CD185" s="62">
        <f ca="1">AVERAGE(OFFSET($CC$3,0,0,'Données projet'!$E$12+1,1))-AVERAGE(OFFSET($H$3,0,0,'Données projet'!$E$12+1,1))</f>
        <v>447.25854887589878</v>
      </c>
      <c r="CE185" s="62">
        <f t="shared" si="148"/>
        <v>480.13390593590157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69.157228578648741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1.1368683772161603E-13</v>
      </c>
      <c r="CU185" s="18">
        <f>CT185*VLOOKUP('Données projet'!$B$13,Paramètres!$A$1:$I$89,3,0)*VLOOKUP('Données projet'!$B$13,Paramètres!$A$1:$I$89,5,0)</f>
        <v>8.8675733422860506E-14</v>
      </c>
      <c r="CV185" s="14">
        <f t="shared" si="173"/>
        <v>1.3509285393066301E-12</v>
      </c>
      <c r="CW185" s="22">
        <f t="shared" si="174"/>
        <v>2.5073107750038623E-12</v>
      </c>
      <c r="CX185" s="62">
        <f t="shared" si="122"/>
        <v>290.2431714550479</v>
      </c>
      <c r="CY185" s="62">
        <f ca="1">AVERAGE(OFFSET($CX$3,0,0,'Données projet'!$E$13+1,1))-AVERAGE(OFFSET($H$3,0,0,'Données projet'!$E$13+1,1))</f>
        <v>308.52515801950324</v>
      </c>
      <c r="CZ185" s="62">
        <f t="shared" si="150"/>
        <v>299.05420638408953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69.157228578648741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4.5474735088646412E-13</v>
      </c>
      <c r="DP185" s="18">
        <f>DO185*VLOOKUP('Données projet'!$B$14,Paramètres!$A$1:$I$89,3,0)*VLOOKUP('Données projet'!$B$14,Paramètres!$A$1:$I$89,5,0)</f>
        <v>3.3342075766995548E-13</v>
      </c>
      <c r="DQ185" s="14">
        <f t="shared" si="176"/>
        <v>4.3537988100583648E-12</v>
      </c>
      <c r="DR185" s="22">
        <f t="shared" si="177"/>
        <v>8.1635740804601579E-12</v>
      </c>
      <c r="DS185" s="62">
        <f t="shared" si="125"/>
        <v>290.24317145505358</v>
      </c>
      <c r="DT185" s="62">
        <f ca="1">AVERAGE(OFFSET($DS$3,0,0,'Données projet'!$E$14+1,1))-AVERAGE(OFFSET($H$3,0,0,'Données projet'!$E$14+1,1))</f>
        <v>416.72317068678774</v>
      </c>
      <c r="DU185" s="62">
        <f t="shared" si="152"/>
        <v>447.32457429495537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69.157228578648741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5.6843418860808015E-14</v>
      </c>
      <c r="EK185" s="18">
        <f>EJ185*VLOOKUP('Données projet'!$B$15,Paramètres!$A$1:$I$89,3,0)*VLOOKUP('Données projet'!$B$15,Paramètres!$A$1:$I$89,5,0)</f>
        <v>5.4092197387944907E-14</v>
      </c>
      <c r="EL185" s="14">
        <f t="shared" si="179"/>
        <v>8.7287050538073676E-13</v>
      </c>
      <c r="EM185" s="22">
        <f t="shared" si="180"/>
        <v>1.6144600406554537E-12</v>
      </c>
      <c r="EN185" s="62">
        <f t="shared" si="128"/>
        <v>290.24317145504699</v>
      </c>
      <c r="EO185" s="62">
        <f ca="1">AVERAGE(OFFSET($EN$3,0,0,'Données projet'!$E$15+1,1))-AVERAGE(OFFSET($H$3,0,0,'Données projet'!$E$15+1,1))</f>
        <v>454.78867027701426</v>
      </c>
      <c r="EP185" s="62">
        <f t="shared" si="154"/>
        <v>366.45346303927056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0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69.157228578648741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>
        <f>FE185*VLOOKUP('Données projet'!$B$16,Paramètres!$A$1:$I$89,3,0)*VLOOKUP('Données projet'!$B$16,Paramètres!$A$1:$I$89,5,0)</f>
        <v>0</v>
      </c>
      <c r="FG185" s="14" t="e">
        <f t="shared" si="182"/>
        <v>#NUM!</v>
      </c>
      <c r="FH185" s="22" t="e">
        <f t="shared" si="183"/>
        <v>#NUM!</v>
      </c>
      <c r="FI185" s="62" t="e">
        <f t="shared" si="131"/>
        <v>#NUM!</v>
      </c>
      <c r="FJ185" s="62">
        <f ca="1">AVERAGE(OFFSET($FI$3,0,0,'Données projet'!$E$16+1,1))-AVERAGE(OFFSET($H$3,0,0,'Données projet'!$E$16+1,1))</f>
        <v>390.05579539539576</v>
      </c>
      <c r="FK185" s="62">
        <f t="shared" si="156"/>
        <v>323.72278615226139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projet'!$B$16,Paramètres!$A$1:$I$89,3,0)*0.475*44/12</f>
        <v>0</v>
      </c>
      <c r="FR185" s="23">
        <f>EXP(-LN(2)/25)*FR184+(1-EXP(-LN(2)/25))/(LN(2)/25)*Calculateur!FM185*Calculateur!FO185*VLOOKUP('Données projet'!$B$16,Paramètres!$A$1:$I$89,3,0)*0.475*44/12</f>
        <v>0</v>
      </c>
      <c r="FS185" s="23">
        <f>EXP(-LN(2)/2)*FS184+(1-EXP(-LN(2)/2))/(LN(2)/2)*FM185*FP185*VLOOKUP('Données projet'!$B$16,Paramètres!$A$1:$I$89,3,0)*0.475*44/12</f>
        <v>0</v>
      </c>
      <c r="FT185" s="24">
        <f t="shared" si="184"/>
        <v>0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69.157228578648741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5.6843418860808015E-14</v>
      </c>
      <c r="GA185" s="18">
        <f>FZ185*VLOOKUP('Données projet'!$B$17,Paramètres!$A$1:$I$89,3,0)*VLOOKUP('Données projet'!$B$17,Paramètres!$A$1:$I$89,5,0)</f>
        <v>5.4978954722173515E-14</v>
      </c>
      <c r="GB185" s="14">
        <f t="shared" si="185"/>
        <v>8.8550225887742724E-13</v>
      </c>
      <c r="GC185" s="22">
        <f t="shared" si="186"/>
        <v>1.6380047803526383E-12</v>
      </c>
      <c r="GD185" s="62">
        <f t="shared" si="134"/>
        <v>290.24317145504705</v>
      </c>
      <c r="GE185" s="62">
        <f ca="1">AVERAGE(OFFSET($GD$3,0,0,'Données projet'!$E$17+1,1))-AVERAGE(OFFSET($H$3,0,0,'Données projet'!$E$17+1,1))</f>
        <v>578.44111602076555</v>
      </c>
      <c r="GF185" s="62">
        <f t="shared" si="158"/>
        <v>368.08542661432784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>
        <f>EXP(-LN(2)/35)*GL184+(1-EXP(-LN(2)/35))/(LN(2)/35)*GH185*GI185*VLOOKUP('Données projet'!$B$17,Paramètres!$A$1:$I$89,3,0)*0.475*44/12</f>
        <v>0</v>
      </c>
      <c r="GM185" s="23">
        <f>EXP(-LN(2)/25)*GM184+(1-EXP(-LN(2)/25))/(LN(2)/25)*Calculateur!GH185*Calculateur!GJ185*VLOOKUP('Données projet'!$B$17,Paramètres!$A$1:$I$89,3,0)*0.475*44/12</f>
        <v>0</v>
      </c>
      <c r="GN185" s="23">
        <f>EXP(-LN(2)/2)*GN184+(1-EXP(-LN(2)/2))/(LN(2)/2)*GH185*GK185*VLOOKUP('Données projet'!$B$17,Paramètres!$A$1:$I$89,3,0)*0.475*44/12</f>
        <v>0</v>
      </c>
      <c r="GO185" s="23">
        <f t="shared" si="187"/>
        <v>0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69.157228578648741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4.0735000000000001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14.936166666666667</v>
      </c>
      <c r="H186" s="70">
        <f t="shared" si="110"/>
        <v>196.922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69.17184877865455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5.1431925385259088E-14</v>
      </c>
      <c r="P186" s="14">
        <f t="shared" si="141"/>
        <v>8.3482866290946129E-13</v>
      </c>
      <c r="Q186" s="22">
        <f t="shared" si="162"/>
        <v>1.5435705246133045E-12</v>
      </c>
      <c r="R186" s="62">
        <f t="shared" si="109"/>
        <v>290.29677885506823</v>
      </c>
      <c r="S186" s="62">
        <f ca="1">AVERAGE(OFFSET($R$3,0,0,'Données projet'!$E$9+1,1))-AVERAGE(OFFSET($H$3,0,0,'Données projet'!$E$9+1,1))</f>
        <v>546.11281471711925</v>
      </c>
      <c r="T186" s="62">
        <f t="shared" si="142"/>
        <v>348.18069831447099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69.17184877865455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-1.2505552149377763E-12</v>
      </c>
      <c r="AJ186" s="14">
        <f>AI186*VLOOKUP('Données projet'!$B$10,Paramètres!$A$1:$I$89,3,0)*VLOOKUP('Données projet'!$B$10,Paramètres!$A$1:$I$89,5,0)</f>
        <v>-1.0729763744166122E-12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693.87994318348024</v>
      </c>
      <c r="AO186" s="62">
        <f t="shared" si="144"/>
        <v>327.71043739333641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69.17184877865455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5.6843418860808015E-14</v>
      </c>
      <c r="BE186" s="14">
        <f>BD186*VLOOKUP('Données projet'!$B$11,Paramètres!$A$1:$I$89,3,0)*VLOOKUP('Données projet'!$B$11,Paramètres!$A$1:$I$89,5,0)</f>
        <v>4.7884896048344674E-14</v>
      </c>
      <c r="BF186" s="14">
        <f t="shared" si="167"/>
        <v>7.8374629847779921E-13</v>
      </c>
      <c r="BG186" s="22">
        <f t="shared" si="168"/>
        <v>1.4484243304663672E-12</v>
      </c>
      <c r="BH186" s="62">
        <f t="shared" si="116"/>
        <v>290.29677885506811</v>
      </c>
      <c r="BI186" s="62">
        <f ca="1">AVERAGE(OFFSET($BH$3,0,0,'Données projet'!$E$11+1,1))-AVERAGE(OFFSET($H$3,0,0,'Données projet'!$E$11+1,1))</f>
        <v>513.7388209355762</v>
      </c>
      <c r="BJ186" s="62">
        <f t="shared" si="146"/>
        <v>328.24603121433927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69.17184877865455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4.5474735088646412E-13</v>
      </c>
      <c r="BZ186" s="14">
        <f>BY186*VLOOKUP('Données projet'!$B$12,Paramètres!$A$1:$I$89,3,0)*VLOOKUP('Données projet'!$B$12,Paramètres!$A$1:$I$89,5,0)</f>
        <v>3.6179699236527089E-13</v>
      </c>
      <c r="CA186" s="14">
        <f t="shared" si="170"/>
        <v>4.6796319415916035E-12</v>
      </c>
      <c r="CB186" s="22">
        <f t="shared" si="171"/>
        <v>8.7804887266415556E-12</v>
      </c>
      <c r="CC186" s="62">
        <f t="shared" si="119"/>
        <v>290.29677885507544</v>
      </c>
      <c r="CD186" s="62">
        <f ca="1">AVERAGE(OFFSET($CC$3,0,0,'Données projet'!$E$12+1,1))-AVERAGE(OFFSET($H$3,0,0,'Données projet'!$E$12+1,1))</f>
        <v>447.25854887589878</v>
      </c>
      <c r="CE186" s="62">
        <f t="shared" si="148"/>
        <v>480.13390593590157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69.17184877865455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1.1368683772161603E-13</v>
      </c>
      <c r="CU186" s="18">
        <f>CT186*VLOOKUP('Données projet'!$B$13,Paramètres!$A$1:$I$89,3,0)*VLOOKUP('Données projet'!$B$13,Paramètres!$A$1:$I$89,5,0)</f>
        <v>8.8675733422860506E-14</v>
      </c>
      <c r="CV186" s="14">
        <f t="shared" si="173"/>
        <v>1.3509285393066301E-12</v>
      </c>
      <c r="CW186" s="22">
        <f t="shared" si="174"/>
        <v>2.5073107750038623E-12</v>
      </c>
      <c r="CX186" s="62">
        <f t="shared" si="122"/>
        <v>290.29677885506919</v>
      </c>
      <c r="CY186" s="62">
        <f ca="1">AVERAGE(OFFSET($CX$3,0,0,'Données projet'!$E$13+1,1))-AVERAGE(OFFSET($H$3,0,0,'Données projet'!$E$13+1,1))</f>
        <v>308.52515801950324</v>
      </c>
      <c r="CZ186" s="62">
        <f t="shared" si="150"/>
        <v>299.05420638408953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69.17184877865455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4.5474735088646412E-13</v>
      </c>
      <c r="DP186" s="18">
        <f>DO186*VLOOKUP('Données projet'!$B$14,Paramètres!$A$1:$I$89,3,0)*VLOOKUP('Données projet'!$B$14,Paramètres!$A$1:$I$89,5,0)</f>
        <v>3.3342075766995548E-13</v>
      </c>
      <c r="DQ186" s="14">
        <f t="shared" si="176"/>
        <v>4.3537988100583648E-12</v>
      </c>
      <c r="DR186" s="22">
        <f t="shared" si="177"/>
        <v>8.1635740804601579E-12</v>
      </c>
      <c r="DS186" s="62">
        <f t="shared" si="125"/>
        <v>290.29677885507488</v>
      </c>
      <c r="DT186" s="62">
        <f ca="1">AVERAGE(OFFSET($DS$3,0,0,'Données projet'!$E$14+1,1))-AVERAGE(OFFSET($H$3,0,0,'Données projet'!$E$14+1,1))</f>
        <v>416.72317068678774</v>
      </c>
      <c r="DU186" s="62">
        <f t="shared" si="152"/>
        <v>447.32457429495537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69.17184877865455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5.6843418860808015E-14</v>
      </c>
      <c r="EK186" s="18">
        <f>EJ186*VLOOKUP('Données projet'!$B$15,Paramètres!$A$1:$I$89,3,0)*VLOOKUP('Données projet'!$B$15,Paramètres!$A$1:$I$89,5,0)</f>
        <v>5.4092197387944907E-14</v>
      </c>
      <c r="EL186" s="14">
        <f t="shared" si="179"/>
        <v>8.7287050538073676E-13</v>
      </c>
      <c r="EM186" s="22">
        <f t="shared" si="180"/>
        <v>1.6144600406554537E-12</v>
      </c>
      <c r="EN186" s="62">
        <f t="shared" si="128"/>
        <v>290.29677885506828</v>
      </c>
      <c r="EO186" s="62">
        <f ca="1">AVERAGE(OFFSET($EN$3,0,0,'Données projet'!$E$15+1,1))-AVERAGE(OFFSET($H$3,0,0,'Données projet'!$E$15+1,1))</f>
        <v>454.78867027701426</v>
      </c>
      <c r="EP186" s="62">
        <f t="shared" si="154"/>
        <v>366.45346303927056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0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69.17184877865455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>
        <f>FE186*VLOOKUP('Données projet'!$B$16,Paramètres!$A$1:$I$89,3,0)*VLOOKUP('Données projet'!$B$16,Paramètres!$A$1:$I$89,5,0)</f>
        <v>0</v>
      </c>
      <c r="FG186" s="14" t="e">
        <f t="shared" si="182"/>
        <v>#NUM!</v>
      </c>
      <c r="FH186" s="22" t="e">
        <f t="shared" si="183"/>
        <v>#NUM!</v>
      </c>
      <c r="FI186" s="62" t="e">
        <f t="shared" si="131"/>
        <v>#NUM!</v>
      </c>
      <c r="FJ186" s="62">
        <f ca="1">AVERAGE(OFFSET($FI$3,0,0,'Données projet'!$E$16+1,1))-AVERAGE(OFFSET($H$3,0,0,'Données projet'!$E$16+1,1))</f>
        <v>390.05579539539576</v>
      </c>
      <c r="FK186" s="62">
        <f t="shared" si="156"/>
        <v>323.72278615226139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projet'!$B$16,Paramètres!$A$1:$I$89,3,0)*0.475*44/12</f>
        <v>0</v>
      </c>
      <c r="FR186" s="23">
        <f>EXP(-LN(2)/25)*FR185+(1-EXP(-LN(2)/25))/(LN(2)/25)*Calculateur!FM186*Calculateur!FO186*VLOOKUP('Données projet'!$B$16,Paramètres!$A$1:$I$89,3,0)*0.475*44/12</f>
        <v>0</v>
      </c>
      <c r="FS186" s="23">
        <f>EXP(-LN(2)/2)*FS185+(1-EXP(-LN(2)/2))/(LN(2)/2)*FM186*FP186*VLOOKUP('Données projet'!$B$16,Paramètres!$A$1:$I$89,3,0)*0.475*44/12</f>
        <v>0</v>
      </c>
      <c r="FT186" s="24">
        <f t="shared" si="184"/>
        <v>0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69.17184877865455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5.6843418860808015E-14</v>
      </c>
      <c r="GA186" s="18">
        <f>FZ186*VLOOKUP('Données projet'!$B$17,Paramètres!$A$1:$I$89,3,0)*VLOOKUP('Données projet'!$B$17,Paramètres!$A$1:$I$89,5,0)</f>
        <v>5.4978954722173515E-14</v>
      </c>
      <c r="GB186" s="14">
        <f t="shared" si="185"/>
        <v>8.8550225887742724E-13</v>
      </c>
      <c r="GC186" s="22">
        <f t="shared" si="186"/>
        <v>1.6380047803526383E-12</v>
      </c>
      <c r="GD186" s="62">
        <f t="shared" si="134"/>
        <v>290.29677885506834</v>
      </c>
      <c r="GE186" s="62">
        <f ca="1">AVERAGE(OFFSET($GD$3,0,0,'Données projet'!$E$17+1,1))-AVERAGE(OFFSET($H$3,0,0,'Données projet'!$E$17+1,1))</f>
        <v>578.44111602076555</v>
      </c>
      <c r="GF186" s="62">
        <f t="shared" si="158"/>
        <v>368.08542661432784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>
        <f>EXP(-LN(2)/35)*GL185+(1-EXP(-LN(2)/35))/(LN(2)/35)*GH186*GI186*VLOOKUP('Données projet'!$B$17,Paramètres!$A$1:$I$89,3,0)*0.475*44/12</f>
        <v>0</v>
      </c>
      <c r="GM186" s="23">
        <f>EXP(-LN(2)/25)*GM185+(1-EXP(-LN(2)/25))/(LN(2)/25)*Calculateur!GH186*Calculateur!GJ186*VLOOKUP('Données projet'!$B$17,Paramètres!$A$1:$I$89,3,0)*0.475*44/12</f>
        <v>0</v>
      </c>
      <c r="GN186" s="23">
        <f>EXP(-LN(2)/2)*GN185+(1-EXP(-LN(2)/2))/(LN(2)/2)*GH186*GK186*VLOOKUP('Données projet'!$B$17,Paramètres!$A$1:$I$89,3,0)*0.475*44/12</f>
        <v>0</v>
      </c>
      <c r="GO186" s="23">
        <f t="shared" si="187"/>
        <v>0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69.17184877865455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4.0735000000000001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14.936166666666667</v>
      </c>
      <c r="H187" s="70">
        <f t="shared" si="110"/>
        <v>196.922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69.186215350876139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5.1431925385259088E-14</v>
      </c>
      <c r="P187" s="14">
        <f t="shared" si="141"/>
        <v>8.3482866290946129E-13</v>
      </c>
      <c r="Q187" s="22">
        <f t="shared" si="162"/>
        <v>1.5435705246133045E-12</v>
      </c>
      <c r="R187" s="62">
        <f t="shared" si="109"/>
        <v>290.34945628654737</v>
      </c>
      <c r="S187" s="62">
        <f ca="1">AVERAGE(OFFSET($R$3,0,0,'Données projet'!$E$9+1,1))-AVERAGE(OFFSET($H$3,0,0,'Données projet'!$E$9+1,1))</f>
        <v>546.11281471711925</v>
      </c>
      <c r="T187" s="62">
        <f t="shared" si="142"/>
        <v>348.18069831447099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69.186215350876139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-1.2505552149377763E-12</v>
      </c>
      <c r="AJ187" s="14">
        <f>AI187*VLOOKUP('Données projet'!$B$10,Paramètres!$A$1:$I$89,3,0)*VLOOKUP('Données projet'!$B$10,Paramètres!$A$1:$I$89,5,0)</f>
        <v>-1.0729763744166122E-12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693.87994318348024</v>
      </c>
      <c r="AO187" s="62">
        <f t="shared" si="144"/>
        <v>327.71043739333641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69.186215350876139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5.6843418860808015E-14</v>
      </c>
      <c r="BE187" s="14">
        <f>BD187*VLOOKUP('Données projet'!$B$11,Paramètres!$A$1:$I$89,3,0)*VLOOKUP('Données projet'!$B$11,Paramètres!$A$1:$I$89,5,0)</f>
        <v>4.7884896048344674E-14</v>
      </c>
      <c r="BF187" s="14">
        <f t="shared" si="167"/>
        <v>7.8374629847779921E-13</v>
      </c>
      <c r="BG187" s="22">
        <f t="shared" si="168"/>
        <v>1.4484243304663672E-12</v>
      </c>
      <c r="BH187" s="62">
        <f t="shared" si="116"/>
        <v>290.34945628654725</v>
      </c>
      <c r="BI187" s="62">
        <f ca="1">AVERAGE(OFFSET($BH$3,0,0,'Données projet'!$E$11+1,1))-AVERAGE(OFFSET($H$3,0,0,'Données projet'!$E$11+1,1))</f>
        <v>513.7388209355762</v>
      </c>
      <c r="BJ187" s="62">
        <f t="shared" si="146"/>
        <v>328.24603121433927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69.186215350876139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4.5474735088646412E-13</v>
      </c>
      <c r="BZ187" s="14">
        <f>BY187*VLOOKUP('Données projet'!$B$12,Paramètres!$A$1:$I$89,3,0)*VLOOKUP('Données projet'!$B$12,Paramètres!$A$1:$I$89,5,0)</f>
        <v>3.6179699236527089E-13</v>
      </c>
      <c r="CA187" s="14">
        <f t="shared" si="170"/>
        <v>4.6796319415916035E-12</v>
      </c>
      <c r="CB187" s="22">
        <f t="shared" si="171"/>
        <v>8.7804887266415556E-12</v>
      </c>
      <c r="CC187" s="62">
        <f t="shared" si="119"/>
        <v>290.34945628655458</v>
      </c>
      <c r="CD187" s="62">
        <f ca="1">AVERAGE(OFFSET($CC$3,0,0,'Données projet'!$E$12+1,1))-AVERAGE(OFFSET($H$3,0,0,'Données projet'!$E$12+1,1))</f>
        <v>447.25854887589878</v>
      </c>
      <c r="CE187" s="62">
        <f t="shared" si="148"/>
        <v>480.13390593590157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69.186215350876139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1.1368683772161603E-13</v>
      </c>
      <c r="CU187" s="18">
        <f>CT187*VLOOKUP('Données projet'!$B$13,Paramètres!$A$1:$I$89,3,0)*VLOOKUP('Données projet'!$B$13,Paramètres!$A$1:$I$89,5,0)</f>
        <v>8.8675733422860506E-14</v>
      </c>
      <c r="CV187" s="14">
        <f t="shared" si="173"/>
        <v>1.3509285393066301E-12</v>
      </c>
      <c r="CW187" s="22">
        <f t="shared" si="174"/>
        <v>2.5073107750038623E-12</v>
      </c>
      <c r="CX187" s="62">
        <f t="shared" si="122"/>
        <v>290.34945628654833</v>
      </c>
      <c r="CY187" s="62">
        <f ca="1">AVERAGE(OFFSET($CX$3,0,0,'Données projet'!$E$13+1,1))-AVERAGE(OFFSET($H$3,0,0,'Données projet'!$E$13+1,1))</f>
        <v>308.52515801950324</v>
      </c>
      <c r="CZ187" s="62">
        <f t="shared" si="150"/>
        <v>299.05420638408953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69.186215350876139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4.5474735088646412E-13</v>
      </c>
      <c r="DP187" s="18">
        <f>DO187*VLOOKUP('Données projet'!$B$14,Paramètres!$A$1:$I$89,3,0)*VLOOKUP('Données projet'!$B$14,Paramètres!$A$1:$I$89,5,0)</f>
        <v>3.3342075766995548E-13</v>
      </c>
      <c r="DQ187" s="14">
        <f t="shared" si="176"/>
        <v>4.3537988100583648E-12</v>
      </c>
      <c r="DR187" s="22">
        <f t="shared" si="177"/>
        <v>8.1635740804601579E-12</v>
      </c>
      <c r="DS187" s="62">
        <f t="shared" si="125"/>
        <v>290.34945628655402</v>
      </c>
      <c r="DT187" s="62">
        <f ca="1">AVERAGE(OFFSET($DS$3,0,0,'Données projet'!$E$14+1,1))-AVERAGE(OFFSET($H$3,0,0,'Données projet'!$E$14+1,1))</f>
        <v>416.72317068678774</v>
      </c>
      <c r="DU187" s="62">
        <f t="shared" si="152"/>
        <v>447.32457429495537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69.186215350876139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5.6843418860808015E-14</v>
      </c>
      <c r="EK187" s="18">
        <f>EJ187*VLOOKUP('Données projet'!$B$15,Paramètres!$A$1:$I$89,3,0)*VLOOKUP('Données projet'!$B$15,Paramètres!$A$1:$I$89,5,0)</f>
        <v>5.4092197387944907E-14</v>
      </c>
      <c r="EL187" s="14">
        <f t="shared" si="179"/>
        <v>8.7287050538073676E-13</v>
      </c>
      <c r="EM187" s="22">
        <f t="shared" si="180"/>
        <v>1.6144600406554537E-12</v>
      </c>
      <c r="EN187" s="62">
        <f t="shared" si="128"/>
        <v>290.34945628654742</v>
      </c>
      <c r="EO187" s="62">
        <f ca="1">AVERAGE(OFFSET($EN$3,0,0,'Données projet'!$E$15+1,1))-AVERAGE(OFFSET($H$3,0,0,'Données projet'!$E$15+1,1))</f>
        <v>454.78867027701426</v>
      </c>
      <c r="EP187" s="62">
        <f t="shared" si="154"/>
        <v>366.45346303927056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0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69.186215350876139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>
        <f>FE187*VLOOKUP('Données projet'!$B$16,Paramètres!$A$1:$I$89,3,0)*VLOOKUP('Données projet'!$B$16,Paramètres!$A$1:$I$89,5,0)</f>
        <v>0</v>
      </c>
      <c r="FG187" s="14" t="e">
        <f t="shared" si="182"/>
        <v>#NUM!</v>
      </c>
      <c r="FH187" s="22" t="e">
        <f t="shared" si="183"/>
        <v>#NUM!</v>
      </c>
      <c r="FI187" s="62" t="e">
        <f t="shared" si="131"/>
        <v>#NUM!</v>
      </c>
      <c r="FJ187" s="62">
        <f ca="1">AVERAGE(OFFSET($FI$3,0,0,'Données projet'!$E$16+1,1))-AVERAGE(OFFSET($H$3,0,0,'Données projet'!$E$16+1,1))</f>
        <v>390.05579539539576</v>
      </c>
      <c r="FK187" s="62">
        <f t="shared" si="156"/>
        <v>323.72278615226139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projet'!$B$16,Paramètres!$A$1:$I$89,3,0)*0.475*44/12</f>
        <v>0</v>
      </c>
      <c r="FR187" s="23">
        <f>EXP(-LN(2)/25)*FR186+(1-EXP(-LN(2)/25))/(LN(2)/25)*Calculateur!FM187*Calculateur!FO187*VLOOKUP('Données projet'!$B$16,Paramètres!$A$1:$I$89,3,0)*0.475*44/12</f>
        <v>0</v>
      </c>
      <c r="FS187" s="23">
        <f>EXP(-LN(2)/2)*FS186+(1-EXP(-LN(2)/2))/(LN(2)/2)*FM187*FP187*VLOOKUP('Données projet'!$B$16,Paramètres!$A$1:$I$89,3,0)*0.475*44/12</f>
        <v>0</v>
      </c>
      <c r="FT187" s="24">
        <f t="shared" si="184"/>
        <v>0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69.186215350876139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5.6843418860808015E-14</v>
      </c>
      <c r="GA187" s="18">
        <f>FZ187*VLOOKUP('Données projet'!$B$17,Paramètres!$A$1:$I$89,3,0)*VLOOKUP('Données projet'!$B$17,Paramètres!$A$1:$I$89,5,0)</f>
        <v>5.4978954722173515E-14</v>
      </c>
      <c r="GB187" s="14">
        <f t="shared" si="185"/>
        <v>8.8550225887742724E-13</v>
      </c>
      <c r="GC187" s="22">
        <f t="shared" si="186"/>
        <v>1.6380047803526383E-12</v>
      </c>
      <c r="GD187" s="62">
        <f t="shared" si="134"/>
        <v>290.34945628654748</v>
      </c>
      <c r="GE187" s="62">
        <f ca="1">AVERAGE(OFFSET($GD$3,0,0,'Données projet'!$E$17+1,1))-AVERAGE(OFFSET($H$3,0,0,'Données projet'!$E$17+1,1))</f>
        <v>578.44111602076555</v>
      </c>
      <c r="GF187" s="62">
        <f t="shared" si="158"/>
        <v>368.08542661432784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>
        <f>EXP(-LN(2)/35)*GL186+(1-EXP(-LN(2)/35))/(LN(2)/35)*GH187*GI187*VLOOKUP('Données projet'!$B$17,Paramètres!$A$1:$I$89,3,0)*0.475*44/12</f>
        <v>0</v>
      </c>
      <c r="GM187" s="23">
        <f>EXP(-LN(2)/25)*GM186+(1-EXP(-LN(2)/25))/(LN(2)/25)*Calculateur!GH187*Calculateur!GJ187*VLOOKUP('Données projet'!$B$17,Paramètres!$A$1:$I$89,3,0)*0.475*44/12</f>
        <v>0</v>
      </c>
      <c r="GN187" s="23">
        <f>EXP(-LN(2)/2)*GN186+(1-EXP(-LN(2)/2))/(LN(2)/2)*GH187*GK187*VLOOKUP('Données projet'!$B$17,Paramètres!$A$1:$I$89,3,0)*0.475*44/12</f>
        <v>0</v>
      </c>
      <c r="GO187" s="23">
        <f t="shared" si="187"/>
        <v>0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69.186215350876139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4.0735000000000001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14.936166666666667</v>
      </c>
      <c r="H188" s="70">
        <f t="shared" si="110"/>
        <v>196.922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69.200332695188521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5.1431925385259088E-14</v>
      </c>
      <c r="P188" s="14">
        <f t="shared" si="141"/>
        <v>8.3482866290946129E-13</v>
      </c>
      <c r="Q188" s="22">
        <f t="shared" si="162"/>
        <v>1.5435705246133045E-12</v>
      </c>
      <c r="R188" s="62">
        <f t="shared" si="109"/>
        <v>290.40121988235944</v>
      </c>
      <c r="S188" s="62">
        <f ca="1">AVERAGE(OFFSET($R$3,0,0,'Données projet'!$E$9+1,1))-AVERAGE(OFFSET($H$3,0,0,'Données projet'!$E$9+1,1))</f>
        <v>546.11281471711925</v>
      </c>
      <c r="T188" s="62">
        <f t="shared" si="142"/>
        <v>348.18069831447099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69.200332695188521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-1.2505552149377763E-12</v>
      </c>
      <c r="AJ188" s="14">
        <f>AI188*VLOOKUP('Données projet'!$B$10,Paramètres!$A$1:$I$89,3,0)*VLOOKUP('Données projet'!$B$10,Paramètres!$A$1:$I$89,5,0)</f>
        <v>-1.0729763744166122E-12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693.87994318348024</v>
      </c>
      <c r="AO188" s="62">
        <f t="shared" si="144"/>
        <v>327.71043739333641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69.200332695188521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5.6843418860808015E-14</v>
      </c>
      <c r="BE188" s="14">
        <f>BD188*VLOOKUP('Données projet'!$B$11,Paramètres!$A$1:$I$89,3,0)*VLOOKUP('Données projet'!$B$11,Paramètres!$A$1:$I$89,5,0)</f>
        <v>4.7884896048344674E-14</v>
      </c>
      <c r="BF188" s="14">
        <f t="shared" si="167"/>
        <v>7.8374629847779921E-13</v>
      </c>
      <c r="BG188" s="22">
        <f t="shared" si="168"/>
        <v>1.4484243304663672E-12</v>
      </c>
      <c r="BH188" s="62">
        <f t="shared" si="116"/>
        <v>290.40121988235933</v>
      </c>
      <c r="BI188" s="62">
        <f ca="1">AVERAGE(OFFSET($BH$3,0,0,'Données projet'!$E$11+1,1))-AVERAGE(OFFSET($H$3,0,0,'Données projet'!$E$11+1,1))</f>
        <v>513.7388209355762</v>
      </c>
      <c r="BJ188" s="62">
        <f t="shared" si="146"/>
        <v>328.24603121433927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69.200332695188521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4.5474735088646412E-13</v>
      </c>
      <c r="BZ188" s="14">
        <f>BY188*VLOOKUP('Données projet'!$B$12,Paramètres!$A$1:$I$89,3,0)*VLOOKUP('Données projet'!$B$12,Paramètres!$A$1:$I$89,5,0)</f>
        <v>3.6179699236527089E-13</v>
      </c>
      <c r="CA188" s="14">
        <f t="shared" si="170"/>
        <v>4.6796319415916035E-12</v>
      </c>
      <c r="CB188" s="22">
        <f t="shared" si="171"/>
        <v>8.7804887266415556E-12</v>
      </c>
      <c r="CC188" s="62">
        <f t="shared" si="119"/>
        <v>290.40121988236666</v>
      </c>
      <c r="CD188" s="62">
        <f ca="1">AVERAGE(OFFSET($CC$3,0,0,'Données projet'!$E$12+1,1))-AVERAGE(OFFSET($H$3,0,0,'Données projet'!$E$12+1,1))</f>
        <v>447.25854887589878</v>
      </c>
      <c r="CE188" s="62">
        <f t="shared" si="148"/>
        <v>480.13390593590157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69.200332695188521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1.1368683772161603E-13</v>
      </c>
      <c r="CU188" s="18">
        <f>CT188*VLOOKUP('Données projet'!$B$13,Paramètres!$A$1:$I$89,3,0)*VLOOKUP('Données projet'!$B$13,Paramètres!$A$1:$I$89,5,0)</f>
        <v>8.8675733422860506E-14</v>
      </c>
      <c r="CV188" s="14">
        <f t="shared" si="173"/>
        <v>1.3509285393066301E-12</v>
      </c>
      <c r="CW188" s="22">
        <f t="shared" si="174"/>
        <v>2.5073107750038623E-12</v>
      </c>
      <c r="CX188" s="62">
        <f t="shared" si="122"/>
        <v>290.40121988236041</v>
      </c>
      <c r="CY188" s="62">
        <f ca="1">AVERAGE(OFFSET($CX$3,0,0,'Données projet'!$E$13+1,1))-AVERAGE(OFFSET($H$3,0,0,'Données projet'!$E$13+1,1))</f>
        <v>308.52515801950324</v>
      </c>
      <c r="CZ188" s="62">
        <f t="shared" si="150"/>
        <v>299.05420638408953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69.200332695188521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4.5474735088646412E-13</v>
      </c>
      <c r="DP188" s="18">
        <f>DO188*VLOOKUP('Données projet'!$B$14,Paramètres!$A$1:$I$89,3,0)*VLOOKUP('Données projet'!$B$14,Paramètres!$A$1:$I$89,5,0)</f>
        <v>3.3342075766995548E-13</v>
      </c>
      <c r="DQ188" s="14">
        <f t="shared" si="176"/>
        <v>4.3537988100583648E-12</v>
      </c>
      <c r="DR188" s="22">
        <f t="shared" si="177"/>
        <v>8.1635740804601579E-12</v>
      </c>
      <c r="DS188" s="62">
        <f t="shared" si="125"/>
        <v>290.40121988236609</v>
      </c>
      <c r="DT188" s="62">
        <f ca="1">AVERAGE(OFFSET($DS$3,0,0,'Données projet'!$E$14+1,1))-AVERAGE(OFFSET($H$3,0,0,'Données projet'!$E$14+1,1))</f>
        <v>416.72317068678774</v>
      </c>
      <c r="DU188" s="62">
        <f t="shared" si="152"/>
        <v>447.32457429495537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69.200332695188521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5.6843418860808015E-14</v>
      </c>
      <c r="EK188" s="18">
        <f>EJ188*VLOOKUP('Données projet'!$B$15,Paramètres!$A$1:$I$89,3,0)*VLOOKUP('Données projet'!$B$15,Paramètres!$A$1:$I$89,5,0)</f>
        <v>5.4092197387944907E-14</v>
      </c>
      <c r="EL188" s="14">
        <f t="shared" si="179"/>
        <v>8.7287050538073676E-13</v>
      </c>
      <c r="EM188" s="22">
        <f t="shared" si="180"/>
        <v>1.6144600406554537E-12</v>
      </c>
      <c r="EN188" s="62">
        <f t="shared" si="128"/>
        <v>290.4012198823595</v>
      </c>
      <c r="EO188" s="62">
        <f ca="1">AVERAGE(OFFSET($EN$3,0,0,'Données projet'!$E$15+1,1))-AVERAGE(OFFSET($H$3,0,0,'Données projet'!$E$15+1,1))</f>
        <v>454.78867027701426</v>
      </c>
      <c r="EP188" s="62">
        <f t="shared" si="154"/>
        <v>366.45346303927056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0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69.200332695188521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>
        <f>FE188*VLOOKUP('Données projet'!$B$16,Paramètres!$A$1:$I$89,3,0)*VLOOKUP('Données projet'!$B$16,Paramètres!$A$1:$I$89,5,0)</f>
        <v>0</v>
      </c>
      <c r="FG188" s="14" t="e">
        <f t="shared" si="182"/>
        <v>#NUM!</v>
      </c>
      <c r="FH188" s="22" t="e">
        <f t="shared" si="183"/>
        <v>#NUM!</v>
      </c>
      <c r="FI188" s="62" t="e">
        <f t="shared" si="131"/>
        <v>#NUM!</v>
      </c>
      <c r="FJ188" s="62">
        <f ca="1">AVERAGE(OFFSET($FI$3,0,0,'Données projet'!$E$16+1,1))-AVERAGE(OFFSET($H$3,0,0,'Données projet'!$E$16+1,1))</f>
        <v>390.05579539539576</v>
      </c>
      <c r="FK188" s="62">
        <f t="shared" si="156"/>
        <v>323.72278615226139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projet'!$B$16,Paramètres!$A$1:$I$89,3,0)*0.475*44/12</f>
        <v>0</v>
      </c>
      <c r="FR188" s="23">
        <f>EXP(-LN(2)/25)*FR187+(1-EXP(-LN(2)/25))/(LN(2)/25)*Calculateur!FM188*Calculateur!FO188*VLOOKUP('Données projet'!$B$16,Paramètres!$A$1:$I$89,3,0)*0.475*44/12</f>
        <v>0</v>
      </c>
      <c r="FS188" s="23">
        <f>EXP(-LN(2)/2)*FS187+(1-EXP(-LN(2)/2))/(LN(2)/2)*FM188*FP188*VLOOKUP('Données projet'!$B$16,Paramètres!$A$1:$I$89,3,0)*0.475*44/12</f>
        <v>0</v>
      </c>
      <c r="FT188" s="24">
        <f t="shared" si="184"/>
        <v>0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69.200332695188521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5.6843418860808015E-14</v>
      </c>
      <c r="GA188" s="18">
        <f>FZ188*VLOOKUP('Données projet'!$B$17,Paramètres!$A$1:$I$89,3,0)*VLOOKUP('Données projet'!$B$17,Paramètres!$A$1:$I$89,5,0)</f>
        <v>5.4978954722173515E-14</v>
      </c>
      <c r="GB188" s="14">
        <f t="shared" si="185"/>
        <v>8.8550225887742724E-13</v>
      </c>
      <c r="GC188" s="22">
        <f t="shared" si="186"/>
        <v>1.6380047803526383E-12</v>
      </c>
      <c r="GD188" s="62">
        <f t="shared" si="134"/>
        <v>290.40121988235956</v>
      </c>
      <c r="GE188" s="62">
        <f ca="1">AVERAGE(OFFSET($GD$3,0,0,'Données projet'!$E$17+1,1))-AVERAGE(OFFSET($H$3,0,0,'Données projet'!$E$17+1,1))</f>
        <v>578.44111602076555</v>
      </c>
      <c r="GF188" s="62">
        <f t="shared" si="158"/>
        <v>368.08542661432784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>
        <f>EXP(-LN(2)/35)*GL187+(1-EXP(-LN(2)/35))/(LN(2)/35)*GH188*GI188*VLOOKUP('Données projet'!$B$17,Paramètres!$A$1:$I$89,3,0)*0.475*44/12</f>
        <v>0</v>
      </c>
      <c r="GM188" s="23">
        <f>EXP(-LN(2)/25)*GM187+(1-EXP(-LN(2)/25))/(LN(2)/25)*Calculateur!GH188*Calculateur!GJ188*VLOOKUP('Données projet'!$B$17,Paramètres!$A$1:$I$89,3,0)*0.475*44/12</f>
        <v>0</v>
      </c>
      <c r="GN188" s="23">
        <f>EXP(-LN(2)/2)*GN187+(1-EXP(-LN(2)/2))/(LN(2)/2)*GH188*GK188*VLOOKUP('Données projet'!$B$17,Paramètres!$A$1:$I$89,3,0)*0.475*44/12</f>
        <v>0</v>
      </c>
      <c r="GO188" s="23">
        <f t="shared" si="187"/>
        <v>0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69.200332695188521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4.0735000000000001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14.936166666666667</v>
      </c>
      <c r="H189" s="70">
        <f t="shared" si="110"/>
        <v>196.922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69.214205135138741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5.1431925385259088E-14</v>
      </c>
      <c r="P189" s="14">
        <f t="shared" si="141"/>
        <v>8.3482866290946129E-13</v>
      </c>
      <c r="Q189" s="22">
        <f t="shared" si="162"/>
        <v>1.5435705246133045E-12</v>
      </c>
      <c r="R189" s="62">
        <f t="shared" si="109"/>
        <v>290.45208549551023</v>
      </c>
      <c r="S189" s="62">
        <f ca="1">AVERAGE(OFFSET($R$3,0,0,'Données projet'!$E$9+1,1))-AVERAGE(OFFSET($H$3,0,0,'Données projet'!$E$9+1,1))</f>
        <v>546.11281471711925</v>
      </c>
      <c r="T189" s="62">
        <f t="shared" si="142"/>
        <v>348.18069831447099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69.214205135138741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-1.2505552149377763E-12</v>
      </c>
      <c r="AJ189" s="14">
        <f>AI189*VLOOKUP('Données projet'!$B$10,Paramètres!$A$1:$I$89,3,0)*VLOOKUP('Données projet'!$B$10,Paramètres!$A$1:$I$89,5,0)</f>
        <v>-1.0729763744166122E-12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693.87994318348024</v>
      </c>
      <c r="AO189" s="62">
        <f t="shared" si="144"/>
        <v>327.71043739333641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69.214205135138741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5.6843418860808015E-14</v>
      </c>
      <c r="BE189" s="14">
        <f>BD189*VLOOKUP('Données projet'!$B$11,Paramètres!$A$1:$I$89,3,0)*VLOOKUP('Données projet'!$B$11,Paramètres!$A$1:$I$89,5,0)</f>
        <v>4.7884896048344674E-14</v>
      </c>
      <c r="BF189" s="14">
        <f t="shared" si="167"/>
        <v>7.8374629847779921E-13</v>
      </c>
      <c r="BG189" s="22">
        <f t="shared" si="168"/>
        <v>1.4484243304663672E-12</v>
      </c>
      <c r="BH189" s="62">
        <f t="shared" si="116"/>
        <v>290.45208549551012</v>
      </c>
      <c r="BI189" s="62">
        <f ca="1">AVERAGE(OFFSET($BH$3,0,0,'Données projet'!$E$11+1,1))-AVERAGE(OFFSET($H$3,0,0,'Données projet'!$E$11+1,1))</f>
        <v>513.7388209355762</v>
      </c>
      <c r="BJ189" s="62">
        <f t="shared" si="146"/>
        <v>328.24603121433927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69.214205135138741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4.5474735088646412E-13</v>
      </c>
      <c r="BZ189" s="14">
        <f>BY189*VLOOKUP('Données projet'!$B$12,Paramètres!$A$1:$I$89,3,0)*VLOOKUP('Données projet'!$B$12,Paramètres!$A$1:$I$89,5,0)</f>
        <v>3.6179699236527089E-13</v>
      </c>
      <c r="CA189" s="14">
        <f t="shared" si="170"/>
        <v>4.6796319415916035E-12</v>
      </c>
      <c r="CB189" s="22">
        <f t="shared" si="171"/>
        <v>8.7804887266415556E-12</v>
      </c>
      <c r="CC189" s="62">
        <f t="shared" si="119"/>
        <v>290.45208549551745</v>
      </c>
      <c r="CD189" s="62">
        <f ca="1">AVERAGE(OFFSET($CC$3,0,0,'Données projet'!$E$12+1,1))-AVERAGE(OFFSET($H$3,0,0,'Données projet'!$E$12+1,1))</f>
        <v>447.25854887589878</v>
      </c>
      <c r="CE189" s="62">
        <f t="shared" si="148"/>
        <v>480.13390593590157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69.214205135138741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1.1368683772161603E-13</v>
      </c>
      <c r="CU189" s="18">
        <f>CT189*VLOOKUP('Données projet'!$B$13,Paramètres!$A$1:$I$89,3,0)*VLOOKUP('Données projet'!$B$13,Paramètres!$A$1:$I$89,5,0)</f>
        <v>8.8675733422860506E-14</v>
      </c>
      <c r="CV189" s="14">
        <f t="shared" si="173"/>
        <v>1.3509285393066301E-12</v>
      </c>
      <c r="CW189" s="22">
        <f t="shared" si="174"/>
        <v>2.5073107750038623E-12</v>
      </c>
      <c r="CX189" s="62">
        <f t="shared" si="122"/>
        <v>290.4520854955112</v>
      </c>
      <c r="CY189" s="62">
        <f ca="1">AVERAGE(OFFSET($CX$3,0,0,'Données projet'!$E$13+1,1))-AVERAGE(OFFSET($H$3,0,0,'Données projet'!$E$13+1,1))</f>
        <v>308.52515801950324</v>
      </c>
      <c r="CZ189" s="62">
        <f t="shared" si="150"/>
        <v>299.05420638408953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69.214205135138741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4.5474735088646412E-13</v>
      </c>
      <c r="DP189" s="18">
        <f>DO189*VLOOKUP('Données projet'!$B$14,Paramètres!$A$1:$I$89,3,0)*VLOOKUP('Données projet'!$B$14,Paramètres!$A$1:$I$89,5,0)</f>
        <v>3.3342075766995548E-13</v>
      </c>
      <c r="DQ189" s="14">
        <f t="shared" si="176"/>
        <v>4.3537988100583648E-12</v>
      </c>
      <c r="DR189" s="22">
        <f t="shared" si="177"/>
        <v>8.1635740804601579E-12</v>
      </c>
      <c r="DS189" s="62">
        <f t="shared" si="125"/>
        <v>290.45208549551688</v>
      </c>
      <c r="DT189" s="62">
        <f ca="1">AVERAGE(OFFSET($DS$3,0,0,'Données projet'!$E$14+1,1))-AVERAGE(OFFSET($H$3,0,0,'Données projet'!$E$14+1,1))</f>
        <v>416.72317068678774</v>
      </c>
      <c r="DU189" s="62">
        <f t="shared" si="152"/>
        <v>447.32457429495537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69.214205135138741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5.6843418860808015E-14</v>
      </c>
      <c r="EK189" s="18">
        <f>EJ189*VLOOKUP('Données projet'!$B$15,Paramètres!$A$1:$I$89,3,0)*VLOOKUP('Données projet'!$B$15,Paramètres!$A$1:$I$89,5,0)</f>
        <v>5.4092197387944907E-14</v>
      </c>
      <c r="EL189" s="14">
        <f t="shared" si="179"/>
        <v>8.7287050538073676E-13</v>
      </c>
      <c r="EM189" s="22">
        <f t="shared" si="180"/>
        <v>1.6144600406554537E-12</v>
      </c>
      <c r="EN189" s="62">
        <f t="shared" si="128"/>
        <v>290.45208549551029</v>
      </c>
      <c r="EO189" s="62">
        <f ca="1">AVERAGE(OFFSET($EN$3,0,0,'Données projet'!$E$15+1,1))-AVERAGE(OFFSET($H$3,0,0,'Données projet'!$E$15+1,1))</f>
        <v>454.78867027701426</v>
      </c>
      <c r="EP189" s="62">
        <f t="shared" si="154"/>
        <v>366.45346303927056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0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69.214205135138741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>
        <f>FE189*VLOOKUP('Données projet'!$B$16,Paramètres!$A$1:$I$89,3,0)*VLOOKUP('Données projet'!$B$16,Paramètres!$A$1:$I$89,5,0)</f>
        <v>0</v>
      </c>
      <c r="FG189" s="14" t="e">
        <f t="shared" si="182"/>
        <v>#NUM!</v>
      </c>
      <c r="FH189" s="22" t="e">
        <f t="shared" si="183"/>
        <v>#NUM!</v>
      </c>
      <c r="FI189" s="62" t="e">
        <f t="shared" si="131"/>
        <v>#NUM!</v>
      </c>
      <c r="FJ189" s="62">
        <f ca="1">AVERAGE(OFFSET($FI$3,0,0,'Données projet'!$E$16+1,1))-AVERAGE(OFFSET($H$3,0,0,'Données projet'!$E$16+1,1))</f>
        <v>390.05579539539576</v>
      </c>
      <c r="FK189" s="62">
        <f t="shared" si="156"/>
        <v>323.72278615226139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projet'!$B$16,Paramètres!$A$1:$I$89,3,0)*0.475*44/12</f>
        <v>0</v>
      </c>
      <c r="FR189" s="23">
        <f>EXP(-LN(2)/25)*FR188+(1-EXP(-LN(2)/25))/(LN(2)/25)*Calculateur!FM189*Calculateur!FO189*VLOOKUP('Données projet'!$B$16,Paramètres!$A$1:$I$89,3,0)*0.475*44/12</f>
        <v>0</v>
      </c>
      <c r="FS189" s="23">
        <f>EXP(-LN(2)/2)*FS188+(1-EXP(-LN(2)/2))/(LN(2)/2)*FM189*FP189*VLOOKUP('Données projet'!$B$16,Paramètres!$A$1:$I$89,3,0)*0.475*44/12</f>
        <v>0</v>
      </c>
      <c r="FT189" s="24">
        <f t="shared" si="184"/>
        <v>0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69.214205135138741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5.6843418860808015E-14</v>
      </c>
      <c r="GA189" s="18">
        <f>FZ189*VLOOKUP('Données projet'!$B$17,Paramètres!$A$1:$I$89,3,0)*VLOOKUP('Données projet'!$B$17,Paramètres!$A$1:$I$89,5,0)</f>
        <v>5.4978954722173515E-14</v>
      </c>
      <c r="GB189" s="14">
        <f t="shared" si="185"/>
        <v>8.8550225887742724E-13</v>
      </c>
      <c r="GC189" s="22">
        <f t="shared" si="186"/>
        <v>1.6380047803526383E-12</v>
      </c>
      <c r="GD189" s="62">
        <f t="shared" si="134"/>
        <v>290.45208549551035</v>
      </c>
      <c r="GE189" s="62">
        <f ca="1">AVERAGE(OFFSET($GD$3,0,0,'Données projet'!$E$17+1,1))-AVERAGE(OFFSET($H$3,0,0,'Données projet'!$E$17+1,1))</f>
        <v>578.44111602076555</v>
      </c>
      <c r="GF189" s="62">
        <f t="shared" si="158"/>
        <v>368.08542661432784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>
        <f>EXP(-LN(2)/35)*GL188+(1-EXP(-LN(2)/35))/(LN(2)/35)*GH189*GI189*VLOOKUP('Données projet'!$B$17,Paramètres!$A$1:$I$89,3,0)*0.475*44/12</f>
        <v>0</v>
      </c>
      <c r="GM189" s="23">
        <f>EXP(-LN(2)/25)*GM188+(1-EXP(-LN(2)/25))/(LN(2)/25)*Calculateur!GH189*Calculateur!GJ189*VLOOKUP('Données projet'!$B$17,Paramètres!$A$1:$I$89,3,0)*0.475*44/12</f>
        <v>0</v>
      </c>
      <c r="GN189" s="23">
        <f>EXP(-LN(2)/2)*GN188+(1-EXP(-LN(2)/2))/(LN(2)/2)*GH189*GK189*VLOOKUP('Données projet'!$B$17,Paramètres!$A$1:$I$89,3,0)*0.475*44/12</f>
        <v>0</v>
      </c>
      <c r="GO189" s="23">
        <f t="shared" si="187"/>
        <v>0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69.214205135138741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4.0735000000000001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14.936166666666667</v>
      </c>
      <c r="H190" s="70">
        <f t="shared" si="110"/>
        <v>196.922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69.227836919269947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5.1431925385259088E-14</v>
      </c>
      <c r="P190" s="14">
        <f t="shared" si="141"/>
        <v>8.3482866290946129E-13</v>
      </c>
      <c r="Q190" s="22">
        <f t="shared" si="162"/>
        <v>1.5435705246133045E-12</v>
      </c>
      <c r="R190" s="62">
        <f t="shared" si="109"/>
        <v>290.50206870399131</v>
      </c>
      <c r="S190" s="62">
        <f ca="1">AVERAGE(OFFSET($R$3,0,0,'Données projet'!$E$9+1,1))-AVERAGE(OFFSET($H$3,0,0,'Données projet'!$E$9+1,1))</f>
        <v>546.11281471711925</v>
      </c>
      <c r="T190" s="62">
        <f t="shared" si="142"/>
        <v>348.18069831447099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69.227836919269947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-1.2505552149377763E-12</v>
      </c>
      <c r="AJ190" s="14">
        <f>AI190*VLOOKUP('Données projet'!$B$10,Paramètres!$A$1:$I$89,3,0)*VLOOKUP('Données projet'!$B$10,Paramètres!$A$1:$I$89,5,0)</f>
        <v>-1.0729763744166122E-12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693.87994318348024</v>
      </c>
      <c r="AO190" s="62">
        <f t="shared" si="144"/>
        <v>327.71043739333641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69.227836919269947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5.6843418860808015E-14</v>
      </c>
      <c r="BE190" s="14">
        <f>BD190*VLOOKUP('Données projet'!$B$11,Paramètres!$A$1:$I$89,3,0)*VLOOKUP('Données projet'!$B$11,Paramètres!$A$1:$I$89,5,0)</f>
        <v>4.7884896048344674E-14</v>
      </c>
      <c r="BF190" s="14">
        <f t="shared" si="167"/>
        <v>7.8374629847779921E-13</v>
      </c>
      <c r="BG190" s="22">
        <f t="shared" si="168"/>
        <v>1.4484243304663672E-12</v>
      </c>
      <c r="BH190" s="62">
        <f t="shared" si="116"/>
        <v>290.5020687039912</v>
      </c>
      <c r="BI190" s="62">
        <f ca="1">AVERAGE(OFFSET($BH$3,0,0,'Données projet'!$E$11+1,1))-AVERAGE(OFFSET($H$3,0,0,'Données projet'!$E$11+1,1))</f>
        <v>513.7388209355762</v>
      </c>
      <c r="BJ190" s="62">
        <f t="shared" si="146"/>
        <v>328.24603121433927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69.227836919269947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4.5474735088646412E-13</v>
      </c>
      <c r="BZ190" s="14">
        <f>BY190*VLOOKUP('Données projet'!$B$12,Paramètres!$A$1:$I$89,3,0)*VLOOKUP('Données projet'!$B$12,Paramètres!$A$1:$I$89,5,0)</f>
        <v>3.6179699236527089E-13</v>
      </c>
      <c r="CA190" s="14">
        <f t="shared" si="170"/>
        <v>4.6796319415916035E-12</v>
      </c>
      <c r="CB190" s="22">
        <f t="shared" si="171"/>
        <v>8.7804887266415556E-12</v>
      </c>
      <c r="CC190" s="62">
        <f t="shared" si="119"/>
        <v>290.50206870399853</v>
      </c>
      <c r="CD190" s="62">
        <f ca="1">AVERAGE(OFFSET($CC$3,0,0,'Données projet'!$E$12+1,1))-AVERAGE(OFFSET($H$3,0,0,'Données projet'!$E$12+1,1))</f>
        <v>447.25854887589878</v>
      </c>
      <c r="CE190" s="62">
        <f t="shared" si="148"/>
        <v>480.13390593590157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69.227836919269947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1.1368683772161603E-13</v>
      </c>
      <c r="CU190" s="18">
        <f>CT190*VLOOKUP('Données projet'!$B$13,Paramètres!$A$1:$I$89,3,0)*VLOOKUP('Données projet'!$B$13,Paramètres!$A$1:$I$89,5,0)</f>
        <v>8.8675733422860506E-14</v>
      </c>
      <c r="CV190" s="14">
        <f t="shared" si="173"/>
        <v>1.3509285393066301E-12</v>
      </c>
      <c r="CW190" s="22">
        <f t="shared" si="174"/>
        <v>2.5073107750038623E-12</v>
      </c>
      <c r="CX190" s="62">
        <f t="shared" si="122"/>
        <v>290.50206870399228</v>
      </c>
      <c r="CY190" s="62">
        <f ca="1">AVERAGE(OFFSET($CX$3,0,0,'Données projet'!$E$13+1,1))-AVERAGE(OFFSET($H$3,0,0,'Données projet'!$E$13+1,1))</f>
        <v>308.52515801950324</v>
      </c>
      <c r="CZ190" s="62">
        <f t="shared" si="150"/>
        <v>299.05420638408953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69.227836919269947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4.5474735088646412E-13</v>
      </c>
      <c r="DP190" s="18">
        <f>DO190*VLOOKUP('Données projet'!$B$14,Paramètres!$A$1:$I$89,3,0)*VLOOKUP('Données projet'!$B$14,Paramètres!$A$1:$I$89,5,0)</f>
        <v>3.3342075766995548E-13</v>
      </c>
      <c r="DQ190" s="14">
        <f t="shared" si="176"/>
        <v>4.3537988100583648E-12</v>
      </c>
      <c r="DR190" s="22">
        <f t="shared" si="177"/>
        <v>8.1635740804601579E-12</v>
      </c>
      <c r="DS190" s="62">
        <f t="shared" si="125"/>
        <v>290.50206870399796</v>
      </c>
      <c r="DT190" s="62">
        <f ca="1">AVERAGE(OFFSET($DS$3,0,0,'Données projet'!$E$14+1,1))-AVERAGE(OFFSET($H$3,0,0,'Données projet'!$E$14+1,1))</f>
        <v>416.72317068678774</v>
      </c>
      <c r="DU190" s="62">
        <f t="shared" si="152"/>
        <v>447.32457429495537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69.227836919269947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5.6843418860808015E-14</v>
      </c>
      <c r="EK190" s="18">
        <f>EJ190*VLOOKUP('Données projet'!$B$15,Paramètres!$A$1:$I$89,3,0)*VLOOKUP('Données projet'!$B$15,Paramètres!$A$1:$I$89,5,0)</f>
        <v>5.4092197387944907E-14</v>
      </c>
      <c r="EL190" s="14">
        <f t="shared" si="179"/>
        <v>8.7287050538073676E-13</v>
      </c>
      <c r="EM190" s="22">
        <f t="shared" si="180"/>
        <v>1.6144600406554537E-12</v>
      </c>
      <c r="EN190" s="62">
        <f t="shared" si="128"/>
        <v>290.50206870399137</v>
      </c>
      <c r="EO190" s="62">
        <f ca="1">AVERAGE(OFFSET($EN$3,0,0,'Données projet'!$E$15+1,1))-AVERAGE(OFFSET($H$3,0,0,'Données projet'!$E$15+1,1))</f>
        <v>454.78867027701426</v>
      </c>
      <c r="EP190" s="62">
        <f t="shared" si="154"/>
        <v>366.45346303927056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0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69.227836919269947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>
        <f>FE190*VLOOKUP('Données projet'!$B$16,Paramètres!$A$1:$I$89,3,0)*VLOOKUP('Données projet'!$B$16,Paramètres!$A$1:$I$89,5,0)</f>
        <v>0</v>
      </c>
      <c r="FG190" s="14" t="e">
        <f t="shared" si="182"/>
        <v>#NUM!</v>
      </c>
      <c r="FH190" s="22" t="e">
        <f t="shared" si="183"/>
        <v>#NUM!</v>
      </c>
      <c r="FI190" s="62" t="e">
        <f t="shared" si="131"/>
        <v>#NUM!</v>
      </c>
      <c r="FJ190" s="62">
        <f ca="1">AVERAGE(OFFSET($FI$3,0,0,'Données projet'!$E$16+1,1))-AVERAGE(OFFSET($H$3,0,0,'Données projet'!$E$16+1,1))</f>
        <v>390.05579539539576</v>
      </c>
      <c r="FK190" s="62">
        <f t="shared" si="156"/>
        <v>323.72278615226139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projet'!$B$16,Paramètres!$A$1:$I$89,3,0)*0.475*44/12</f>
        <v>0</v>
      </c>
      <c r="FR190" s="23">
        <f>EXP(-LN(2)/25)*FR189+(1-EXP(-LN(2)/25))/(LN(2)/25)*Calculateur!FM190*Calculateur!FO190*VLOOKUP('Données projet'!$B$16,Paramètres!$A$1:$I$89,3,0)*0.475*44/12</f>
        <v>0</v>
      </c>
      <c r="FS190" s="23">
        <f>EXP(-LN(2)/2)*FS189+(1-EXP(-LN(2)/2))/(LN(2)/2)*FM190*FP190*VLOOKUP('Données projet'!$B$16,Paramètres!$A$1:$I$89,3,0)*0.475*44/12</f>
        <v>0</v>
      </c>
      <c r="FT190" s="24">
        <f t="shared" si="184"/>
        <v>0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69.227836919269947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5.6843418860808015E-14</v>
      </c>
      <c r="GA190" s="18">
        <f>FZ190*VLOOKUP('Données projet'!$B$17,Paramètres!$A$1:$I$89,3,0)*VLOOKUP('Données projet'!$B$17,Paramètres!$A$1:$I$89,5,0)</f>
        <v>5.4978954722173515E-14</v>
      </c>
      <c r="GB190" s="14">
        <f t="shared" si="185"/>
        <v>8.8550225887742724E-13</v>
      </c>
      <c r="GC190" s="22">
        <f t="shared" si="186"/>
        <v>1.6380047803526383E-12</v>
      </c>
      <c r="GD190" s="62">
        <f t="shared" si="134"/>
        <v>290.50206870399143</v>
      </c>
      <c r="GE190" s="62">
        <f ca="1">AVERAGE(OFFSET($GD$3,0,0,'Données projet'!$E$17+1,1))-AVERAGE(OFFSET($H$3,0,0,'Données projet'!$E$17+1,1))</f>
        <v>578.44111602076555</v>
      </c>
      <c r="GF190" s="62">
        <f t="shared" si="158"/>
        <v>368.08542661432784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>
        <f>EXP(-LN(2)/35)*GL189+(1-EXP(-LN(2)/35))/(LN(2)/35)*GH190*GI190*VLOOKUP('Données projet'!$B$17,Paramètres!$A$1:$I$89,3,0)*0.475*44/12</f>
        <v>0</v>
      </c>
      <c r="GM190" s="23">
        <f>EXP(-LN(2)/25)*GM189+(1-EXP(-LN(2)/25))/(LN(2)/25)*Calculateur!GH190*Calculateur!GJ190*VLOOKUP('Données projet'!$B$17,Paramètres!$A$1:$I$89,3,0)*0.475*44/12</f>
        <v>0</v>
      </c>
      <c r="GN190" s="23">
        <f>EXP(-LN(2)/2)*GN189+(1-EXP(-LN(2)/2))/(LN(2)/2)*GH190*GK190*VLOOKUP('Données projet'!$B$17,Paramètres!$A$1:$I$89,3,0)*0.475*44/12</f>
        <v>0</v>
      </c>
      <c r="GO190" s="23">
        <f t="shared" si="187"/>
        <v>0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69.227836919269947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4.0735000000000001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14.936166666666667</v>
      </c>
      <c r="H191" s="70">
        <f t="shared" si="110"/>
        <v>196.922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69.241232222422582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5.1431925385259088E-14</v>
      </c>
      <c r="P191" s="14">
        <f t="shared" si="141"/>
        <v>8.3482866290946129E-13</v>
      </c>
      <c r="Q191" s="22">
        <f t="shared" si="162"/>
        <v>1.5435705246133045E-12</v>
      </c>
      <c r="R191" s="62">
        <f t="shared" si="109"/>
        <v>290.55118481555098</v>
      </c>
      <c r="S191" s="62">
        <f ca="1">AVERAGE(OFFSET($R$3,0,0,'Données projet'!$E$9+1,1))-AVERAGE(OFFSET($H$3,0,0,'Données projet'!$E$9+1,1))</f>
        <v>546.11281471711925</v>
      </c>
      <c r="T191" s="62">
        <f t="shared" si="142"/>
        <v>348.18069831447099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69.241232222422582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-1.2505552149377763E-12</v>
      </c>
      <c r="AJ191" s="14">
        <f>AI191*VLOOKUP('Données projet'!$B$10,Paramètres!$A$1:$I$89,3,0)*VLOOKUP('Données projet'!$B$10,Paramètres!$A$1:$I$89,5,0)</f>
        <v>-1.0729763744166122E-12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693.87994318348024</v>
      </c>
      <c r="AO191" s="62">
        <f t="shared" si="144"/>
        <v>327.71043739333641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69.241232222422582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5.6843418860808015E-14</v>
      </c>
      <c r="BE191" s="14">
        <f>BD191*VLOOKUP('Données projet'!$B$11,Paramètres!$A$1:$I$89,3,0)*VLOOKUP('Données projet'!$B$11,Paramètres!$A$1:$I$89,5,0)</f>
        <v>4.7884896048344674E-14</v>
      </c>
      <c r="BF191" s="14">
        <f t="shared" si="167"/>
        <v>7.8374629847779921E-13</v>
      </c>
      <c r="BG191" s="22">
        <f t="shared" si="168"/>
        <v>1.4484243304663672E-12</v>
      </c>
      <c r="BH191" s="62">
        <f t="shared" si="116"/>
        <v>290.55118481555087</v>
      </c>
      <c r="BI191" s="62">
        <f ca="1">AVERAGE(OFFSET($BH$3,0,0,'Données projet'!$E$11+1,1))-AVERAGE(OFFSET($H$3,0,0,'Données projet'!$E$11+1,1))</f>
        <v>513.7388209355762</v>
      </c>
      <c r="BJ191" s="62">
        <f t="shared" si="146"/>
        <v>328.24603121433927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69.241232222422582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4.5474735088646412E-13</v>
      </c>
      <c r="BZ191" s="14">
        <f>BY191*VLOOKUP('Données projet'!$B$12,Paramètres!$A$1:$I$89,3,0)*VLOOKUP('Données projet'!$B$12,Paramètres!$A$1:$I$89,5,0)</f>
        <v>3.6179699236527089E-13</v>
      </c>
      <c r="CA191" s="14">
        <f t="shared" si="170"/>
        <v>4.6796319415916035E-12</v>
      </c>
      <c r="CB191" s="22">
        <f t="shared" si="171"/>
        <v>8.7804887266415556E-12</v>
      </c>
      <c r="CC191" s="62">
        <f t="shared" si="119"/>
        <v>290.5511848155582</v>
      </c>
      <c r="CD191" s="62">
        <f ca="1">AVERAGE(OFFSET($CC$3,0,0,'Données projet'!$E$12+1,1))-AVERAGE(OFFSET($H$3,0,0,'Données projet'!$E$12+1,1))</f>
        <v>447.25854887589878</v>
      </c>
      <c r="CE191" s="62">
        <f t="shared" si="148"/>
        <v>480.13390593590157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69.241232222422582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1.1368683772161603E-13</v>
      </c>
      <c r="CU191" s="18">
        <f>CT191*VLOOKUP('Données projet'!$B$13,Paramètres!$A$1:$I$89,3,0)*VLOOKUP('Données projet'!$B$13,Paramètres!$A$1:$I$89,5,0)</f>
        <v>8.8675733422860506E-14</v>
      </c>
      <c r="CV191" s="14">
        <f t="shared" si="173"/>
        <v>1.3509285393066301E-12</v>
      </c>
      <c r="CW191" s="22">
        <f t="shared" si="174"/>
        <v>2.5073107750038623E-12</v>
      </c>
      <c r="CX191" s="62">
        <f t="shared" si="122"/>
        <v>290.55118481555195</v>
      </c>
      <c r="CY191" s="62">
        <f ca="1">AVERAGE(OFFSET($CX$3,0,0,'Données projet'!$E$13+1,1))-AVERAGE(OFFSET($H$3,0,0,'Données projet'!$E$13+1,1))</f>
        <v>308.52515801950324</v>
      </c>
      <c r="CZ191" s="62">
        <f t="shared" si="150"/>
        <v>299.05420638408953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69.241232222422582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4.5474735088646412E-13</v>
      </c>
      <c r="DP191" s="18">
        <f>DO191*VLOOKUP('Données projet'!$B$14,Paramètres!$A$1:$I$89,3,0)*VLOOKUP('Données projet'!$B$14,Paramètres!$A$1:$I$89,5,0)</f>
        <v>3.3342075766995548E-13</v>
      </c>
      <c r="DQ191" s="14">
        <f t="shared" si="176"/>
        <v>4.3537988100583648E-12</v>
      </c>
      <c r="DR191" s="22">
        <f t="shared" si="177"/>
        <v>8.1635740804601579E-12</v>
      </c>
      <c r="DS191" s="62">
        <f t="shared" si="125"/>
        <v>290.55118481555763</v>
      </c>
      <c r="DT191" s="62">
        <f ca="1">AVERAGE(OFFSET($DS$3,0,0,'Données projet'!$E$14+1,1))-AVERAGE(OFFSET($H$3,0,0,'Données projet'!$E$14+1,1))</f>
        <v>416.72317068678774</v>
      </c>
      <c r="DU191" s="62">
        <f t="shared" si="152"/>
        <v>447.32457429495537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69.241232222422582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5.6843418860808015E-14</v>
      </c>
      <c r="EK191" s="18">
        <f>EJ191*VLOOKUP('Données projet'!$B$15,Paramètres!$A$1:$I$89,3,0)*VLOOKUP('Données projet'!$B$15,Paramètres!$A$1:$I$89,5,0)</f>
        <v>5.4092197387944907E-14</v>
      </c>
      <c r="EL191" s="14">
        <f t="shared" si="179"/>
        <v>8.7287050538073676E-13</v>
      </c>
      <c r="EM191" s="22">
        <f t="shared" si="180"/>
        <v>1.6144600406554537E-12</v>
      </c>
      <c r="EN191" s="62">
        <f t="shared" si="128"/>
        <v>290.55118481555104</v>
      </c>
      <c r="EO191" s="62">
        <f ca="1">AVERAGE(OFFSET($EN$3,0,0,'Données projet'!$E$15+1,1))-AVERAGE(OFFSET($H$3,0,0,'Données projet'!$E$15+1,1))</f>
        <v>454.78867027701426</v>
      </c>
      <c r="EP191" s="62">
        <f t="shared" si="154"/>
        <v>366.45346303927056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0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69.241232222422582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>
        <f>FE191*VLOOKUP('Données projet'!$B$16,Paramètres!$A$1:$I$89,3,0)*VLOOKUP('Données projet'!$B$16,Paramètres!$A$1:$I$89,5,0)</f>
        <v>0</v>
      </c>
      <c r="FG191" s="14" t="e">
        <f t="shared" si="182"/>
        <v>#NUM!</v>
      </c>
      <c r="FH191" s="22" t="e">
        <f t="shared" si="183"/>
        <v>#NUM!</v>
      </c>
      <c r="FI191" s="62" t="e">
        <f t="shared" si="131"/>
        <v>#NUM!</v>
      </c>
      <c r="FJ191" s="62">
        <f ca="1">AVERAGE(OFFSET($FI$3,0,0,'Données projet'!$E$16+1,1))-AVERAGE(OFFSET($H$3,0,0,'Données projet'!$E$16+1,1))</f>
        <v>390.05579539539576</v>
      </c>
      <c r="FK191" s="62">
        <f t="shared" si="156"/>
        <v>323.72278615226139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projet'!$B$16,Paramètres!$A$1:$I$89,3,0)*0.475*44/12</f>
        <v>0</v>
      </c>
      <c r="FR191" s="23">
        <f>EXP(-LN(2)/25)*FR190+(1-EXP(-LN(2)/25))/(LN(2)/25)*Calculateur!FM191*Calculateur!FO191*VLOOKUP('Données projet'!$B$16,Paramètres!$A$1:$I$89,3,0)*0.475*44/12</f>
        <v>0</v>
      </c>
      <c r="FS191" s="23">
        <f>EXP(-LN(2)/2)*FS190+(1-EXP(-LN(2)/2))/(LN(2)/2)*FM191*FP191*VLOOKUP('Données projet'!$B$16,Paramètres!$A$1:$I$89,3,0)*0.475*44/12</f>
        <v>0</v>
      </c>
      <c r="FT191" s="24">
        <f t="shared" si="184"/>
        <v>0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69.241232222422582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5.6843418860808015E-14</v>
      </c>
      <c r="GA191" s="18">
        <f>FZ191*VLOOKUP('Données projet'!$B$17,Paramètres!$A$1:$I$89,3,0)*VLOOKUP('Données projet'!$B$17,Paramètres!$A$1:$I$89,5,0)</f>
        <v>5.4978954722173515E-14</v>
      </c>
      <c r="GB191" s="14">
        <f t="shared" si="185"/>
        <v>8.8550225887742724E-13</v>
      </c>
      <c r="GC191" s="22">
        <f t="shared" si="186"/>
        <v>1.6380047803526383E-12</v>
      </c>
      <c r="GD191" s="62">
        <f t="shared" si="134"/>
        <v>290.5511848155511</v>
      </c>
      <c r="GE191" s="62">
        <f ca="1">AVERAGE(OFFSET($GD$3,0,0,'Données projet'!$E$17+1,1))-AVERAGE(OFFSET($H$3,0,0,'Données projet'!$E$17+1,1))</f>
        <v>578.44111602076555</v>
      </c>
      <c r="GF191" s="62">
        <f t="shared" si="158"/>
        <v>368.08542661432784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>
        <f>EXP(-LN(2)/35)*GL190+(1-EXP(-LN(2)/35))/(LN(2)/35)*GH191*GI191*VLOOKUP('Données projet'!$B$17,Paramètres!$A$1:$I$89,3,0)*0.475*44/12</f>
        <v>0</v>
      </c>
      <c r="GM191" s="23">
        <f>EXP(-LN(2)/25)*GM190+(1-EXP(-LN(2)/25))/(LN(2)/25)*Calculateur!GH191*Calculateur!GJ191*VLOOKUP('Données projet'!$B$17,Paramètres!$A$1:$I$89,3,0)*0.475*44/12</f>
        <v>0</v>
      </c>
      <c r="GN191" s="23">
        <f>EXP(-LN(2)/2)*GN190+(1-EXP(-LN(2)/2))/(LN(2)/2)*GH191*GK191*VLOOKUP('Données projet'!$B$17,Paramètres!$A$1:$I$89,3,0)*0.475*44/12</f>
        <v>0</v>
      </c>
      <c r="GO191" s="23">
        <f t="shared" si="187"/>
        <v>0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69.241232222422582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4.0735000000000001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14.936166666666667</v>
      </c>
      <c r="H192" s="70">
        <f t="shared" si="110"/>
        <v>196.922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69.254395147012929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5.1431925385259088E-14</v>
      </c>
      <c r="P192" s="14">
        <f t="shared" si="141"/>
        <v>8.3482866290946129E-13</v>
      </c>
      <c r="Q192" s="22">
        <f t="shared" si="162"/>
        <v>1.5435705246133045E-12</v>
      </c>
      <c r="R192" s="62">
        <f t="shared" si="109"/>
        <v>290.59944887238225</v>
      </c>
      <c r="S192" s="62">
        <f ca="1">AVERAGE(OFFSET($R$3,0,0,'Données projet'!$E$9+1,1))-AVERAGE(OFFSET($H$3,0,0,'Données projet'!$E$9+1,1))</f>
        <v>546.11281471711925</v>
      </c>
      <c r="T192" s="62">
        <f t="shared" si="142"/>
        <v>348.18069831447099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69.254395147012929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-1.2505552149377763E-12</v>
      </c>
      <c r="AJ192" s="14">
        <f>AI192*VLOOKUP('Données projet'!$B$10,Paramètres!$A$1:$I$89,3,0)*VLOOKUP('Données projet'!$B$10,Paramètres!$A$1:$I$89,5,0)</f>
        <v>-1.0729763744166122E-12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693.87994318348024</v>
      </c>
      <c r="AO192" s="62">
        <f t="shared" si="144"/>
        <v>327.71043739333641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69.254395147012929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5.6843418860808015E-14</v>
      </c>
      <c r="BE192" s="14">
        <f>BD192*VLOOKUP('Données projet'!$B$11,Paramètres!$A$1:$I$89,3,0)*VLOOKUP('Données projet'!$B$11,Paramètres!$A$1:$I$89,5,0)</f>
        <v>4.7884896048344674E-14</v>
      </c>
      <c r="BF192" s="14">
        <f t="shared" si="167"/>
        <v>7.8374629847779921E-13</v>
      </c>
      <c r="BG192" s="22">
        <f t="shared" si="168"/>
        <v>1.4484243304663672E-12</v>
      </c>
      <c r="BH192" s="62">
        <f t="shared" si="116"/>
        <v>290.59944887238214</v>
      </c>
      <c r="BI192" s="62">
        <f ca="1">AVERAGE(OFFSET($BH$3,0,0,'Données projet'!$E$11+1,1))-AVERAGE(OFFSET($H$3,0,0,'Données projet'!$E$11+1,1))</f>
        <v>513.7388209355762</v>
      </c>
      <c r="BJ192" s="62">
        <f t="shared" si="146"/>
        <v>328.24603121433927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69.254395147012929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4.5474735088646412E-13</v>
      </c>
      <c r="BZ192" s="14">
        <f>BY192*VLOOKUP('Données projet'!$B$12,Paramètres!$A$1:$I$89,3,0)*VLOOKUP('Données projet'!$B$12,Paramètres!$A$1:$I$89,5,0)</f>
        <v>3.6179699236527089E-13</v>
      </c>
      <c r="CA192" s="14">
        <f t="shared" si="170"/>
        <v>4.6796319415916035E-12</v>
      </c>
      <c r="CB192" s="22">
        <f t="shared" si="171"/>
        <v>8.7804887266415556E-12</v>
      </c>
      <c r="CC192" s="62">
        <f t="shared" si="119"/>
        <v>290.59944887238947</v>
      </c>
      <c r="CD192" s="62">
        <f ca="1">AVERAGE(OFFSET($CC$3,0,0,'Données projet'!$E$12+1,1))-AVERAGE(OFFSET($H$3,0,0,'Données projet'!$E$12+1,1))</f>
        <v>447.25854887589878</v>
      </c>
      <c r="CE192" s="62">
        <f t="shared" si="148"/>
        <v>480.13390593590157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69.254395147012929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1.1368683772161603E-13</v>
      </c>
      <c r="CU192" s="18">
        <f>CT192*VLOOKUP('Données projet'!$B$13,Paramètres!$A$1:$I$89,3,0)*VLOOKUP('Données projet'!$B$13,Paramètres!$A$1:$I$89,5,0)</f>
        <v>8.8675733422860506E-14</v>
      </c>
      <c r="CV192" s="14">
        <f t="shared" si="173"/>
        <v>1.3509285393066301E-12</v>
      </c>
      <c r="CW192" s="22">
        <f t="shared" si="174"/>
        <v>2.5073107750038623E-12</v>
      </c>
      <c r="CX192" s="62">
        <f t="shared" si="122"/>
        <v>290.59944887238322</v>
      </c>
      <c r="CY192" s="62">
        <f ca="1">AVERAGE(OFFSET($CX$3,0,0,'Données projet'!$E$13+1,1))-AVERAGE(OFFSET($H$3,0,0,'Données projet'!$E$13+1,1))</f>
        <v>308.52515801950324</v>
      </c>
      <c r="CZ192" s="62">
        <f t="shared" si="150"/>
        <v>299.05420638408953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69.254395147012929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4.5474735088646412E-13</v>
      </c>
      <c r="DP192" s="18">
        <f>DO192*VLOOKUP('Données projet'!$B$14,Paramètres!$A$1:$I$89,3,0)*VLOOKUP('Données projet'!$B$14,Paramètres!$A$1:$I$89,5,0)</f>
        <v>3.3342075766995548E-13</v>
      </c>
      <c r="DQ192" s="14">
        <f t="shared" si="176"/>
        <v>4.3537988100583648E-12</v>
      </c>
      <c r="DR192" s="22">
        <f t="shared" si="177"/>
        <v>8.1635740804601579E-12</v>
      </c>
      <c r="DS192" s="62">
        <f t="shared" si="125"/>
        <v>290.5994488723889</v>
      </c>
      <c r="DT192" s="62">
        <f ca="1">AVERAGE(OFFSET($DS$3,0,0,'Données projet'!$E$14+1,1))-AVERAGE(OFFSET($H$3,0,0,'Données projet'!$E$14+1,1))</f>
        <v>416.72317068678774</v>
      </c>
      <c r="DU192" s="62">
        <f t="shared" si="152"/>
        <v>447.32457429495537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69.254395147012929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5.6843418860808015E-14</v>
      </c>
      <c r="EK192" s="18">
        <f>EJ192*VLOOKUP('Données projet'!$B$15,Paramètres!$A$1:$I$89,3,0)*VLOOKUP('Données projet'!$B$15,Paramètres!$A$1:$I$89,5,0)</f>
        <v>5.4092197387944907E-14</v>
      </c>
      <c r="EL192" s="14">
        <f t="shared" si="179"/>
        <v>8.7287050538073676E-13</v>
      </c>
      <c r="EM192" s="22">
        <f t="shared" si="180"/>
        <v>1.6144600406554537E-12</v>
      </c>
      <c r="EN192" s="62">
        <f t="shared" si="128"/>
        <v>290.59944887238231</v>
      </c>
      <c r="EO192" s="62">
        <f ca="1">AVERAGE(OFFSET($EN$3,0,0,'Données projet'!$E$15+1,1))-AVERAGE(OFFSET($H$3,0,0,'Données projet'!$E$15+1,1))</f>
        <v>454.78867027701426</v>
      </c>
      <c r="EP192" s="62">
        <f t="shared" si="154"/>
        <v>366.45346303927056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0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69.254395147012929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>
        <f>FE192*VLOOKUP('Données projet'!$B$16,Paramètres!$A$1:$I$89,3,0)*VLOOKUP('Données projet'!$B$16,Paramètres!$A$1:$I$89,5,0)</f>
        <v>0</v>
      </c>
      <c r="FG192" s="14" t="e">
        <f t="shared" si="182"/>
        <v>#NUM!</v>
      </c>
      <c r="FH192" s="22" t="e">
        <f t="shared" si="183"/>
        <v>#NUM!</v>
      </c>
      <c r="FI192" s="62" t="e">
        <f t="shared" si="131"/>
        <v>#NUM!</v>
      </c>
      <c r="FJ192" s="62">
        <f ca="1">AVERAGE(OFFSET($FI$3,0,0,'Données projet'!$E$16+1,1))-AVERAGE(OFFSET($H$3,0,0,'Données projet'!$E$16+1,1))</f>
        <v>390.05579539539576</v>
      </c>
      <c r="FK192" s="62">
        <f t="shared" si="156"/>
        <v>323.72278615226139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projet'!$B$16,Paramètres!$A$1:$I$89,3,0)*0.475*44/12</f>
        <v>0</v>
      </c>
      <c r="FR192" s="23">
        <f>EXP(-LN(2)/25)*FR191+(1-EXP(-LN(2)/25))/(LN(2)/25)*Calculateur!FM192*Calculateur!FO192*VLOOKUP('Données projet'!$B$16,Paramètres!$A$1:$I$89,3,0)*0.475*44/12</f>
        <v>0</v>
      </c>
      <c r="FS192" s="23">
        <f>EXP(-LN(2)/2)*FS191+(1-EXP(-LN(2)/2))/(LN(2)/2)*FM192*FP192*VLOOKUP('Données projet'!$B$16,Paramètres!$A$1:$I$89,3,0)*0.475*44/12</f>
        <v>0</v>
      </c>
      <c r="FT192" s="24">
        <f t="shared" si="184"/>
        <v>0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69.254395147012929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5.6843418860808015E-14</v>
      </c>
      <c r="GA192" s="18">
        <f>FZ192*VLOOKUP('Données projet'!$B$17,Paramètres!$A$1:$I$89,3,0)*VLOOKUP('Données projet'!$B$17,Paramètres!$A$1:$I$89,5,0)</f>
        <v>5.4978954722173515E-14</v>
      </c>
      <c r="GB192" s="14">
        <f t="shared" si="185"/>
        <v>8.8550225887742724E-13</v>
      </c>
      <c r="GC192" s="22">
        <f t="shared" si="186"/>
        <v>1.6380047803526383E-12</v>
      </c>
      <c r="GD192" s="62">
        <f t="shared" si="134"/>
        <v>290.59944887238237</v>
      </c>
      <c r="GE192" s="62">
        <f ca="1">AVERAGE(OFFSET($GD$3,0,0,'Données projet'!$E$17+1,1))-AVERAGE(OFFSET($H$3,0,0,'Données projet'!$E$17+1,1))</f>
        <v>578.44111602076555</v>
      </c>
      <c r="GF192" s="62">
        <f t="shared" si="158"/>
        <v>368.08542661432784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>
        <f>EXP(-LN(2)/35)*GL191+(1-EXP(-LN(2)/35))/(LN(2)/35)*GH192*GI192*VLOOKUP('Données projet'!$B$17,Paramètres!$A$1:$I$89,3,0)*0.475*44/12</f>
        <v>0</v>
      </c>
      <c r="GM192" s="23">
        <f>EXP(-LN(2)/25)*GM191+(1-EXP(-LN(2)/25))/(LN(2)/25)*Calculateur!GH192*Calculateur!GJ192*VLOOKUP('Données projet'!$B$17,Paramètres!$A$1:$I$89,3,0)*0.475*44/12</f>
        <v>0</v>
      </c>
      <c r="GN192" s="23">
        <f>EXP(-LN(2)/2)*GN191+(1-EXP(-LN(2)/2))/(LN(2)/2)*GH192*GK192*VLOOKUP('Données projet'!$B$17,Paramètres!$A$1:$I$89,3,0)*0.475*44/12</f>
        <v>0</v>
      </c>
      <c r="GO192" s="23">
        <f t="shared" si="187"/>
        <v>0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69.254395147012929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4.0735000000000001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14.936166666666667</v>
      </c>
      <c r="H193" s="70">
        <f t="shared" si="110"/>
        <v>196.922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69.267329724289525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5.1431925385259088E-14</v>
      </c>
      <c r="P193" s="14">
        <f t="shared" si="141"/>
        <v>8.3482866290946129E-13</v>
      </c>
      <c r="Q193" s="22">
        <f t="shared" si="162"/>
        <v>1.5435705246133045E-12</v>
      </c>
      <c r="R193" s="62">
        <f t="shared" si="109"/>
        <v>290.64687565572979</v>
      </c>
      <c r="S193" s="62">
        <f ca="1">AVERAGE(OFFSET($R$3,0,0,'Données projet'!$E$9+1,1))-AVERAGE(OFFSET($H$3,0,0,'Données projet'!$E$9+1,1))</f>
        <v>546.11281471711925</v>
      </c>
      <c r="T193" s="62">
        <f t="shared" si="142"/>
        <v>348.18069831447099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69.267329724289525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-1.2505552149377763E-12</v>
      </c>
      <c r="AJ193" s="14">
        <f>AI193*VLOOKUP('Données projet'!$B$10,Paramètres!$A$1:$I$89,3,0)*VLOOKUP('Données projet'!$B$10,Paramètres!$A$1:$I$89,5,0)</f>
        <v>-1.0729763744166122E-12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693.87994318348024</v>
      </c>
      <c r="AO193" s="62">
        <f t="shared" si="144"/>
        <v>327.71043739333641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69.267329724289525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5.6843418860808015E-14</v>
      </c>
      <c r="BE193" s="14">
        <f>BD193*VLOOKUP('Données projet'!$B$11,Paramètres!$A$1:$I$89,3,0)*VLOOKUP('Données projet'!$B$11,Paramètres!$A$1:$I$89,5,0)</f>
        <v>4.7884896048344674E-14</v>
      </c>
      <c r="BF193" s="14">
        <f t="shared" si="167"/>
        <v>7.8374629847779921E-13</v>
      </c>
      <c r="BG193" s="22">
        <f t="shared" si="168"/>
        <v>1.4484243304663672E-12</v>
      </c>
      <c r="BH193" s="62">
        <f t="shared" si="116"/>
        <v>290.64687565572967</v>
      </c>
      <c r="BI193" s="62">
        <f ca="1">AVERAGE(OFFSET($BH$3,0,0,'Données projet'!$E$11+1,1))-AVERAGE(OFFSET($H$3,0,0,'Données projet'!$E$11+1,1))</f>
        <v>513.7388209355762</v>
      </c>
      <c r="BJ193" s="62">
        <f t="shared" si="146"/>
        <v>328.24603121433927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69.267329724289525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4.5474735088646412E-13</v>
      </c>
      <c r="BZ193" s="14">
        <f>BY193*VLOOKUP('Données projet'!$B$12,Paramètres!$A$1:$I$89,3,0)*VLOOKUP('Données projet'!$B$12,Paramètres!$A$1:$I$89,5,0)</f>
        <v>3.6179699236527089E-13</v>
      </c>
      <c r="CA193" s="14">
        <f t="shared" si="170"/>
        <v>4.6796319415916035E-12</v>
      </c>
      <c r="CB193" s="22">
        <f t="shared" si="171"/>
        <v>8.7804887266415556E-12</v>
      </c>
      <c r="CC193" s="62">
        <f t="shared" si="119"/>
        <v>290.64687565573701</v>
      </c>
      <c r="CD193" s="62">
        <f ca="1">AVERAGE(OFFSET($CC$3,0,0,'Données projet'!$E$12+1,1))-AVERAGE(OFFSET($H$3,0,0,'Données projet'!$E$12+1,1))</f>
        <v>447.25854887589878</v>
      </c>
      <c r="CE193" s="62">
        <f t="shared" si="148"/>
        <v>480.13390593590157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69.267329724289525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1.1368683772161603E-13</v>
      </c>
      <c r="CU193" s="18">
        <f>CT193*VLOOKUP('Données projet'!$B$13,Paramètres!$A$1:$I$89,3,0)*VLOOKUP('Données projet'!$B$13,Paramètres!$A$1:$I$89,5,0)</f>
        <v>8.8675733422860506E-14</v>
      </c>
      <c r="CV193" s="14">
        <f t="shared" si="173"/>
        <v>1.3509285393066301E-12</v>
      </c>
      <c r="CW193" s="22">
        <f t="shared" si="174"/>
        <v>2.5073107750038623E-12</v>
      </c>
      <c r="CX193" s="62">
        <f t="shared" si="122"/>
        <v>290.64687565573075</v>
      </c>
      <c r="CY193" s="62">
        <f ca="1">AVERAGE(OFFSET($CX$3,0,0,'Données projet'!$E$13+1,1))-AVERAGE(OFFSET($H$3,0,0,'Données projet'!$E$13+1,1))</f>
        <v>308.52515801950324</v>
      </c>
      <c r="CZ193" s="62">
        <f t="shared" si="150"/>
        <v>299.05420638408953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69.267329724289525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4.5474735088646412E-13</v>
      </c>
      <c r="DP193" s="18">
        <f>DO193*VLOOKUP('Données projet'!$B$14,Paramètres!$A$1:$I$89,3,0)*VLOOKUP('Données projet'!$B$14,Paramètres!$A$1:$I$89,5,0)</f>
        <v>3.3342075766995548E-13</v>
      </c>
      <c r="DQ193" s="14">
        <f t="shared" si="176"/>
        <v>4.3537988100583648E-12</v>
      </c>
      <c r="DR193" s="22">
        <f t="shared" si="177"/>
        <v>8.1635740804601579E-12</v>
      </c>
      <c r="DS193" s="62">
        <f t="shared" si="125"/>
        <v>290.64687565573644</v>
      </c>
      <c r="DT193" s="62">
        <f ca="1">AVERAGE(OFFSET($DS$3,0,0,'Données projet'!$E$14+1,1))-AVERAGE(OFFSET($H$3,0,0,'Données projet'!$E$14+1,1))</f>
        <v>416.72317068678774</v>
      </c>
      <c r="DU193" s="62">
        <f t="shared" si="152"/>
        <v>447.32457429495537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69.267329724289525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5.6843418860808015E-14</v>
      </c>
      <c r="EK193" s="18">
        <f>EJ193*VLOOKUP('Données projet'!$B$15,Paramètres!$A$1:$I$89,3,0)*VLOOKUP('Données projet'!$B$15,Paramètres!$A$1:$I$89,5,0)</f>
        <v>5.4092197387944907E-14</v>
      </c>
      <c r="EL193" s="14">
        <f t="shared" si="179"/>
        <v>8.7287050538073676E-13</v>
      </c>
      <c r="EM193" s="22">
        <f t="shared" si="180"/>
        <v>1.6144600406554537E-12</v>
      </c>
      <c r="EN193" s="62">
        <f t="shared" si="128"/>
        <v>290.64687565572984</v>
      </c>
      <c r="EO193" s="62">
        <f ca="1">AVERAGE(OFFSET($EN$3,0,0,'Données projet'!$E$15+1,1))-AVERAGE(OFFSET($H$3,0,0,'Données projet'!$E$15+1,1))</f>
        <v>454.78867027701426</v>
      </c>
      <c r="EP193" s="62">
        <f t="shared" si="154"/>
        <v>366.45346303927056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0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69.267329724289525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>
        <f>FE193*VLOOKUP('Données projet'!$B$16,Paramètres!$A$1:$I$89,3,0)*VLOOKUP('Données projet'!$B$16,Paramètres!$A$1:$I$89,5,0)</f>
        <v>0</v>
      </c>
      <c r="FG193" s="14" t="e">
        <f t="shared" si="182"/>
        <v>#NUM!</v>
      </c>
      <c r="FH193" s="22" t="e">
        <f t="shared" si="183"/>
        <v>#NUM!</v>
      </c>
      <c r="FI193" s="62" t="e">
        <f t="shared" si="131"/>
        <v>#NUM!</v>
      </c>
      <c r="FJ193" s="62">
        <f ca="1">AVERAGE(OFFSET($FI$3,0,0,'Données projet'!$E$16+1,1))-AVERAGE(OFFSET($H$3,0,0,'Données projet'!$E$16+1,1))</f>
        <v>390.05579539539576</v>
      </c>
      <c r="FK193" s="62">
        <f t="shared" si="156"/>
        <v>323.72278615226139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projet'!$B$16,Paramètres!$A$1:$I$89,3,0)*0.475*44/12</f>
        <v>0</v>
      </c>
      <c r="FR193" s="23">
        <f>EXP(-LN(2)/25)*FR192+(1-EXP(-LN(2)/25))/(LN(2)/25)*Calculateur!FM193*Calculateur!FO193*VLOOKUP('Données projet'!$B$16,Paramètres!$A$1:$I$89,3,0)*0.475*44/12</f>
        <v>0</v>
      </c>
      <c r="FS193" s="23">
        <f>EXP(-LN(2)/2)*FS192+(1-EXP(-LN(2)/2))/(LN(2)/2)*FM193*FP193*VLOOKUP('Données projet'!$B$16,Paramètres!$A$1:$I$89,3,0)*0.475*44/12</f>
        <v>0</v>
      </c>
      <c r="FT193" s="24">
        <f t="shared" si="184"/>
        <v>0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69.267329724289525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5.6843418860808015E-14</v>
      </c>
      <c r="GA193" s="18">
        <f>FZ193*VLOOKUP('Données projet'!$B$17,Paramètres!$A$1:$I$89,3,0)*VLOOKUP('Données projet'!$B$17,Paramètres!$A$1:$I$89,5,0)</f>
        <v>5.4978954722173515E-14</v>
      </c>
      <c r="GB193" s="14">
        <f t="shared" si="185"/>
        <v>8.8550225887742724E-13</v>
      </c>
      <c r="GC193" s="22">
        <f t="shared" si="186"/>
        <v>1.6380047803526383E-12</v>
      </c>
      <c r="GD193" s="62">
        <f t="shared" si="134"/>
        <v>290.6468756557299</v>
      </c>
      <c r="GE193" s="62">
        <f ca="1">AVERAGE(OFFSET($GD$3,0,0,'Données projet'!$E$17+1,1))-AVERAGE(OFFSET($H$3,0,0,'Données projet'!$E$17+1,1))</f>
        <v>578.44111602076555</v>
      </c>
      <c r="GF193" s="62">
        <f t="shared" si="158"/>
        <v>368.08542661432784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>
        <f>EXP(-LN(2)/35)*GL192+(1-EXP(-LN(2)/35))/(LN(2)/35)*GH193*GI193*VLOOKUP('Données projet'!$B$17,Paramètres!$A$1:$I$89,3,0)*0.475*44/12</f>
        <v>0</v>
      </c>
      <c r="GM193" s="23">
        <f>EXP(-LN(2)/25)*GM192+(1-EXP(-LN(2)/25))/(LN(2)/25)*Calculateur!GH193*Calculateur!GJ193*VLOOKUP('Données projet'!$B$17,Paramètres!$A$1:$I$89,3,0)*0.475*44/12</f>
        <v>0</v>
      </c>
      <c r="GN193" s="23">
        <f>EXP(-LN(2)/2)*GN192+(1-EXP(-LN(2)/2))/(LN(2)/2)*GH193*GK193*VLOOKUP('Données projet'!$B$17,Paramètres!$A$1:$I$89,3,0)*0.475*44/12</f>
        <v>0</v>
      </c>
      <c r="GO193" s="23">
        <f t="shared" si="187"/>
        <v>0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69.267329724289525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4.0735000000000001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14.936166666666667</v>
      </c>
      <c r="H194" s="70">
        <f t="shared" si="110"/>
        <v>196.922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69.280039915567741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5.1431925385259088E-14</v>
      </c>
      <c r="P194" s="14">
        <f t="shared" si="141"/>
        <v>8.3482866290946129E-13</v>
      </c>
      <c r="Q194" s="22">
        <f t="shared" si="162"/>
        <v>1.5435705246133045E-12</v>
      </c>
      <c r="R194" s="62">
        <f t="shared" si="109"/>
        <v>290.69347969041655</v>
      </c>
      <c r="S194" s="62">
        <f ca="1">AVERAGE(OFFSET($R$3,0,0,'Données projet'!$E$9+1,1))-AVERAGE(OFFSET($H$3,0,0,'Données projet'!$E$9+1,1))</f>
        <v>546.11281471711925</v>
      </c>
      <c r="T194" s="62">
        <f t="shared" si="142"/>
        <v>348.18069831447099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69.280039915567741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-1.2505552149377763E-12</v>
      </c>
      <c r="AJ194" s="14">
        <f>AI194*VLOOKUP('Données projet'!$B$10,Paramètres!$A$1:$I$89,3,0)*VLOOKUP('Données projet'!$B$10,Paramètres!$A$1:$I$89,5,0)</f>
        <v>-1.0729763744166122E-12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693.87994318348024</v>
      </c>
      <c r="AO194" s="62">
        <f t="shared" si="144"/>
        <v>327.71043739333641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69.280039915567741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5.6843418860808015E-14</v>
      </c>
      <c r="BE194" s="14">
        <f>BD194*VLOOKUP('Données projet'!$B$11,Paramètres!$A$1:$I$89,3,0)*VLOOKUP('Données projet'!$B$11,Paramètres!$A$1:$I$89,5,0)</f>
        <v>4.7884896048344674E-14</v>
      </c>
      <c r="BF194" s="14">
        <f t="shared" si="167"/>
        <v>7.8374629847779921E-13</v>
      </c>
      <c r="BG194" s="22">
        <f t="shared" si="168"/>
        <v>1.4484243304663672E-12</v>
      </c>
      <c r="BH194" s="62">
        <f t="shared" si="116"/>
        <v>290.69347969041644</v>
      </c>
      <c r="BI194" s="62">
        <f ca="1">AVERAGE(OFFSET($BH$3,0,0,'Données projet'!$E$11+1,1))-AVERAGE(OFFSET($H$3,0,0,'Données projet'!$E$11+1,1))</f>
        <v>513.7388209355762</v>
      </c>
      <c r="BJ194" s="62">
        <f t="shared" si="146"/>
        <v>328.24603121433927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69.280039915567741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4.5474735088646412E-13</v>
      </c>
      <c r="BZ194" s="14">
        <f>BY194*VLOOKUP('Données projet'!$B$12,Paramètres!$A$1:$I$89,3,0)*VLOOKUP('Données projet'!$B$12,Paramètres!$A$1:$I$89,5,0)</f>
        <v>3.6179699236527089E-13</v>
      </c>
      <c r="CA194" s="14">
        <f t="shared" si="170"/>
        <v>4.6796319415916035E-12</v>
      </c>
      <c r="CB194" s="22">
        <f t="shared" si="171"/>
        <v>8.7804887266415556E-12</v>
      </c>
      <c r="CC194" s="62">
        <f t="shared" si="119"/>
        <v>290.69347969042377</v>
      </c>
      <c r="CD194" s="62">
        <f ca="1">AVERAGE(OFFSET($CC$3,0,0,'Données projet'!$E$12+1,1))-AVERAGE(OFFSET($H$3,0,0,'Données projet'!$E$12+1,1))</f>
        <v>447.25854887589878</v>
      </c>
      <c r="CE194" s="62">
        <f t="shared" si="148"/>
        <v>480.13390593590157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69.280039915567741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1.1368683772161603E-13</v>
      </c>
      <c r="CU194" s="18">
        <f>CT194*VLOOKUP('Données projet'!$B$13,Paramètres!$A$1:$I$89,3,0)*VLOOKUP('Données projet'!$B$13,Paramètres!$A$1:$I$89,5,0)</f>
        <v>8.8675733422860506E-14</v>
      </c>
      <c r="CV194" s="14">
        <f t="shared" si="173"/>
        <v>1.3509285393066301E-12</v>
      </c>
      <c r="CW194" s="22">
        <f t="shared" si="174"/>
        <v>2.5073107750038623E-12</v>
      </c>
      <c r="CX194" s="62">
        <f t="shared" si="122"/>
        <v>290.69347969041752</v>
      </c>
      <c r="CY194" s="62">
        <f ca="1">AVERAGE(OFFSET($CX$3,0,0,'Données projet'!$E$13+1,1))-AVERAGE(OFFSET($H$3,0,0,'Données projet'!$E$13+1,1))</f>
        <v>308.52515801950324</v>
      </c>
      <c r="CZ194" s="62">
        <f t="shared" si="150"/>
        <v>299.05420638408953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69.280039915567741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4.5474735088646412E-13</v>
      </c>
      <c r="DP194" s="18">
        <f>DO194*VLOOKUP('Données projet'!$B$14,Paramètres!$A$1:$I$89,3,0)*VLOOKUP('Données projet'!$B$14,Paramètres!$A$1:$I$89,5,0)</f>
        <v>3.3342075766995548E-13</v>
      </c>
      <c r="DQ194" s="14">
        <f t="shared" si="176"/>
        <v>4.3537988100583648E-12</v>
      </c>
      <c r="DR194" s="22">
        <f t="shared" si="177"/>
        <v>8.1635740804601579E-12</v>
      </c>
      <c r="DS194" s="62">
        <f t="shared" si="125"/>
        <v>290.6934796904232</v>
      </c>
      <c r="DT194" s="62">
        <f ca="1">AVERAGE(OFFSET($DS$3,0,0,'Données projet'!$E$14+1,1))-AVERAGE(OFFSET($H$3,0,0,'Données projet'!$E$14+1,1))</f>
        <v>416.72317068678774</v>
      </c>
      <c r="DU194" s="62">
        <f t="shared" si="152"/>
        <v>447.32457429495537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69.280039915567741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5.6843418860808015E-14</v>
      </c>
      <c r="EK194" s="18">
        <f>EJ194*VLOOKUP('Données projet'!$B$15,Paramètres!$A$1:$I$89,3,0)*VLOOKUP('Données projet'!$B$15,Paramètres!$A$1:$I$89,5,0)</f>
        <v>5.4092197387944907E-14</v>
      </c>
      <c r="EL194" s="14">
        <f t="shared" si="179"/>
        <v>8.7287050538073676E-13</v>
      </c>
      <c r="EM194" s="22">
        <f t="shared" si="180"/>
        <v>1.6144600406554537E-12</v>
      </c>
      <c r="EN194" s="62">
        <f t="shared" si="128"/>
        <v>290.69347969041661</v>
      </c>
      <c r="EO194" s="62">
        <f ca="1">AVERAGE(OFFSET($EN$3,0,0,'Données projet'!$E$15+1,1))-AVERAGE(OFFSET($H$3,0,0,'Données projet'!$E$15+1,1))</f>
        <v>454.78867027701426</v>
      </c>
      <c r="EP194" s="62">
        <f t="shared" si="154"/>
        <v>366.45346303927056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0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69.280039915567741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>
        <f>FE194*VLOOKUP('Données projet'!$B$16,Paramètres!$A$1:$I$89,3,0)*VLOOKUP('Données projet'!$B$16,Paramètres!$A$1:$I$89,5,0)</f>
        <v>0</v>
      </c>
      <c r="FG194" s="14" t="e">
        <f t="shared" si="182"/>
        <v>#NUM!</v>
      </c>
      <c r="FH194" s="22" t="e">
        <f t="shared" si="183"/>
        <v>#NUM!</v>
      </c>
      <c r="FI194" s="62" t="e">
        <f t="shared" si="131"/>
        <v>#NUM!</v>
      </c>
      <c r="FJ194" s="62">
        <f ca="1">AVERAGE(OFFSET($FI$3,0,0,'Données projet'!$E$16+1,1))-AVERAGE(OFFSET($H$3,0,0,'Données projet'!$E$16+1,1))</f>
        <v>390.05579539539576</v>
      </c>
      <c r="FK194" s="62">
        <f t="shared" si="156"/>
        <v>323.72278615226139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projet'!$B$16,Paramètres!$A$1:$I$89,3,0)*0.475*44/12</f>
        <v>0</v>
      </c>
      <c r="FR194" s="23">
        <f>EXP(-LN(2)/25)*FR193+(1-EXP(-LN(2)/25))/(LN(2)/25)*Calculateur!FM194*Calculateur!FO194*VLOOKUP('Données projet'!$B$16,Paramètres!$A$1:$I$89,3,0)*0.475*44/12</f>
        <v>0</v>
      </c>
      <c r="FS194" s="23">
        <f>EXP(-LN(2)/2)*FS193+(1-EXP(-LN(2)/2))/(LN(2)/2)*FM194*FP194*VLOOKUP('Données projet'!$B$16,Paramètres!$A$1:$I$89,3,0)*0.475*44/12</f>
        <v>0</v>
      </c>
      <c r="FT194" s="24">
        <f t="shared" si="184"/>
        <v>0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69.280039915567741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5.6843418860808015E-14</v>
      </c>
      <c r="GA194" s="18">
        <f>FZ194*VLOOKUP('Données projet'!$B$17,Paramètres!$A$1:$I$89,3,0)*VLOOKUP('Données projet'!$B$17,Paramètres!$A$1:$I$89,5,0)</f>
        <v>5.4978954722173515E-14</v>
      </c>
      <c r="GB194" s="14">
        <f t="shared" si="185"/>
        <v>8.8550225887742724E-13</v>
      </c>
      <c r="GC194" s="22">
        <f t="shared" si="186"/>
        <v>1.6380047803526383E-12</v>
      </c>
      <c r="GD194" s="62">
        <f t="shared" si="134"/>
        <v>290.69347969041667</v>
      </c>
      <c r="GE194" s="62">
        <f ca="1">AVERAGE(OFFSET($GD$3,0,0,'Données projet'!$E$17+1,1))-AVERAGE(OFFSET($H$3,0,0,'Données projet'!$E$17+1,1))</f>
        <v>578.44111602076555</v>
      </c>
      <c r="GF194" s="62">
        <f t="shared" si="158"/>
        <v>368.08542661432784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>
        <f>EXP(-LN(2)/35)*GL193+(1-EXP(-LN(2)/35))/(LN(2)/35)*GH194*GI194*VLOOKUP('Données projet'!$B$17,Paramètres!$A$1:$I$89,3,0)*0.475*44/12</f>
        <v>0</v>
      </c>
      <c r="GM194" s="23">
        <f>EXP(-LN(2)/25)*GM193+(1-EXP(-LN(2)/25))/(LN(2)/25)*Calculateur!GH194*Calculateur!GJ194*VLOOKUP('Données projet'!$B$17,Paramètres!$A$1:$I$89,3,0)*0.475*44/12</f>
        <v>0</v>
      </c>
      <c r="GN194" s="23">
        <f>EXP(-LN(2)/2)*GN193+(1-EXP(-LN(2)/2))/(LN(2)/2)*GH194*GK194*VLOOKUP('Données projet'!$B$17,Paramètres!$A$1:$I$89,3,0)*0.475*44/12</f>
        <v>0</v>
      </c>
      <c r="GO194" s="23">
        <f t="shared" si="187"/>
        <v>0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69.280039915567741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4.0735000000000001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14.936166666666667</v>
      </c>
      <c r="H195" s="70">
        <f t="shared" si="110"/>
        <v>196.922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69.292529613443037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5.1431925385259088E-14</v>
      </c>
      <c r="P195" s="14">
        <f t="shared" si="141"/>
        <v>8.3482866290946129E-13</v>
      </c>
      <c r="Q195" s="22">
        <f t="shared" si="162"/>
        <v>1.5435705246133045E-12</v>
      </c>
      <c r="R195" s="62">
        <f t="shared" ref="R195:R203" si="191">Q195+(I195+J195)*44/12</f>
        <v>290.73927524929263</v>
      </c>
      <c r="S195" s="62">
        <f ca="1">AVERAGE(OFFSET($R$3,0,0,'Données projet'!$E$9+1,1))-AVERAGE(OFFSET($H$3,0,0,'Données projet'!$E$9+1,1))</f>
        <v>546.11281471711925</v>
      </c>
      <c r="T195" s="62">
        <f t="shared" si="142"/>
        <v>348.18069831447099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69.292529613443037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-1.2505552149377763E-12</v>
      </c>
      <c r="AJ195" s="14">
        <f>AI195*VLOOKUP('Données projet'!$B$10,Paramètres!$A$1:$I$89,3,0)*VLOOKUP('Données projet'!$B$10,Paramètres!$A$1:$I$89,5,0)</f>
        <v>-1.0729763744166122E-12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693.87994318348024</v>
      </c>
      <c r="AO195" s="62">
        <f t="shared" si="144"/>
        <v>327.71043739333641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69.292529613443037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5.6843418860808015E-14</v>
      </c>
      <c r="BE195" s="14">
        <f>BD195*VLOOKUP('Données projet'!$B$11,Paramètres!$A$1:$I$89,3,0)*VLOOKUP('Données projet'!$B$11,Paramètres!$A$1:$I$89,5,0)</f>
        <v>4.7884896048344674E-14</v>
      </c>
      <c r="BF195" s="14">
        <f t="shared" si="167"/>
        <v>7.8374629847779921E-13</v>
      </c>
      <c r="BG195" s="22">
        <f t="shared" si="168"/>
        <v>1.4484243304663672E-12</v>
      </c>
      <c r="BH195" s="62">
        <f t="shared" si="116"/>
        <v>290.73927524929252</v>
      </c>
      <c r="BI195" s="62">
        <f ca="1">AVERAGE(OFFSET($BH$3,0,0,'Données projet'!$E$11+1,1))-AVERAGE(OFFSET($H$3,0,0,'Données projet'!$E$11+1,1))</f>
        <v>513.7388209355762</v>
      </c>
      <c r="BJ195" s="62">
        <f t="shared" si="146"/>
        <v>328.24603121433927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69.292529613443037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4.5474735088646412E-13</v>
      </c>
      <c r="BZ195" s="14">
        <f>BY195*VLOOKUP('Données projet'!$B$12,Paramètres!$A$1:$I$89,3,0)*VLOOKUP('Données projet'!$B$12,Paramètres!$A$1:$I$89,5,0)</f>
        <v>3.6179699236527089E-13</v>
      </c>
      <c r="CA195" s="14">
        <f t="shared" si="170"/>
        <v>4.6796319415916035E-12</v>
      </c>
      <c r="CB195" s="22">
        <f t="shared" si="171"/>
        <v>8.7804887266415556E-12</v>
      </c>
      <c r="CC195" s="62">
        <f t="shared" si="119"/>
        <v>290.73927524929985</v>
      </c>
      <c r="CD195" s="62">
        <f ca="1">AVERAGE(OFFSET($CC$3,0,0,'Données projet'!$E$12+1,1))-AVERAGE(OFFSET($H$3,0,0,'Données projet'!$E$12+1,1))</f>
        <v>447.25854887589878</v>
      </c>
      <c r="CE195" s="62">
        <f t="shared" si="148"/>
        <v>480.13390593590157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69.292529613443037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1.1368683772161603E-13</v>
      </c>
      <c r="CU195" s="18">
        <f>CT195*VLOOKUP('Données projet'!$B$13,Paramètres!$A$1:$I$89,3,0)*VLOOKUP('Données projet'!$B$13,Paramètres!$A$1:$I$89,5,0)</f>
        <v>8.8675733422860506E-14</v>
      </c>
      <c r="CV195" s="14">
        <f t="shared" si="173"/>
        <v>1.3509285393066301E-12</v>
      </c>
      <c r="CW195" s="22">
        <f t="shared" si="174"/>
        <v>2.5073107750038623E-12</v>
      </c>
      <c r="CX195" s="62">
        <f t="shared" si="122"/>
        <v>290.7392752492936</v>
      </c>
      <c r="CY195" s="62">
        <f ca="1">AVERAGE(OFFSET($CX$3,0,0,'Données projet'!$E$13+1,1))-AVERAGE(OFFSET($H$3,0,0,'Données projet'!$E$13+1,1))</f>
        <v>308.52515801950324</v>
      </c>
      <c r="CZ195" s="62">
        <f t="shared" si="150"/>
        <v>299.05420638408953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69.292529613443037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4.5474735088646412E-13</v>
      </c>
      <c r="DP195" s="18">
        <f>DO195*VLOOKUP('Données projet'!$B$14,Paramètres!$A$1:$I$89,3,0)*VLOOKUP('Données projet'!$B$14,Paramètres!$A$1:$I$89,5,0)</f>
        <v>3.3342075766995548E-13</v>
      </c>
      <c r="DQ195" s="14">
        <f t="shared" si="176"/>
        <v>4.3537988100583648E-12</v>
      </c>
      <c r="DR195" s="22">
        <f t="shared" si="177"/>
        <v>8.1635740804601579E-12</v>
      </c>
      <c r="DS195" s="62">
        <f t="shared" si="125"/>
        <v>290.73927524929928</v>
      </c>
      <c r="DT195" s="62">
        <f ca="1">AVERAGE(OFFSET($DS$3,0,0,'Données projet'!$E$14+1,1))-AVERAGE(OFFSET($H$3,0,0,'Données projet'!$E$14+1,1))</f>
        <v>416.72317068678774</v>
      </c>
      <c r="DU195" s="62">
        <f t="shared" si="152"/>
        <v>447.32457429495537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69.292529613443037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5.6843418860808015E-14</v>
      </c>
      <c r="EK195" s="18">
        <f>EJ195*VLOOKUP('Données projet'!$B$15,Paramètres!$A$1:$I$89,3,0)*VLOOKUP('Données projet'!$B$15,Paramètres!$A$1:$I$89,5,0)</f>
        <v>5.4092197387944907E-14</v>
      </c>
      <c r="EL195" s="14">
        <f t="shared" si="179"/>
        <v>8.7287050538073676E-13</v>
      </c>
      <c r="EM195" s="22">
        <f t="shared" si="180"/>
        <v>1.6144600406554537E-12</v>
      </c>
      <c r="EN195" s="62">
        <f t="shared" si="128"/>
        <v>290.73927524929269</v>
      </c>
      <c r="EO195" s="62">
        <f ca="1">AVERAGE(OFFSET($EN$3,0,0,'Données projet'!$E$15+1,1))-AVERAGE(OFFSET($H$3,0,0,'Données projet'!$E$15+1,1))</f>
        <v>454.78867027701426</v>
      </c>
      <c r="EP195" s="62">
        <f t="shared" si="154"/>
        <v>366.45346303927056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0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69.292529613443037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>
        <f>FE195*VLOOKUP('Données projet'!$B$16,Paramètres!$A$1:$I$89,3,0)*VLOOKUP('Données projet'!$B$16,Paramètres!$A$1:$I$89,5,0)</f>
        <v>0</v>
      </c>
      <c r="FG195" s="14" t="e">
        <f t="shared" si="182"/>
        <v>#NUM!</v>
      </c>
      <c r="FH195" s="22" t="e">
        <f t="shared" si="183"/>
        <v>#NUM!</v>
      </c>
      <c r="FI195" s="62" t="e">
        <f t="shared" si="131"/>
        <v>#NUM!</v>
      </c>
      <c r="FJ195" s="62">
        <f ca="1">AVERAGE(OFFSET($FI$3,0,0,'Données projet'!$E$16+1,1))-AVERAGE(OFFSET($H$3,0,0,'Données projet'!$E$16+1,1))</f>
        <v>390.05579539539576</v>
      </c>
      <c r="FK195" s="62">
        <f t="shared" si="156"/>
        <v>323.72278615226139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projet'!$B$16,Paramètres!$A$1:$I$89,3,0)*0.475*44/12</f>
        <v>0</v>
      </c>
      <c r="FR195" s="23">
        <f>EXP(-LN(2)/25)*FR194+(1-EXP(-LN(2)/25))/(LN(2)/25)*Calculateur!FM195*Calculateur!FO195*VLOOKUP('Données projet'!$B$16,Paramètres!$A$1:$I$89,3,0)*0.475*44/12</f>
        <v>0</v>
      </c>
      <c r="FS195" s="23">
        <f>EXP(-LN(2)/2)*FS194+(1-EXP(-LN(2)/2))/(LN(2)/2)*FM195*FP195*VLOOKUP('Données projet'!$B$16,Paramètres!$A$1:$I$89,3,0)*0.475*44/12</f>
        <v>0</v>
      </c>
      <c r="FT195" s="24">
        <f t="shared" si="184"/>
        <v>0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69.292529613443037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5.6843418860808015E-14</v>
      </c>
      <c r="GA195" s="18">
        <f>FZ195*VLOOKUP('Données projet'!$B$17,Paramètres!$A$1:$I$89,3,0)*VLOOKUP('Données projet'!$B$17,Paramètres!$A$1:$I$89,5,0)</f>
        <v>5.4978954722173515E-14</v>
      </c>
      <c r="GB195" s="14">
        <f t="shared" si="185"/>
        <v>8.8550225887742724E-13</v>
      </c>
      <c r="GC195" s="22">
        <f t="shared" si="186"/>
        <v>1.6380047803526383E-12</v>
      </c>
      <c r="GD195" s="62">
        <f t="shared" si="134"/>
        <v>290.73927524929275</v>
      </c>
      <c r="GE195" s="62">
        <f ca="1">AVERAGE(OFFSET($GD$3,0,0,'Données projet'!$E$17+1,1))-AVERAGE(OFFSET($H$3,0,0,'Données projet'!$E$17+1,1))</f>
        <v>578.44111602076555</v>
      </c>
      <c r="GF195" s="62">
        <f t="shared" si="158"/>
        <v>368.08542661432784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>
        <f>EXP(-LN(2)/35)*GL194+(1-EXP(-LN(2)/35))/(LN(2)/35)*GH195*GI195*VLOOKUP('Données projet'!$B$17,Paramètres!$A$1:$I$89,3,0)*0.475*44/12</f>
        <v>0</v>
      </c>
      <c r="GM195" s="23">
        <f>EXP(-LN(2)/25)*GM194+(1-EXP(-LN(2)/25))/(LN(2)/25)*Calculateur!GH195*Calculateur!GJ195*VLOOKUP('Données projet'!$B$17,Paramètres!$A$1:$I$89,3,0)*0.475*44/12</f>
        <v>0</v>
      </c>
      <c r="GN195" s="23">
        <f>EXP(-LN(2)/2)*GN194+(1-EXP(-LN(2)/2))/(LN(2)/2)*GH195*GK195*VLOOKUP('Données projet'!$B$17,Paramètres!$A$1:$I$89,3,0)*0.475*44/12</f>
        <v>0</v>
      </c>
      <c r="GO195" s="23">
        <f t="shared" si="187"/>
        <v>0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69.292529613443037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4.0735000000000001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14.936166666666667</v>
      </c>
      <c r="H196" s="70">
        <f t="shared" ref="H196:H203" si="192">(B196+E196+F196)*44/12+(C196+D196)*0.475*44/12</f>
        <v>196.922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69.304802642982963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5.1431925385259088E-14</v>
      </c>
      <c r="P196" s="14">
        <f t="shared" si="141"/>
        <v>8.3482866290946129E-13</v>
      </c>
      <c r="Q196" s="22">
        <f t="shared" si="162"/>
        <v>1.5435705246133045E-12</v>
      </c>
      <c r="R196" s="62">
        <f t="shared" si="191"/>
        <v>290.78427635760573</v>
      </c>
      <c r="S196" s="62">
        <f ca="1">AVERAGE(OFFSET($R$3,0,0,'Données projet'!$E$9+1,1))-AVERAGE(OFFSET($H$3,0,0,'Données projet'!$E$9+1,1))</f>
        <v>546.11281471711925</v>
      </c>
      <c r="T196" s="62">
        <f t="shared" si="142"/>
        <v>348.18069831447099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69.304802642982963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-1.2505552149377763E-12</v>
      </c>
      <c r="AJ196" s="14">
        <f>AI196*VLOOKUP('Données projet'!$B$10,Paramètres!$A$1:$I$89,3,0)*VLOOKUP('Données projet'!$B$10,Paramètres!$A$1:$I$89,5,0)</f>
        <v>-1.0729763744166122E-12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693.87994318348024</v>
      </c>
      <c r="AO196" s="62">
        <f t="shared" si="144"/>
        <v>327.71043739333641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69.304802642982963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5.6843418860808015E-14</v>
      </c>
      <c r="BE196" s="14">
        <f>BD196*VLOOKUP('Données projet'!$B$11,Paramètres!$A$1:$I$89,3,0)*VLOOKUP('Données projet'!$B$11,Paramètres!$A$1:$I$89,5,0)</f>
        <v>4.7884896048344674E-14</v>
      </c>
      <c r="BF196" s="14">
        <f t="shared" si="167"/>
        <v>7.8374629847779921E-13</v>
      </c>
      <c r="BG196" s="22">
        <f t="shared" si="168"/>
        <v>1.4484243304663672E-12</v>
      </c>
      <c r="BH196" s="62">
        <f t="shared" ref="BH196:BH203" si="194">BG196+(AY196+AZ196)*44/12</f>
        <v>290.78427635760562</v>
      </c>
      <c r="BI196" s="62">
        <f ca="1">AVERAGE(OFFSET($BH$3,0,0,'Données projet'!$E$11+1,1))-AVERAGE(OFFSET($H$3,0,0,'Données projet'!$E$11+1,1))</f>
        <v>513.7388209355762</v>
      </c>
      <c r="BJ196" s="62">
        <f t="shared" si="146"/>
        <v>328.24603121433927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69.304802642982963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4.5474735088646412E-13</v>
      </c>
      <c r="BZ196" s="14">
        <f>BY196*VLOOKUP('Données projet'!$B$12,Paramètres!$A$1:$I$89,3,0)*VLOOKUP('Données projet'!$B$12,Paramètres!$A$1:$I$89,5,0)</f>
        <v>3.6179699236527089E-13</v>
      </c>
      <c r="CA196" s="14">
        <f t="shared" si="170"/>
        <v>4.6796319415916035E-12</v>
      </c>
      <c r="CB196" s="22">
        <f t="shared" si="171"/>
        <v>8.7804887266415556E-12</v>
      </c>
      <c r="CC196" s="62">
        <f t="shared" ref="CC196:CC203" si="195">CB196+(BT196+BU196)*44/12</f>
        <v>290.78427635761295</v>
      </c>
      <c r="CD196" s="62">
        <f ca="1">AVERAGE(OFFSET($CC$3,0,0,'Données projet'!$E$12+1,1))-AVERAGE(OFFSET($H$3,0,0,'Données projet'!$E$12+1,1))</f>
        <v>447.25854887589878</v>
      </c>
      <c r="CE196" s="62">
        <f t="shared" si="148"/>
        <v>480.13390593590157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69.304802642982963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1.1368683772161603E-13</v>
      </c>
      <c r="CU196" s="18">
        <f>CT196*VLOOKUP('Données projet'!$B$13,Paramètres!$A$1:$I$89,3,0)*VLOOKUP('Données projet'!$B$13,Paramètres!$A$1:$I$89,5,0)</f>
        <v>8.8675733422860506E-14</v>
      </c>
      <c r="CV196" s="14">
        <f t="shared" si="173"/>
        <v>1.3509285393066301E-12</v>
      </c>
      <c r="CW196" s="22">
        <f t="shared" si="174"/>
        <v>2.5073107750038623E-12</v>
      </c>
      <c r="CX196" s="62">
        <f t="shared" ref="CX196:CX203" si="196">CW196+(CO196+CP196)*44/12</f>
        <v>290.7842763576067</v>
      </c>
      <c r="CY196" s="62">
        <f ca="1">AVERAGE(OFFSET($CX$3,0,0,'Données projet'!$E$13+1,1))-AVERAGE(OFFSET($H$3,0,0,'Données projet'!$E$13+1,1))</f>
        <v>308.52515801950324</v>
      </c>
      <c r="CZ196" s="62">
        <f t="shared" si="150"/>
        <v>299.05420638408953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69.304802642982963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4.5474735088646412E-13</v>
      </c>
      <c r="DP196" s="18">
        <f>DO196*VLOOKUP('Données projet'!$B$14,Paramètres!$A$1:$I$89,3,0)*VLOOKUP('Données projet'!$B$14,Paramètres!$A$1:$I$89,5,0)</f>
        <v>3.3342075766995548E-13</v>
      </c>
      <c r="DQ196" s="14">
        <f t="shared" si="176"/>
        <v>4.3537988100583648E-12</v>
      </c>
      <c r="DR196" s="22">
        <f t="shared" si="177"/>
        <v>8.1635740804601579E-12</v>
      </c>
      <c r="DS196" s="62">
        <f t="shared" ref="DS196:DS203" si="197">DR196+(DJ196+DK196)*44/12</f>
        <v>290.78427635761238</v>
      </c>
      <c r="DT196" s="62">
        <f ca="1">AVERAGE(OFFSET($DS$3,0,0,'Données projet'!$E$14+1,1))-AVERAGE(OFFSET($H$3,0,0,'Données projet'!$E$14+1,1))</f>
        <v>416.72317068678774</v>
      </c>
      <c r="DU196" s="62">
        <f t="shared" si="152"/>
        <v>447.32457429495537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69.304802642982963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5.6843418860808015E-14</v>
      </c>
      <c r="EK196" s="18">
        <f>EJ196*VLOOKUP('Données projet'!$B$15,Paramètres!$A$1:$I$89,3,0)*VLOOKUP('Données projet'!$B$15,Paramètres!$A$1:$I$89,5,0)</f>
        <v>5.4092197387944907E-14</v>
      </c>
      <c r="EL196" s="14">
        <f t="shared" si="179"/>
        <v>8.7287050538073676E-13</v>
      </c>
      <c r="EM196" s="22">
        <f t="shared" si="180"/>
        <v>1.6144600406554537E-12</v>
      </c>
      <c r="EN196" s="62">
        <f t="shared" ref="EN196:EN203" si="198">EM196+(EE196+EF196)*44/12</f>
        <v>290.78427635760579</v>
      </c>
      <c r="EO196" s="62">
        <f ca="1">AVERAGE(OFFSET($EN$3,0,0,'Données projet'!$E$15+1,1))-AVERAGE(OFFSET($H$3,0,0,'Données projet'!$E$15+1,1))</f>
        <v>454.78867027701426</v>
      </c>
      <c r="EP196" s="62">
        <f t="shared" si="154"/>
        <v>366.45346303927056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0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69.304802642982963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>
        <f>FE196*VLOOKUP('Données projet'!$B$16,Paramètres!$A$1:$I$89,3,0)*VLOOKUP('Données projet'!$B$16,Paramètres!$A$1:$I$89,5,0)</f>
        <v>0</v>
      </c>
      <c r="FG196" s="14" t="e">
        <f t="shared" si="182"/>
        <v>#NUM!</v>
      </c>
      <c r="FH196" s="22" t="e">
        <f t="shared" si="183"/>
        <v>#NUM!</v>
      </c>
      <c r="FI196" s="62" t="e">
        <f t="shared" ref="FI196:FI203" si="199">FH196+(EZ196+FA196)*44/12</f>
        <v>#NUM!</v>
      </c>
      <c r="FJ196" s="62">
        <f ca="1">AVERAGE(OFFSET($FI$3,0,0,'Données projet'!$E$16+1,1))-AVERAGE(OFFSET($H$3,0,0,'Données projet'!$E$16+1,1))</f>
        <v>390.05579539539576</v>
      </c>
      <c r="FK196" s="62">
        <f t="shared" si="156"/>
        <v>323.72278615226139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projet'!$B$16,Paramètres!$A$1:$I$89,3,0)*0.475*44/12</f>
        <v>0</v>
      </c>
      <c r="FR196" s="23">
        <f>EXP(-LN(2)/25)*FR195+(1-EXP(-LN(2)/25))/(LN(2)/25)*Calculateur!FM196*Calculateur!FO196*VLOOKUP('Données projet'!$B$16,Paramètres!$A$1:$I$89,3,0)*0.475*44/12</f>
        <v>0</v>
      </c>
      <c r="FS196" s="23">
        <f>EXP(-LN(2)/2)*FS195+(1-EXP(-LN(2)/2))/(LN(2)/2)*FM196*FP196*VLOOKUP('Données projet'!$B$16,Paramètres!$A$1:$I$89,3,0)*0.475*44/12</f>
        <v>0</v>
      </c>
      <c r="FT196" s="24">
        <f t="shared" si="184"/>
        <v>0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69.304802642982963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5.6843418860808015E-14</v>
      </c>
      <c r="GA196" s="18">
        <f>FZ196*VLOOKUP('Données projet'!$B$17,Paramètres!$A$1:$I$89,3,0)*VLOOKUP('Données projet'!$B$17,Paramètres!$A$1:$I$89,5,0)</f>
        <v>5.4978954722173515E-14</v>
      </c>
      <c r="GB196" s="14">
        <f t="shared" si="185"/>
        <v>8.8550225887742724E-13</v>
      </c>
      <c r="GC196" s="22">
        <f t="shared" si="186"/>
        <v>1.6380047803526383E-12</v>
      </c>
      <c r="GD196" s="62">
        <f t="shared" ref="GD196:GD203" si="200">GC196+(FU196+FV196)*44/12</f>
        <v>290.78427635760585</v>
      </c>
      <c r="GE196" s="62">
        <f ca="1">AVERAGE(OFFSET($GD$3,0,0,'Données projet'!$E$17+1,1))-AVERAGE(OFFSET($H$3,0,0,'Données projet'!$E$17+1,1))</f>
        <v>578.44111602076555</v>
      </c>
      <c r="GF196" s="62">
        <f t="shared" si="158"/>
        <v>368.08542661432784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>
        <f>EXP(-LN(2)/35)*GL195+(1-EXP(-LN(2)/35))/(LN(2)/35)*GH196*GI196*VLOOKUP('Données projet'!$B$17,Paramètres!$A$1:$I$89,3,0)*0.475*44/12</f>
        <v>0</v>
      </c>
      <c r="GM196" s="23">
        <f>EXP(-LN(2)/25)*GM195+(1-EXP(-LN(2)/25))/(LN(2)/25)*Calculateur!GH196*Calculateur!GJ196*VLOOKUP('Données projet'!$B$17,Paramètres!$A$1:$I$89,3,0)*0.475*44/12</f>
        <v>0</v>
      </c>
      <c r="GN196" s="23">
        <f>EXP(-LN(2)/2)*GN195+(1-EXP(-LN(2)/2))/(LN(2)/2)*GH196*GK196*VLOOKUP('Données projet'!$B$17,Paramètres!$A$1:$I$89,3,0)*0.475*44/12</f>
        <v>0</v>
      </c>
      <c r="GO196" s="23">
        <f t="shared" si="187"/>
        <v>0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69.304802642982963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4.0735000000000001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14.936166666666667</v>
      </c>
      <c r="H197" s="70">
        <f t="shared" si="192"/>
        <v>196.922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69.316862762898765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5.1431925385259088E-14</v>
      </c>
      <c r="P197" s="14">
        <f t="shared" ref="P197:P203" si="203">EXP(-1.0587+0.8836*LN(O197)+0.284)</f>
        <v>8.3482866290946129E-13</v>
      </c>
      <c r="Q197" s="22">
        <f t="shared" si="162"/>
        <v>1.5435705246133045E-12</v>
      </c>
      <c r="R197" s="62">
        <f t="shared" si="191"/>
        <v>290.82849679729702</v>
      </c>
      <c r="S197" s="62">
        <f ca="1">AVERAGE(OFFSET($R$3,0,0,'Données projet'!$E$9+1,1))-AVERAGE(OFFSET($H$3,0,0,'Données projet'!$E$9+1,1))</f>
        <v>546.11281471711925</v>
      </c>
      <c r="T197" s="62">
        <f t="shared" ref="T197:T203" si="204">$T$3</f>
        <v>348.18069831447099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69.316862762898765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-1.2505552149377763E-12</v>
      </c>
      <c r="AJ197" s="14">
        <f>AI197*VLOOKUP('Données projet'!$B$10,Paramètres!$A$1:$I$89,3,0)*VLOOKUP('Données projet'!$B$10,Paramètres!$A$1:$I$89,5,0)</f>
        <v>-1.0729763744166122E-12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693.87994318348024</v>
      </c>
      <c r="AO197" s="62">
        <f t="shared" ref="AO197:AO203" si="205">$AO$3</f>
        <v>327.71043739333641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69.316862762898765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5.6843418860808015E-14</v>
      </c>
      <c r="BE197" s="14">
        <f>BD197*VLOOKUP('Données projet'!$B$11,Paramètres!$A$1:$I$89,3,0)*VLOOKUP('Données projet'!$B$11,Paramètres!$A$1:$I$89,5,0)</f>
        <v>4.7884896048344674E-14</v>
      </c>
      <c r="BF197" s="14">
        <f t="shared" si="167"/>
        <v>7.8374629847779921E-13</v>
      </c>
      <c r="BG197" s="22">
        <f t="shared" si="168"/>
        <v>1.4484243304663672E-12</v>
      </c>
      <c r="BH197" s="62">
        <f t="shared" si="194"/>
        <v>290.82849679729691</v>
      </c>
      <c r="BI197" s="62">
        <f ca="1">AVERAGE(OFFSET($BH$3,0,0,'Données projet'!$E$11+1,1))-AVERAGE(OFFSET($H$3,0,0,'Données projet'!$E$11+1,1))</f>
        <v>513.7388209355762</v>
      </c>
      <c r="BJ197" s="62">
        <f t="shared" ref="BJ197:BJ203" si="206">$BJ$3</f>
        <v>328.24603121433927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69.316862762898765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4.5474735088646412E-13</v>
      </c>
      <c r="BZ197" s="14">
        <f>BY197*VLOOKUP('Données projet'!$B$12,Paramètres!$A$1:$I$89,3,0)*VLOOKUP('Données projet'!$B$12,Paramètres!$A$1:$I$89,5,0)</f>
        <v>3.6179699236527089E-13</v>
      </c>
      <c r="CA197" s="14">
        <f t="shared" si="170"/>
        <v>4.6796319415916035E-12</v>
      </c>
      <c r="CB197" s="22">
        <f t="shared" si="171"/>
        <v>8.7804887266415556E-12</v>
      </c>
      <c r="CC197" s="62">
        <f t="shared" si="195"/>
        <v>290.82849679730424</v>
      </c>
      <c r="CD197" s="62">
        <f ca="1">AVERAGE(OFFSET($CC$3,0,0,'Données projet'!$E$12+1,1))-AVERAGE(OFFSET($H$3,0,0,'Données projet'!$E$12+1,1))</f>
        <v>447.25854887589878</v>
      </c>
      <c r="CE197" s="62">
        <f t="shared" ref="CE197:CE203" si="207">$CE$3</f>
        <v>480.13390593590157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69.316862762898765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1.1368683772161603E-13</v>
      </c>
      <c r="CU197" s="18">
        <f>CT197*VLOOKUP('Données projet'!$B$13,Paramètres!$A$1:$I$89,3,0)*VLOOKUP('Données projet'!$B$13,Paramètres!$A$1:$I$89,5,0)</f>
        <v>8.8675733422860506E-14</v>
      </c>
      <c r="CV197" s="14">
        <f t="shared" si="173"/>
        <v>1.3509285393066301E-12</v>
      </c>
      <c r="CW197" s="22">
        <f t="shared" si="174"/>
        <v>2.5073107750038623E-12</v>
      </c>
      <c r="CX197" s="62">
        <f t="shared" si="196"/>
        <v>290.82849679729799</v>
      </c>
      <c r="CY197" s="62">
        <f ca="1">AVERAGE(OFFSET($CX$3,0,0,'Données projet'!$E$13+1,1))-AVERAGE(OFFSET($H$3,0,0,'Données projet'!$E$13+1,1))</f>
        <v>308.52515801950324</v>
      </c>
      <c r="CZ197" s="62">
        <f t="shared" ref="CZ197:CZ203" si="208">$CZ$3</f>
        <v>299.05420638408953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69.316862762898765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4.5474735088646412E-13</v>
      </c>
      <c r="DP197" s="18">
        <f>DO197*VLOOKUP('Données projet'!$B$14,Paramètres!$A$1:$I$89,3,0)*VLOOKUP('Données projet'!$B$14,Paramètres!$A$1:$I$89,5,0)</f>
        <v>3.3342075766995548E-13</v>
      </c>
      <c r="DQ197" s="14">
        <f t="shared" si="176"/>
        <v>4.3537988100583648E-12</v>
      </c>
      <c r="DR197" s="22">
        <f t="shared" si="177"/>
        <v>8.1635740804601579E-12</v>
      </c>
      <c r="DS197" s="62">
        <f t="shared" si="197"/>
        <v>290.82849679730367</v>
      </c>
      <c r="DT197" s="62">
        <f ca="1">AVERAGE(OFFSET($DS$3,0,0,'Données projet'!$E$14+1,1))-AVERAGE(OFFSET($H$3,0,0,'Données projet'!$E$14+1,1))</f>
        <v>416.72317068678774</v>
      </c>
      <c r="DU197" s="62">
        <f t="shared" ref="DU197:DU203" si="209">$DU$3</f>
        <v>447.32457429495537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69.316862762898765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5.6843418860808015E-14</v>
      </c>
      <c r="EK197" s="18">
        <f>EJ197*VLOOKUP('Données projet'!$B$15,Paramètres!$A$1:$I$89,3,0)*VLOOKUP('Données projet'!$B$15,Paramètres!$A$1:$I$89,5,0)</f>
        <v>5.4092197387944907E-14</v>
      </c>
      <c r="EL197" s="14">
        <f t="shared" si="179"/>
        <v>8.7287050538073676E-13</v>
      </c>
      <c r="EM197" s="22">
        <f t="shared" si="180"/>
        <v>1.6144600406554537E-12</v>
      </c>
      <c r="EN197" s="62">
        <f t="shared" si="198"/>
        <v>290.82849679729708</v>
      </c>
      <c r="EO197" s="62">
        <f ca="1">AVERAGE(OFFSET($EN$3,0,0,'Données projet'!$E$15+1,1))-AVERAGE(OFFSET($H$3,0,0,'Données projet'!$E$15+1,1))</f>
        <v>454.78867027701426</v>
      </c>
      <c r="EP197" s="62">
        <f t="shared" ref="EP197:EP203" si="210">$EP$3</f>
        <v>366.45346303927056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0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69.316862762898765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>
        <f>FE197*VLOOKUP('Données projet'!$B$16,Paramètres!$A$1:$I$89,3,0)*VLOOKUP('Données projet'!$B$16,Paramètres!$A$1:$I$89,5,0)</f>
        <v>0</v>
      </c>
      <c r="FG197" s="14" t="e">
        <f t="shared" si="182"/>
        <v>#NUM!</v>
      </c>
      <c r="FH197" s="22" t="e">
        <f t="shared" si="183"/>
        <v>#NUM!</v>
      </c>
      <c r="FI197" s="62" t="e">
        <f t="shared" si="199"/>
        <v>#NUM!</v>
      </c>
      <c r="FJ197" s="62">
        <f ca="1">AVERAGE(OFFSET($FI$3,0,0,'Données projet'!$E$16+1,1))-AVERAGE(OFFSET($H$3,0,0,'Données projet'!$E$16+1,1))</f>
        <v>390.05579539539576</v>
      </c>
      <c r="FK197" s="62">
        <f t="shared" ref="FK197:FK203" si="211">$FK$3</f>
        <v>323.72278615226139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projet'!$B$16,Paramètres!$A$1:$I$89,3,0)*0.475*44/12</f>
        <v>0</v>
      </c>
      <c r="FR197" s="23">
        <f>EXP(-LN(2)/25)*FR196+(1-EXP(-LN(2)/25))/(LN(2)/25)*Calculateur!FM197*Calculateur!FO197*VLOOKUP('Données projet'!$B$16,Paramètres!$A$1:$I$89,3,0)*0.475*44/12</f>
        <v>0</v>
      </c>
      <c r="FS197" s="23">
        <f>EXP(-LN(2)/2)*FS196+(1-EXP(-LN(2)/2))/(LN(2)/2)*FM197*FP197*VLOOKUP('Données projet'!$B$16,Paramètres!$A$1:$I$89,3,0)*0.475*44/12</f>
        <v>0</v>
      </c>
      <c r="FT197" s="24">
        <f t="shared" si="184"/>
        <v>0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69.316862762898765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5.6843418860808015E-14</v>
      </c>
      <c r="GA197" s="18">
        <f>FZ197*VLOOKUP('Données projet'!$B$17,Paramètres!$A$1:$I$89,3,0)*VLOOKUP('Données projet'!$B$17,Paramètres!$A$1:$I$89,5,0)</f>
        <v>5.4978954722173515E-14</v>
      </c>
      <c r="GB197" s="14">
        <f t="shared" si="185"/>
        <v>8.8550225887742724E-13</v>
      </c>
      <c r="GC197" s="22">
        <f t="shared" si="186"/>
        <v>1.6380047803526383E-12</v>
      </c>
      <c r="GD197" s="62">
        <f t="shared" si="200"/>
        <v>290.82849679729713</v>
      </c>
      <c r="GE197" s="62">
        <f ca="1">AVERAGE(OFFSET($GD$3,0,0,'Données projet'!$E$17+1,1))-AVERAGE(OFFSET($H$3,0,0,'Données projet'!$E$17+1,1))</f>
        <v>578.44111602076555</v>
      </c>
      <c r="GF197" s="62">
        <f t="shared" ref="GF197:GF203" si="212">$GF$3</f>
        <v>368.08542661432784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>
        <f>EXP(-LN(2)/35)*GL196+(1-EXP(-LN(2)/35))/(LN(2)/35)*GH197*GI197*VLOOKUP('Données projet'!$B$17,Paramètres!$A$1:$I$89,3,0)*0.475*44/12</f>
        <v>0</v>
      </c>
      <c r="GM197" s="23">
        <f>EXP(-LN(2)/25)*GM196+(1-EXP(-LN(2)/25))/(LN(2)/25)*Calculateur!GH197*Calculateur!GJ197*VLOOKUP('Données projet'!$B$17,Paramètres!$A$1:$I$89,3,0)*0.475*44/12</f>
        <v>0</v>
      </c>
      <c r="GN197" s="23">
        <f>EXP(-LN(2)/2)*GN196+(1-EXP(-LN(2)/2))/(LN(2)/2)*GH197*GK197*VLOOKUP('Données projet'!$B$17,Paramètres!$A$1:$I$89,3,0)*0.475*44/12</f>
        <v>0</v>
      </c>
      <c r="GO197" s="23">
        <f t="shared" si="187"/>
        <v>0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69.316862762898765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4.0735000000000001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14.936166666666667</v>
      </c>
      <c r="H198" s="70">
        <f t="shared" si="192"/>
        <v>196.922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69.328713666696416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5.1431925385259088E-14</v>
      </c>
      <c r="P198" s="14">
        <f t="shared" si="203"/>
        <v>8.3482866290946129E-13</v>
      </c>
      <c r="Q198" s="22">
        <f t="shared" si="162"/>
        <v>1.5435705246133045E-12</v>
      </c>
      <c r="R198" s="62">
        <f t="shared" si="191"/>
        <v>290.87195011122174</v>
      </c>
      <c r="S198" s="62">
        <f ca="1">AVERAGE(OFFSET($R$3,0,0,'Données projet'!$E$9+1,1))-AVERAGE(OFFSET($H$3,0,0,'Données projet'!$E$9+1,1))</f>
        <v>546.11281471711925</v>
      </c>
      <c r="T198" s="62">
        <f t="shared" si="204"/>
        <v>348.18069831447099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69.328713666696416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-1.2505552149377763E-12</v>
      </c>
      <c r="AJ198" s="14">
        <f>AI198*VLOOKUP('Données projet'!$B$10,Paramètres!$A$1:$I$89,3,0)*VLOOKUP('Données projet'!$B$10,Paramètres!$A$1:$I$89,5,0)</f>
        <v>-1.0729763744166122E-12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693.87994318348024</v>
      </c>
      <c r="AO198" s="62">
        <f t="shared" si="205"/>
        <v>327.71043739333641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69.328713666696416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5.6843418860808015E-14</v>
      </c>
      <c r="BE198" s="14">
        <f>BD198*VLOOKUP('Données projet'!$B$11,Paramètres!$A$1:$I$89,3,0)*VLOOKUP('Données projet'!$B$11,Paramètres!$A$1:$I$89,5,0)</f>
        <v>4.7884896048344674E-14</v>
      </c>
      <c r="BF198" s="14">
        <f t="shared" si="167"/>
        <v>7.8374629847779921E-13</v>
      </c>
      <c r="BG198" s="22">
        <f t="shared" si="168"/>
        <v>1.4484243304663672E-12</v>
      </c>
      <c r="BH198" s="62">
        <f t="shared" si="194"/>
        <v>290.87195011122162</v>
      </c>
      <c r="BI198" s="62">
        <f ca="1">AVERAGE(OFFSET($BH$3,0,0,'Données projet'!$E$11+1,1))-AVERAGE(OFFSET($H$3,0,0,'Données projet'!$E$11+1,1))</f>
        <v>513.7388209355762</v>
      </c>
      <c r="BJ198" s="62">
        <f t="shared" si="206"/>
        <v>328.24603121433927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69.328713666696416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4.5474735088646412E-13</v>
      </c>
      <c r="BZ198" s="14">
        <f>BY198*VLOOKUP('Données projet'!$B$12,Paramètres!$A$1:$I$89,3,0)*VLOOKUP('Données projet'!$B$12,Paramètres!$A$1:$I$89,5,0)</f>
        <v>3.6179699236527089E-13</v>
      </c>
      <c r="CA198" s="14">
        <f t="shared" si="170"/>
        <v>4.6796319415916035E-12</v>
      </c>
      <c r="CB198" s="22">
        <f t="shared" si="171"/>
        <v>8.7804887266415556E-12</v>
      </c>
      <c r="CC198" s="62">
        <f t="shared" si="195"/>
        <v>290.87195011122895</v>
      </c>
      <c r="CD198" s="62">
        <f ca="1">AVERAGE(OFFSET($CC$3,0,0,'Données projet'!$E$12+1,1))-AVERAGE(OFFSET($H$3,0,0,'Données projet'!$E$12+1,1))</f>
        <v>447.25854887589878</v>
      </c>
      <c r="CE198" s="62">
        <f t="shared" si="207"/>
        <v>480.13390593590157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69.328713666696416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1.1368683772161603E-13</v>
      </c>
      <c r="CU198" s="18">
        <f>CT198*VLOOKUP('Données projet'!$B$13,Paramètres!$A$1:$I$89,3,0)*VLOOKUP('Données projet'!$B$13,Paramètres!$A$1:$I$89,5,0)</f>
        <v>8.8675733422860506E-14</v>
      </c>
      <c r="CV198" s="14">
        <f t="shared" si="173"/>
        <v>1.3509285393066301E-12</v>
      </c>
      <c r="CW198" s="22">
        <f t="shared" si="174"/>
        <v>2.5073107750038623E-12</v>
      </c>
      <c r="CX198" s="62">
        <f t="shared" si="196"/>
        <v>290.8719501112227</v>
      </c>
      <c r="CY198" s="62">
        <f ca="1">AVERAGE(OFFSET($CX$3,0,0,'Données projet'!$E$13+1,1))-AVERAGE(OFFSET($H$3,0,0,'Données projet'!$E$13+1,1))</f>
        <v>308.52515801950324</v>
      </c>
      <c r="CZ198" s="62">
        <f t="shared" si="208"/>
        <v>299.05420638408953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69.328713666696416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4.5474735088646412E-13</v>
      </c>
      <c r="DP198" s="18">
        <f>DO198*VLOOKUP('Données projet'!$B$14,Paramètres!$A$1:$I$89,3,0)*VLOOKUP('Données projet'!$B$14,Paramètres!$A$1:$I$89,5,0)</f>
        <v>3.3342075766995548E-13</v>
      </c>
      <c r="DQ198" s="14">
        <f t="shared" si="176"/>
        <v>4.3537988100583648E-12</v>
      </c>
      <c r="DR198" s="22">
        <f t="shared" si="177"/>
        <v>8.1635740804601579E-12</v>
      </c>
      <c r="DS198" s="62">
        <f t="shared" si="197"/>
        <v>290.87195011122839</v>
      </c>
      <c r="DT198" s="62">
        <f ca="1">AVERAGE(OFFSET($DS$3,0,0,'Données projet'!$E$14+1,1))-AVERAGE(OFFSET($H$3,0,0,'Données projet'!$E$14+1,1))</f>
        <v>416.72317068678774</v>
      </c>
      <c r="DU198" s="62">
        <f t="shared" si="209"/>
        <v>447.32457429495537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69.328713666696416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5.6843418860808015E-14</v>
      </c>
      <c r="EK198" s="18">
        <f>EJ198*VLOOKUP('Données projet'!$B$15,Paramètres!$A$1:$I$89,3,0)*VLOOKUP('Données projet'!$B$15,Paramètres!$A$1:$I$89,5,0)</f>
        <v>5.4092197387944907E-14</v>
      </c>
      <c r="EL198" s="14">
        <f t="shared" si="179"/>
        <v>8.7287050538073676E-13</v>
      </c>
      <c r="EM198" s="22">
        <f t="shared" si="180"/>
        <v>1.6144600406554537E-12</v>
      </c>
      <c r="EN198" s="62">
        <f t="shared" si="198"/>
        <v>290.87195011122179</v>
      </c>
      <c r="EO198" s="62">
        <f ca="1">AVERAGE(OFFSET($EN$3,0,0,'Données projet'!$E$15+1,1))-AVERAGE(OFFSET($H$3,0,0,'Données projet'!$E$15+1,1))</f>
        <v>454.78867027701426</v>
      </c>
      <c r="EP198" s="62">
        <f t="shared" si="210"/>
        <v>366.45346303927056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0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69.328713666696416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>
        <f>FE198*VLOOKUP('Données projet'!$B$16,Paramètres!$A$1:$I$89,3,0)*VLOOKUP('Données projet'!$B$16,Paramètres!$A$1:$I$89,5,0)</f>
        <v>0</v>
      </c>
      <c r="FG198" s="14" t="e">
        <f t="shared" si="182"/>
        <v>#NUM!</v>
      </c>
      <c r="FH198" s="22" t="e">
        <f t="shared" si="183"/>
        <v>#NUM!</v>
      </c>
      <c r="FI198" s="62" t="e">
        <f t="shared" si="199"/>
        <v>#NUM!</v>
      </c>
      <c r="FJ198" s="62">
        <f ca="1">AVERAGE(OFFSET($FI$3,0,0,'Données projet'!$E$16+1,1))-AVERAGE(OFFSET($H$3,0,0,'Données projet'!$E$16+1,1))</f>
        <v>390.05579539539576</v>
      </c>
      <c r="FK198" s="62">
        <f t="shared" si="211"/>
        <v>323.72278615226139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projet'!$B$16,Paramètres!$A$1:$I$89,3,0)*0.475*44/12</f>
        <v>0</v>
      </c>
      <c r="FR198" s="23">
        <f>EXP(-LN(2)/25)*FR197+(1-EXP(-LN(2)/25))/(LN(2)/25)*Calculateur!FM198*Calculateur!FO198*VLOOKUP('Données projet'!$B$16,Paramètres!$A$1:$I$89,3,0)*0.475*44/12</f>
        <v>0</v>
      </c>
      <c r="FS198" s="23">
        <f>EXP(-LN(2)/2)*FS197+(1-EXP(-LN(2)/2))/(LN(2)/2)*FM198*FP198*VLOOKUP('Données projet'!$B$16,Paramètres!$A$1:$I$89,3,0)*0.475*44/12</f>
        <v>0</v>
      </c>
      <c r="FT198" s="24">
        <f t="shared" si="184"/>
        <v>0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69.328713666696416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5.6843418860808015E-14</v>
      </c>
      <c r="GA198" s="18">
        <f>FZ198*VLOOKUP('Données projet'!$B$17,Paramètres!$A$1:$I$89,3,0)*VLOOKUP('Données projet'!$B$17,Paramètres!$A$1:$I$89,5,0)</f>
        <v>5.4978954722173515E-14</v>
      </c>
      <c r="GB198" s="14">
        <f t="shared" si="185"/>
        <v>8.8550225887742724E-13</v>
      </c>
      <c r="GC198" s="22">
        <f t="shared" si="186"/>
        <v>1.6380047803526383E-12</v>
      </c>
      <c r="GD198" s="62">
        <f t="shared" si="200"/>
        <v>290.87195011122185</v>
      </c>
      <c r="GE198" s="62">
        <f ca="1">AVERAGE(OFFSET($GD$3,0,0,'Données projet'!$E$17+1,1))-AVERAGE(OFFSET($H$3,0,0,'Données projet'!$E$17+1,1))</f>
        <v>578.44111602076555</v>
      </c>
      <c r="GF198" s="62">
        <f t="shared" si="212"/>
        <v>368.08542661432784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>
        <f>EXP(-LN(2)/35)*GL197+(1-EXP(-LN(2)/35))/(LN(2)/35)*GH198*GI198*VLOOKUP('Données projet'!$B$17,Paramètres!$A$1:$I$89,3,0)*0.475*44/12</f>
        <v>0</v>
      </c>
      <c r="GM198" s="23">
        <f>EXP(-LN(2)/25)*GM197+(1-EXP(-LN(2)/25))/(LN(2)/25)*Calculateur!GH198*Calculateur!GJ198*VLOOKUP('Données projet'!$B$17,Paramètres!$A$1:$I$89,3,0)*0.475*44/12</f>
        <v>0</v>
      </c>
      <c r="GN198" s="23">
        <f>EXP(-LN(2)/2)*GN197+(1-EXP(-LN(2)/2))/(LN(2)/2)*GH198*GK198*VLOOKUP('Données projet'!$B$17,Paramètres!$A$1:$I$89,3,0)*0.475*44/12</f>
        <v>0</v>
      </c>
      <c r="GO198" s="23">
        <f t="shared" si="187"/>
        <v>0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69.328713666696416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4.0735000000000001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14.936166666666667</v>
      </c>
      <c r="H199" s="70">
        <f t="shared" si="192"/>
        <v>196.922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69.340358983807818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5.1431925385259088E-14</v>
      </c>
      <c r="P199" s="14">
        <f t="shared" si="203"/>
        <v>8.3482866290946129E-13</v>
      </c>
      <c r="Q199" s="22">
        <f t="shared" si="162"/>
        <v>1.5435705246133045E-12</v>
      </c>
      <c r="R199" s="62">
        <f t="shared" si="191"/>
        <v>290.91464960729684</v>
      </c>
      <c r="S199" s="62">
        <f ca="1">AVERAGE(OFFSET($R$3,0,0,'Données projet'!$E$9+1,1))-AVERAGE(OFFSET($H$3,0,0,'Données projet'!$E$9+1,1))</f>
        <v>546.11281471711925</v>
      </c>
      <c r="T199" s="62">
        <f t="shared" si="204"/>
        <v>348.18069831447099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69.340358983807818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-1.2505552149377763E-12</v>
      </c>
      <c r="AJ199" s="14">
        <f>AI199*VLOOKUP('Données projet'!$B$10,Paramètres!$A$1:$I$89,3,0)*VLOOKUP('Données projet'!$B$10,Paramètres!$A$1:$I$89,5,0)</f>
        <v>-1.0729763744166122E-12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693.87994318348024</v>
      </c>
      <c r="AO199" s="62">
        <f t="shared" si="205"/>
        <v>327.71043739333641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69.340358983807818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5.6843418860808015E-14</v>
      </c>
      <c r="BE199" s="14">
        <f>BD199*VLOOKUP('Données projet'!$B$11,Paramètres!$A$1:$I$89,3,0)*VLOOKUP('Données projet'!$B$11,Paramètres!$A$1:$I$89,5,0)</f>
        <v>4.7884896048344674E-14</v>
      </c>
      <c r="BF199" s="14">
        <f t="shared" si="167"/>
        <v>7.8374629847779921E-13</v>
      </c>
      <c r="BG199" s="22">
        <f t="shared" si="168"/>
        <v>1.4484243304663672E-12</v>
      </c>
      <c r="BH199" s="62">
        <f t="shared" si="194"/>
        <v>290.91464960729672</v>
      </c>
      <c r="BI199" s="62">
        <f ca="1">AVERAGE(OFFSET($BH$3,0,0,'Données projet'!$E$11+1,1))-AVERAGE(OFFSET($H$3,0,0,'Données projet'!$E$11+1,1))</f>
        <v>513.7388209355762</v>
      </c>
      <c r="BJ199" s="62">
        <f t="shared" si="206"/>
        <v>328.24603121433927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69.340358983807818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4.5474735088646412E-13</v>
      </c>
      <c r="BZ199" s="14">
        <f>BY199*VLOOKUP('Données projet'!$B$12,Paramètres!$A$1:$I$89,3,0)*VLOOKUP('Données projet'!$B$12,Paramètres!$A$1:$I$89,5,0)</f>
        <v>3.6179699236527089E-13</v>
      </c>
      <c r="CA199" s="14">
        <f t="shared" si="170"/>
        <v>4.6796319415916035E-12</v>
      </c>
      <c r="CB199" s="22">
        <f t="shared" si="171"/>
        <v>8.7804887266415556E-12</v>
      </c>
      <c r="CC199" s="62">
        <f t="shared" si="195"/>
        <v>290.91464960730406</v>
      </c>
      <c r="CD199" s="62">
        <f ca="1">AVERAGE(OFFSET($CC$3,0,0,'Données projet'!$E$12+1,1))-AVERAGE(OFFSET($H$3,0,0,'Données projet'!$E$12+1,1))</f>
        <v>447.25854887589878</v>
      </c>
      <c r="CE199" s="62">
        <f t="shared" si="207"/>
        <v>480.13390593590157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69.340358983807818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1.1368683772161603E-13</v>
      </c>
      <c r="CU199" s="18">
        <f>CT199*VLOOKUP('Données projet'!$B$13,Paramètres!$A$1:$I$89,3,0)*VLOOKUP('Données projet'!$B$13,Paramètres!$A$1:$I$89,5,0)</f>
        <v>8.8675733422860506E-14</v>
      </c>
      <c r="CV199" s="14">
        <f t="shared" si="173"/>
        <v>1.3509285393066301E-12</v>
      </c>
      <c r="CW199" s="22">
        <f t="shared" si="174"/>
        <v>2.5073107750038623E-12</v>
      </c>
      <c r="CX199" s="62">
        <f t="shared" si="196"/>
        <v>290.9146496072978</v>
      </c>
      <c r="CY199" s="62">
        <f ca="1">AVERAGE(OFFSET($CX$3,0,0,'Données projet'!$E$13+1,1))-AVERAGE(OFFSET($H$3,0,0,'Données projet'!$E$13+1,1))</f>
        <v>308.52515801950324</v>
      </c>
      <c r="CZ199" s="62">
        <f t="shared" si="208"/>
        <v>299.05420638408953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69.340358983807818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4.5474735088646412E-13</v>
      </c>
      <c r="DP199" s="18">
        <f>DO199*VLOOKUP('Données projet'!$B$14,Paramètres!$A$1:$I$89,3,0)*VLOOKUP('Données projet'!$B$14,Paramètres!$A$1:$I$89,5,0)</f>
        <v>3.3342075766995548E-13</v>
      </c>
      <c r="DQ199" s="14">
        <f t="shared" si="176"/>
        <v>4.3537988100583648E-12</v>
      </c>
      <c r="DR199" s="22">
        <f t="shared" si="177"/>
        <v>8.1635740804601579E-12</v>
      </c>
      <c r="DS199" s="62">
        <f t="shared" si="197"/>
        <v>290.91464960730349</v>
      </c>
      <c r="DT199" s="62">
        <f ca="1">AVERAGE(OFFSET($DS$3,0,0,'Données projet'!$E$14+1,1))-AVERAGE(OFFSET($H$3,0,0,'Données projet'!$E$14+1,1))</f>
        <v>416.72317068678774</v>
      </c>
      <c r="DU199" s="62">
        <f t="shared" si="209"/>
        <v>447.32457429495537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69.340358983807818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5.6843418860808015E-14</v>
      </c>
      <c r="EK199" s="18">
        <f>EJ199*VLOOKUP('Données projet'!$B$15,Paramètres!$A$1:$I$89,3,0)*VLOOKUP('Données projet'!$B$15,Paramètres!$A$1:$I$89,5,0)</f>
        <v>5.4092197387944907E-14</v>
      </c>
      <c r="EL199" s="14">
        <f t="shared" si="179"/>
        <v>8.7287050538073676E-13</v>
      </c>
      <c r="EM199" s="22">
        <f t="shared" si="180"/>
        <v>1.6144600406554537E-12</v>
      </c>
      <c r="EN199" s="62">
        <f t="shared" si="198"/>
        <v>290.91464960729689</v>
      </c>
      <c r="EO199" s="62">
        <f ca="1">AVERAGE(OFFSET($EN$3,0,0,'Données projet'!$E$15+1,1))-AVERAGE(OFFSET($H$3,0,0,'Données projet'!$E$15+1,1))</f>
        <v>454.78867027701426</v>
      </c>
      <c r="EP199" s="62">
        <f t="shared" si="210"/>
        <v>366.45346303927056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0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69.340358983807818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>
        <f>FE199*VLOOKUP('Données projet'!$B$16,Paramètres!$A$1:$I$89,3,0)*VLOOKUP('Données projet'!$B$16,Paramètres!$A$1:$I$89,5,0)</f>
        <v>0</v>
      </c>
      <c r="FG199" s="14" t="e">
        <f t="shared" si="182"/>
        <v>#NUM!</v>
      </c>
      <c r="FH199" s="22" t="e">
        <f t="shared" si="183"/>
        <v>#NUM!</v>
      </c>
      <c r="FI199" s="62" t="e">
        <f t="shared" si="199"/>
        <v>#NUM!</v>
      </c>
      <c r="FJ199" s="62">
        <f ca="1">AVERAGE(OFFSET($FI$3,0,0,'Données projet'!$E$16+1,1))-AVERAGE(OFFSET($H$3,0,0,'Données projet'!$E$16+1,1))</f>
        <v>390.05579539539576</v>
      </c>
      <c r="FK199" s="62">
        <f t="shared" si="211"/>
        <v>323.72278615226139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projet'!$B$16,Paramètres!$A$1:$I$89,3,0)*0.475*44/12</f>
        <v>0</v>
      </c>
      <c r="FR199" s="23">
        <f>EXP(-LN(2)/25)*FR198+(1-EXP(-LN(2)/25))/(LN(2)/25)*Calculateur!FM199*Calculateur!FO199*VLOOKUP('Données projet'!$B$16,Paramètres!$A$1:$I$89,3,0)*0.475*44/12</f>
        <v>0</v>
      </c>
      <c r="FS199" s="23">
        <f>EXP(-LN(2)/2)*FS198+(1-EXP(-LN(2)/2))/(LN(2)/2)*FM199*FP199*VLOOKUP('Données projet'!$B$16,Paramètres!$A$1:$I$89,3,0)*0.475*44/12</f>
        <v>0</v>
      </c>
      <c r="FT199" s="24">
        <f t="shared" si="184"/>
        <v>0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69.340358983807818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5.6843418860808015E-14</v>
      </c>
      <c r="GA199" s="18">
        <f>FZ199*VLOOKUP('Données projet'!$B$17,Paramètres!$A$1:$I$89,3,0)*VLOOKUP('Données projet'!$B$17,Paramètres!$A$1:$I$89,5,0)</f>
        <v>5.4978954722173515E-14</v>
      </c>
      <c r="GB199" s="14">
        <f t="shared" si="185"/>
        <v>8.8550225887742724E-13</v>
      </c>
      <c r="GC199" s="22">
        <f t="shared" si="186"/>
        <v>1.6380047803526383E-12</v>
      </c>
      <c r="GD199" s="62">
        <f t="shared" si="200"/>
        <v>290.91464960729695</v>
      </c>
      <c r="GE199" s="62">
        <f ca="1">AVERAGE(OFFSET($GD$3,0,0,'Données projet'!$E$17+1,1))-AVERAGE(OFFSET($H$3,0,0,'Données projet'!$E$17+1,1))</f>
        <v>578.44111602076555</v>
      </c>
      <c r="GF199" s="62">
        <f t="shared" si="212"/>
        <v>368.08542661432784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>
        <f>EXP(-LN(2)/35)*GL198+(1-EXP(-LN(2)/35))/(LN(2)/35)*GH199*GI199*VLOOKUP('Données projet'!$B$17,Paramètres!$A$1:$I$89,3,0)*0.475*44/12</f>
        <v>0</v>
      </c>
      <c r="GM199" s="23">
        <f>EXP(-LN(2)/25)*GM198+(1-EXP(-LN(2)/25))/(LN(2)/25)*Calculateur!GH199*Calculateur!GJ199*VLOOKUP('Données projet'!$B$17,Paramètres!$A$1:$I$89,3,0)*0.475*44/12</f>
        <v>0</v>
      </c>
      <c r="GN199" s="23">
        <f>EXP(-LN(2)/2)*GN198+(1-EXP(-LN(2)/2))/(LN(2)/2)*GH199*GK199*VLOOKUP('Données projet'!$B$17,Paramètres!$A$1:$I$89,3,0)*0.475*44/12</f>
        <v>0</v>
      </c>
      <c r="GO199" s="23">
        <f t="shared" si="187"/>
        <v>0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69.340358983807818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4.0735000000000001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14.936166666666667</v>
      </c>
      <c r="H200" s="70">
        <f t="shared" si="192"/>
        <v>196.922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69.351802280702358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5.1431925385259088E-14</v>
      </c>
      <c r="P200" s="14">
        <f t="shared" si="203"/>
        <v>8.3482866290946129E-13</v>
      </c>
      <c r="Q200" s="22">
        <f t="shared" si="162"/>
        <v>1.5435705246133045E-12</v>
      </c>
      <c r="R200" s="62">
        <f t="shared" si="191"/>
        <v>290.95660836257684</v>
      </c>
      <c r="S200" s="62">
        <f ca="1">AVERAGE(OFFSET($R$3,0,0,'Données projet'!$E$9+1,1))-AVERAGE(OFFSET($H$3,0,0,'Données projet'!$E$9+1,1))</f>
        <v>546.11281471711925</v>
      </c>
      <c r="T200" s="62">
        <f t="shared" si="204"/>
        <v>348.18069831447099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69.351802280702358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-1.2505552149377763E-12</v>
      </c>
      <c r="AJ200" s="14">
        <f>AI200*VLOOKUP('Données projet'!$B$10,Paramètres!$A$1:$I$89,3,0)*VLOOKUP('Données projet'!$B$10,Paramètres!$A$1:$I$89,5,0)</f>
        <v>-1.0729763744166122E-12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693.87994318348024</v>
      </c>
      <c r="AO200" s="62">
        <f t="shared" si="205"/>
        <v>327.71043739333641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69.351802280702358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5.6843418860808015E-14</v>
      </c>
      <c r="BE200" s="14">
        <f>BD200*VLOOKUP('Données projet'!$B$11,Paramètres!$A$1:$I$89,3,0)*VLOOKUP('Données projet'!$B$11,Paramètres!$A$1:$I$89,5,0)</f>
        <v>4.7884896048344674E-14</v>
      </c>
      <c r="BF200" s="14">
        <f t="shared" si="167"/>
        <v>7.8374629847779921E-13</v>
      </c>
      <c r="BG200" s="22">
        <f t="shared" si="168"/>
        <v>1.4484243304663672E-12</v>
      </c>
      <c r="BH200" s="62">
        <f t="shared" si="194"/>
        <v>290.95660836257673</v>
      </c>
      <c r="BI200" s="62">
        <f ca="1">AVERAGE(OFFSET($BH$3,0,0,'Données projet'!$E$11+1,1))-AVERAGE(OFFSET($H$3,0,0,'Données projet'!$E$11+1,1))</f>
        <v>513.7388209355762</v>
      </c>
      <c r="BJ200" s="62">
        <f t="shared" si="206"/>
        <v>328.24603121433927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69.351802280702358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4.5474735088646412E-13</v>
      </c>
      <c r="BZ200" s="14">
        <f>BY200*VLOOKUP('Données projet'!$B$12,Paramètres!$A$1:$I$89,3,0)*VLOOKUP('Données projet'!$B$12,Paramètres!$A$1:$I$89,5,0)</f>
        <v>3.6179699236527089E-13</v>
      </c>
      <c r="CA200" s="14">
        <f t="shared" si="170"/>
        <v>4.6796319415916035E-12</v>
      </c>
      <c r="CB200" s="22">
        <f t="shared" si="171"/>
        <v>8.7804887266415556E-12</v>
      </c>
      <c r="CC200" s="62">
        <f t="shared" si="195"/>
        <v>290.95660836258406</v>
      </c>
      <c r="CD200" s="62">
        <f ca="1">AVERAGE(OFFSET($CC$3,0,0,'Données projet'!$E$12+1,1))-AVERAGE(OFFSET($H$3,0,0,'Données projet'!$E$12+1,1))</f>
        <v>447.25854887589878</v>
      </c>
      <c r="CE200" s="62">
        <f t="shared" si="207"/>
        <v>480.13390593590157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69.351802280702358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1.1368683772161603E-13</v>
      </c>
      <c r="CU200" s="18">
        <f>CT200*VLOOKUP('Données projet'!$B$13,Paramètres!$A$1:$I$89,3,0)*VLOOKUP('Données projet'!$B$13,Paramètres!$A$1:$I$89,5,0)</f>
        <v>8.8675733422860506E-14</v>
      </c>
      <c r="CV200" s="14">
        <f t="shared" si="173"/>
        <v>1.3509285393066301E-12</v>
      </c>
      <c r="CW200" s="22">
        <f t="shared" si="174"/>
        <v>2.5073107750038623E-12</v>
      </c>
      <c r="CX200" s="62">
        <f t="shared" si="196"/>
        <v>290.95660836257781</v>
      </c>
      <c r="CY200" s="62">
        <f ca="1">AVERAGE(OFFSET($CX$3,0,0,'Données projet'!$E$13+1,1))-AVERAGE(OFFSET($H$3,0,0,'Données projet'!$E$13+1,1))</f>
        <v>308.52515801950324</v>
      </c>
      <c r="CZ200" s="62">
        <f t="shared" si="208"/>
        <v>299.05420638408953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69.351802280702358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4.5474735088646412E-13</v>
      </c>
      <c r="DP200" s="18">
        <f>DO200*VLOOKUP('Données projet'!$B$14,Paramètres!$A$1:$I$89,3,0)*VLOOKUP('Données projet'!$B$14,Paramètres!$A$1:$I$89,5,0)</f>
        <v>3.3342075766995548E-13</v>
      </c>
      <c r="DQ200" s="14">
        <f t="shared" si="176"/>
        <v>4.3537988100583648E-12</v>
      </c>
      <c r="DR200" s="22">
        <f t="shared" si="177"/>
        <v>8.1635740804601579E-12</v>
      </c>
      <c r="DS200" s="62">
        <f t="shared" si="197"/>
        <v>290.95660836258349</v>
      </c>
      <c r="DT200" s="62">
        <f ca="1">AVERAGE(OFFSET($DS$3,0,0,'Données projet'!$E$14+1,1))-AVERAGE(OFFSET($H$3,0,0,'Données projet'!$E$14+1,1))</f>
        <v>416.72317068678774</v>
      </c>
      <c r="DU200" s="62">
        <f t="shared" si="209"/>
        <v>447.32457429495537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69.351802280702358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5.6843418860808015E-14</v>
      </c>
      <c r="EK200" s="18">
        <f>EJ200*VLOOKUP('Données projet'!$B$15,Paramètres!$A$1:$I$89,3,0)*VLOOKUP('Données projet'!$B$15,Paramètres!$A$1:$I$89,5,0)</f>
        <v>5.4092197387944907E-14</v>
      </c>
      <c r="EL200" s="14">
        <f t="shared" si="179"/>
        <v>8.7287050538073676E-13</v>
      </c>
      <c r="EM200" s="22">
        <f t="shared" si="180"/>
        <v>1.6144600406554537E-12</v>
      </c>
      <c r="EN200" s="62">
        <f t="shared" si="198"/>
        <v>290.9566083625769</v>
      </c>
      <c r="EO200" s="62">
        <f ca="1">AVERAGE(OFFSET($EN$3,0,0,'Données projet'!$E$15+1,1))-AVERAGE(OFFSET($H$3,0,0,'Données projet'!$E$15+1,1))</f>
        <v>454.78867027701426</v>
      </c>
      <c r="EP200" s="62">
        <f t="shared" si="210"/>
        <v>366.45346303927056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0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69.351802280702358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>
        <f>FE200*VLOOKUP('Données projet'!$B$16,Paramètres!$A$1:$I$89,3,0)*VLOOKUP('Données projet'!$B$16,Paramètres!$A$1:$I$89,5,0)</f>
        <v>0</v>
      </c>
      <c r="FG200" s="14" t="e">
        <f t="shared" si="182"/>
        <v>#NUM!</v>
      </c>
      <c r="FH200" s="22" t="e">
        <f t="shared" si="183"/>
        <v>#NUM!</v>
      </c>
      <c r="FI200" s="62" t="e">
        <f t="shared" si="199"/>
        <v>#NUM!</v>
      </c>
      <c r="FJ200" s="62">
        <f ca="1">AVERAGE(OFFSET($FI$3,0,0,'Données projet'!$E$16+1,1))-AVERAGE(OFFSET($H$3,0,0,'Données projet'!$E$16+1,1))</f>
        <v>390.05579539539576</v>
      </c>
      <c r="FK200" s="62">
        <f t="shared" si="211"/>
        <v>323.72278615226139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projet'!$B$16,Paramètres!$A$1:$I$89,3,0)*0.475*44/12</f>
        <v>0</v>
      </c>
      <c r="FR200" s="23">
        <f>EXP(-LN(2)/25)*FR199+(1-EXP(-LN(2)/25))/(LN(2)/25)*Calculateur!FM200*Calculateur!FO200*VLOOKUP('Données projet'!$B$16,Paramètres!$A$1:$I$89,3,0)*0.475*44/12</f>
        <v>0</v>
      </c>
      <c r="FS200" s="23">
        <f>EXP(-LN(2)/2)*FS199+(1-EXP(-LN(2)/2))/(LN(2)/2)*FM200*FP200*VLOOKUP('Données projet'!$B$16,Paramètres!$A$1:$I$89,3,0)*0.475*44/12</f>
        <v>0</v>
      </c>
      <c r="FT200" s="24">
        <f t="shared" si="184"/>
        <v>0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69.351802280702358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5.6843418860808015E-14</v>
      </c>
      <c r="GA200" s="18">
        <f>FZ200*VLOOKUP('Données projet'!$B$17,Paramètres!$A$1:$I$89,3,0)*VLOOKUP('Données projet'!$B$17,Paramètres!$A$1:$I$89,5,0)</f>
        <v>5.4978954722173515E-14</v>
      </c>
      <c r="GB200" s="14">
        <f t="shared" si="185"/>
        <v>8.8550225887742724E-13</v>
      </c>
      <c r="GC200" s="22">
        <f t="shared" si="186"/>
        <v>1.6380047803526383E-12</v>
      </c>
      <c r="GD200" s="62">
        <f t="shared" si="200"/>
        <v>290.95660836257696</v>
      </c>
      <c r="GE200" s="62">
        <f ca="1">AVERAGE(OFFSET($GD$3,0,0,'Données projet'!$E$17+1,1))-AVERAGE(OFFSET($H$3,0,0,'Données projet'!$E$17+1,1))</f>
        <v>578.44111602076555</v>
      </c>
      <c r="GF200" s="62">
        <f t="shared" si="212"/>
        <v>368.08542661432784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>
        <f>EXP(-LN(2)/35)*GL199+(1-EXP(-LN(2)/35))/(LN(2)/35)*GH200*GI200*VLOOKUP('Données projet'!$B$17,Paramètres!$A$1:$I$89,3,0)*0.475*44/12</f>
        <v>0</v>
      </c>
      <c r="GM200" s="23">
        <f>EXP(-LN(2)/25)*GM199+(1-EXP(-LN(2)/25))/(LN(2)/25)*Calculateur!GH200*Calculateur!GJ200*VLOOKUP('Données projet'!$B$17,Paramètres!$A$1:$I$89,3,0)*0.475*44/12</f>
        <v>0</v>
      </c>
      <c r="GN200" s="23">
        <f>EXP(-LN(2)/2)*GN199+(1-EXP(-LN(2)/2))/(LN(2)/2)*GH200*GK200*VLOOKUP('Données projet'!$B$17,Paramètres!$A$1:$I$89,3,0)*0.475*44/12</f>
        <v>0</v>
      </c>
      <c r="GO200" s="23">
        <f t="shared" si="187"/>
        <v>0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69.351802280702358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4.0735000000000001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14.936166666666667</v>
      </c>
      <c r="H201" s="70">
        <f t="shared" si="192"/>
        <v>196.922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69.363047061979188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5.1431925385259088E-14</v>
      </c>
      <c r="P201" s="14">
        <f t="shared" si="203"/>
        <v>8.3482866290946129E-13</v>
      </c>
      <c r="Q201" s="22">
        <f t="shared" si="162"/>
        <v>1.5435705246133045E-12</v>
      </c>
      <c r="R201" s="62">
        <f t="shared" si="191"/>
        <v>290.99783922725857</v>
      </c>
      <c r="S201" s="62">
        <f ca="1">AVERAGE(OFFSET($R$3,0,0,'Données projet'!$E$9+1,1))-AVERAGE(OFFSET($H$3,0,0,'Données projet'!$E$9+1,1))</f>
        <v>546.11281471711925</v>
      </c>
      <c r="T201" s="62">
        <f t="shared" si="204"/>
        <v>348.18069831447099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69.363047061979188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-1.2505552149377763E-12</v>
      </c>
      <c r="AJ201" s="14">
        <f>AI201*VLOOKUP('Données projet'!$B$10,Paramètres!$A$1:$I$89,3,0)*VLOOKUP('Données projet'!$B$10,Paramètres!$A$1:$I$89,5,0)</f>
        <v>-1.0729763744166122E-12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693.87994318348024</v>
      </c>
      <c r="AO201" s="62">
        <f t="shared" si="205"/>
        <v>327.71043739333641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69.363047061979188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5.6843418860808015E-14</v>
      </c>
      <c r="BE201" s="14">
        <f>BD201*VLOOKUP('Données projet'!$B$11,Paramètres!$A$1:$I$89,3,0)*VLOOKUP('Données projet'!$B$11,Paramètres!$A$1:$I$89,5,0)</f>
        <v>4.7884896048344674E-14</v>
      </c>
      <c r="BF201" s="14">
        <f t="shared" si="167"/>
        <v>7.8374629847779921E-13</v>
      </c>
      <c r="BG201" s="22">
        <f t="shared" si="168"/>
        <v>1.4484243304663672E-12</v>
      </c>
      <c r="BH201" s="62">
        <f t="shared" si="194"/>
        <v>290.99783922725845</v>
      </c>
      <c r="BI201" s="62">
        <f ca="1">AVERAGE(OFFSET($BH$3,0,0,'Données projet'!$E$11+1,1))-AVERAGE(OFFSET($H$3,0,0,'Données projet'!$E$11+1,1))</f>
        <v>513.7388209355762</v>
      </c>
      <c r="BJ201" s="62">
        <f t="shared" si="206"/>
        <v>328.24603121433927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69.363047061979188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4.5474735088646412E-13</v>
      </c>
      <c r="BZ201" s="14">
        <f>BY201*VLOOKUP('Données projet'!$B$12,Paramètres!$A$1:$I$89,3,0)*VLOOKUP('Données projet'!$B$12,Paramètres!$A$1:$I$89,5,0)</f>
        <v>3.6179699236527089E-13</v>
      </c>
      <c r="CA201" s="14">
        <f t="shared" si="170"/>
        <v>4.6796319415916035E-12</v>
      </c>
      <c r="CB201" s="22">
        <f t="shared" si="171"/>
        <v>8.7804887266415556E-12</v>
      </c>
      <c r="CC201" s="62">
        <f t="shared" si="195"/>
        <v>290.99783922726579</v>
      </c>
      <c r="CD201" s="62">
        <f ca="1">AVERAGE(OFFSET($CC$3,0,0,'Données projet'!$E$12+1,1))-AVERAGE(OFFSET($H$3,0,0,'Données projet'!$E$12+1,1))</f>
        <v>447.25854887589878</v>
      </c>
      <c r="CE201" s="62">
        <f t="shared" si="207"/>
        <v>480.13390593590157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69.363047061979188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1.1368683772161603E-13</v>
      </c>
      <c r="CU201" s="18">
        <f>CT201*VLOOKUP('Données projet'!$B$13,Paramètres!$A$1:$I$89,3,0)*VLOOKUP('Données projet'!$B$13,Paramètres!$A$1:$I$89,5,0)</f>
        <v>8.8675733422860506E-14</v>
      </c>
      <c r="CV201" s="14">
        <f t="shared" si="173"/>
        <v>1.3509285393066301E-12</v>
      </c>
      <c r="CW201" s="22">
        <f t="shared" si="174"/>
        <v>2.5073107750038623E-12</v>
      </c>
      <c r="CX201" s="62">
        <f t="shared" si="196"/>
        <v>290.99783922725953</v>
      </c>
      <c r="CY201" s="62">
        <f ca="1">AVERAGE(OFFSET($CX$3,0,0,'Données projet'!$E$13+1,1))-AVERAGE(OFFSET($H$3,0,0,'Données projet'!$E$13+1,1))</f>
        <v>308.52515801950324</v>
      </c>
      <c r="CZ201" s="62">
        <f t="shared" si="208"/>
        <v>299.05420638408953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69.363047061979188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4.5474735088646412E-13</v>
      </c>
      <c r="DP201" s="18">
        <f>DO201*VLOOKUP('Données projet'!$B$14,Paramètres!$A$1:$I$89,3,0)*VLOOKUP('Données projet'!$B$14,Paramètres!$A$1:$I$89,5,0)</f>
        <v>3.3342075766995548E-13</v>
      </c>
      <c r="DQ201" s="14">
        <f t="shared" si="176"/>
        <v>4.3537988100583648E-12</v>
      </c>
      <c r="DR201" s="22">
        <f t="shared" si="177"/>
        <v>8.1635740804601579E-12</v>
      </c>
      <c r="DS201" s="62">
        <f t="shared" si="197"/>
        <v>290.99783922726522</v>
      </c>
      <c r="DT201" s="62">
        <f ca="1">AVERAGE(OFFSET($DS$3,0,0,'Données projet'!$E$14+1,1))-AVERAGE(OFFSET($H$3,0,0,'Données projet'!$E$14+1,1))</f>
        <v>416.72317068678774</v>
      </c>
      <c r="DU201" s="62">
        <f t="shared" si="209"/>
        <v>447.32457429495537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69.363047061979188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5.6843418860808015E-14</v>
      </c>
      <c r="EK201" s="18">
        <f>EJ201*VLOOKUP('Données projet'!$B$15,Paramètres!$A$1:$I$89,3,0)*VLOOKUP('Données projet'!$B$15,Paramètres!$A$1:$I$89,5,0)</f>
        <v>5.4092197387944907E-14</v>
      </c>
      <c r="EL201" s="14">
        <f t="shared" si="179"/>
        <v>8.7287050538073676E-13</v>
      </c>
      <c r="EM201" s="22">
        <f t="shared" si="180"/>
        <v>1.6144600406554537E-12</v>
      </c>
      <c r="EN201" s="62">
        <f t="shared" si="198"/>
        <v>290.99783922725862</v>
      </c>
      <c r="EO201" s="62">
        <f ca="1">AVERAGE(OFFSET($EN$3,0,0,'Données projet'!$E$15+1,1))-AVERAGE(OFFSET($H$3,0,0,'Données projet'!$E$15+1,1))</f>
        <v>454.78867027701426</v>
      </c>
      <c r="EP201" s="62">
        <f t="shared" si="210"/>
        <v>366.45346303927056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0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69.363047061979188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>
        <f>FE201*VLOOKUP('Données projet'!$B$16,Paramètres!$A$1:$I$89,3,0)*VLOOKUP('Données projet'!$B$16,Paramètres!$A$1:$I$89,5,0)</f>
        <v>0</v>
      </c>
      <c r="FG201" s="14" t="e">
        <f t="shared" si="182"/>
        <v>#NUM!</v>
      </c>
      <c r="FH201" s="22" t="e">
        <f t="shared" si="183"/>
        <v>#NUM!</v>
      </c>
      <c r="FI201" s="62" t="e">
        <f t="shared" si="199"/>
        <v>#NUM!</v>
      </c>
      <c r="FJ201" s="62">
        <f ca="1">AVERAGE(OFFSET($FI$3,0,0,'Données projet'!$E$16+1,1))-AVERAGE(OFFSET($H$3,0,0,'Données projet'!$E$16+1,1))</f>
        <v>390.05579539539576</v>
      </c>
      <c r="FK201" s="62">
        <f t="shared" si="211"/>
        <v>323.72278615226139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projet'!$B$16,Paramètres!$A$1:$I$89,3,0)*0.475*44/12</f>
        <v>0</v>
      </c>
      <c r="FR201" s="23">
        <f>EXP(-LN(2)/25)*FR200+(1-EXP(-LN(2)/25))/(LN(2)/25)*Calculateur!FM201*Calculateur!FO201*VLOOKUP('Données projet'!$B$16,Paramètres!$A$1:$I$89,3,0)*0.475*44/12</f>
        <v>0</v>
      </c>
      <c r="FS201" s="23">
        <f>EXP(-LN(2)/2)*FS200+(1-EXP(-LN(2)/2))/(LN(2)/2)*FM201*FP201*VLOOKUP('Données projet'!$B$16,Paramètres!$A$1:$I$89,3,0)*0.475*44/12</f>
        <v>0</v>
      </c>
      <c r="FT201" s="24">
        <f t="shared" si="184"/>
        <v>0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69.363047061979188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5.6843418860808015E-14</v>
      </c>
      <c r="GA201" s="18">
        <f>FZ201*VLOOKUP('Données projet'!$B$17,Paramètres!$A$1:$I$89,3,0)*VLOOKUP('Données projet'!$B$17,Paramètres!$A$1:$I$89,5,0)</f>
        <v>5.4978954722173515E-14</v>
      </c>
      <c r="GB201" s="14">
        <f t="shared" si="185"/>
        <v>8.8550225887742724E-13</v>
      </c>
      <c r="GC201" s="22">
        <f t="shared" si="186"/>
        <v>1.6380047803526383E-12</v>
      </c>
      <c r="GD201" s="62">
        <f t="shared" si="200"/>
        <v>290.99783922725868</v>
      </c>
      <c r="GE201" s="62">
        <f ca="1">AVERAGE(OFFSET($GD$3,0,0,'Données projet'!$E$17+1,1))-AVERAGE(OFFSET($H$3,0,0,'Données projet'!$E$17+1,1))</f>
        <v>578.44111602076555</v>
      </c>
      <c r="GF201" s="62">
        <f t="shared" si="212"/>
        <v>368.08542661432784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>
        <f>EXP(-LN(2)/35)*GL200+(1-EXP(-LN(2)/35))/(LN(2)/35)*GH201*GI201*VLOOKUP('Données projet'!$B$17,Paramètres!$A$1:$I$89,3,0)*0.475*44/12</f>
        <v>0</v>
      </c>
      <c r="GM201" s="23">
        <f>EXP(-LN(2)/25)*GM200+(1-EXP(-LN(2)/25))/(LN(2)/25)*Calculateur!GH201*Calculateur!GJ201*VLOOKUP('Données projet'!$B$17,Paramètres!$A$1:$I$89,3,0)*0.475*44/12</f>
        <v>0</v>
      </c>
      <c r="GN201" s="23">
        <f>EXP(-LN(2)/2)*GN200+(1-EXP(-LN(2)/2))/(LN(2)/2)*GH201*GK201*VLOOKUP('Données projet'!$B$17,Paramètres!$A$1:$I$89,3,0)*0.475*44/12</f>
        <v>0</v>
      </c>
      <c r="GO201" s="23">
        <f t="shared" si="187"/>
        <v>0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69.363047061979188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4.0735000000000001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14.936166666666667</v>
      </c>
      <c r="H202" s="70">
        <f t="shared" si="192"/>
        <v>196.922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69.374096771440406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5.1431925385259088E-14</v>
      </c>
      <c r="P202" s="14">
        <f t="shared" si="203"/>
        <v>8.3482866290946129E-13</v>
      </c>
      <c r="Q202" s="22">
        <f t="shared" si="162"/>
        <v>1.5435705246133045E-12</v>
      </c>
      <c r="R202" s="62">
        <f t="shared" si="191"/>
        <v>291.03835482861632</v>
      </c>
      <c r="S202" s="62">
        <f ca="1">AVERAGE(OFFSET($R$3,0,0,'Données projet'!$E$9+1,1))-AVERAGE(OFFSET($H$3,0,0,'Données projet'!$E$9+1,1))</f>
        <v>546.11281471711925</v>
      </c>
      <c r="T202" s="62">
        <f t="shared" si="204"/>
        <v>348.18069831447099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69.374096771440406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-1.2505552149377763E-12</v>
      </c>
      <c r="AJ202" s="14">
        <f>AI202*VLOOKUP('Données projet'!$B$10,Paramètres!$A$1:$I$89,3,0)*VLOOKUP('Données projet'!$B$10,Paramètres!$A$1:$I$89,5,0)</f>
        <v>-1.0729763744166122E-12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693.87994318348024</v>
      </c>
      <c r="AO202" s="62">
        <f t="shared" si="205"/>
        <v>327.71043739333641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69.374096771440406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5.6843418860808015E-14</v>
      </c>
      <c r="BE202" s="14">
        <f>BD202*VLOOKUP('Données projet'!$B$11,Paramètres!$A$1:$I$89,3,0)*VLOOKUP('Données projet'!$B$11,Paramètres!$A$1:$I$89,5,0)</f>
        <v>4.7884896048344674E-14</v>
      </c>
      <c r="BF202" s="14">
        <f t="shared" si="167"/>
        <v>7.8374629847779921E-13</v>
      </c>
      <c r="BG202" s="22">
        <f t="shared" si="168"/>
        <v>1.4484243304663672E-12</v>
      </c>
      <c r="BH202" s="62">
        <f t="shared" si="194"/>
        <v>291.03835482861621</v>
      </c>
      <c r="BI202" s="62">
        <f ca="1">AVERAGE(OFFSET($BH$3,0,0,'Données projet'!$E$11+1,1))-AVERAGE(OFFSET($H$3,0,0,'Données projet'!$E$11+1,1))</f>
        <v>513.7388209355762</v>
      </c>
      <c r="BJ202" s="62">
        <f t="shared" si="206"/>
        <v>328.24603121433927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69.374096771440406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4.5474735088646412E-13</v>
      </c>
      <c r="BZ202" s="14">
        <f>BY202*VLOOKUP('Données projet'!$B$12,Paramètres!$A$1:$I$89,3,0)*VLOOKUP('Données projet'!$B$12,Paramètres!$A$1:$I$89,5,0)</f>
        <v>3.6179699236527089E-13</v>
      </c>
      <c r="CA202" s="14">
        <f t="shared" si="170"/>
        <v>4.6796319415916035E-12</v>
      </c>
      <c r="CB202" s="22">
        <f t="shared" si="171"/>
        <v>8.7804887266415556E-12</v>
      </c>
      <c r="CC202" s="62">
        <f t="shared" si="195"/>
        <v>291.03835482862354</v>
      </c>
      <c r="CD202" s="62">
        <f ca="1">AVERAGE(OFFSET($CC$3,0,0,'Données projet'!$E$12+1,1))-AVERAGE(OFFSET($H$3,0,0,'Données projet'!$E$12+1,1))</f>
        <v>447.25854887589878</v>
      </c>
      <c r="CE202" s="62">
        <f t="shared" si="207"/>
        <v>480.13390593590157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69.374096771440406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1.1368683772161603E-13</v>
      </c>
      <c r="CU202" s="18">
        <f>CT202*VLOOKUP('Données projet'!$B$13,Paramètres!$A$1:$I$89,3,0)*VLOOKUP('Données projet'!$B$13,Paramètres!$A$1:$I$89,5,0)</f>
        <v>8.8675733422860506E-14</v>
      </c>
      <c r="CV202" s="14">
        <f t="shared" si="173"/>
        <v>1.3509285393066301E-12</v>
      </c>
      <c r="CW202" s="22">
        <f t="shared" si="174"/>
        <v>2.5073107750038623E-12</v>
      </c>
      <c r="CX202" s="62">
        <f t="shared" si="196"/>
        <v>291.03835482861729</v>
      </c>
      <c r="CY202" s="62">
        <f ca="1">AVERAGE(OFFSET($CX$3,0,0,'Données projet'!$E$13+1,1))-AVERAGE(OFFSET($H$3,0,0,'Données projet'!$E$13+1,1))</f>
        <v>308.52515801950324</v>
      </c>
      <c r="CZ202" s="62">
        <f t="shared" si="208"/>
        <v>299.05420638408953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69.374096771440406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4.5474735088646412E-13</v>
      </c>
      <c r="DP202" s="18">
        <f>DO202*VLOOKUP('Données projet'!$B$14,Paramètres!$A$1:$I$89,3,0)*VLOOKUP('Données projet'!$B$14,Paramètres!$A$1:$I$89,5,0)</f>
        <v>3.3342075766995548E-13</v>
      </c>
      <c r="DQ202" s="14">
        <f t="shared" si="176"/>
        <v>4.3537988100583648E-12</v>
      </c>
      <c r="DR202" s="22">
        <f t="shared" si="177"/>
        <v>8.1635740804601579E-12</v>
      </c>
      <c r="DS202" s="62">
        <f t="shared" si="197"/>
        <v>291.03835482862297</v>
      </c>
      <c r="DT202" s="62">
        <f ca="1">AVERAGE(OFFSET($DS$3,0,0,'Données projet'!$E$14+1,1))-AVERAGE(OFFSET($H$3,0,0,'Données projet'!$E$14+1,1))</f>
        <v>416.72317068678774</v>
      </c>
      <c r="DU202" s="62">
        <f t="shared" si="209"/>
        <v>447.32457429495537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69.374096771440406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5.6843418860808015E-14</v>
      </c>
      <c r="EK202" s="18">
        <f>EJ202*VLOOKUP('Données projet'!$B$15,Paramètres!$A$1:$I$89,3,0)*VLOOKUP('Données projet'!$B$15,Paramètres!$A$1:$I$89,5,0)</f>
        <v>5.4092197387944907E-14</v>
      </c>
      <c r="EL202" s="14">
        <f t="shared" si="179"/>
        <v>8.7287050538073676E-13</v>
      </c>
      <c r="EM202" s="22">
        <f t="shared" si="180"/>
        <v>1.6144600406554537E-12</v>
      </c>
      <c r="EN202" s="62">
        <f t="shared" si="198"/>
        <v>291.03835482861638</v>
      </c>
      <c r="EO202" s="62">
        <f ca="1">AVERAGE(OFFSET($EN$3,0,0,'Données projet'!$E$15+1,1))-AVERAGE(OFFSET($H$3,0,0,'Données projet'!$E$15+1,1))</f>
        <v>454.78867027701426</v>
      </c>
      <c r="EP202" s="62">
        <f t="shared" si="210"/>
        <v>366.45346303927056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0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69.374096771440406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>
        <f>FE202*VLOOKUP('Données projet'!$B$16,Paramètres!$A$1:$I$89,3,0)*VLOOKUP('Données projet'!$B$16,Paramètres!$A$1:$I$89,5,0)</f>
        <v>0</v>
      </c>
      <c r="FG202" s="14" t="e">
        <f t="shared" si="182"/>
        <v>#NUM!</v>
      </c>
      <c r="FH202" s="22" t="e">
        <f t="shared" si="183"/>
        <v>#NUM!</v>
      </c>
      <c r="FI202" s="62" t="e">
        <f t="shared" si="199"/>
        <v>#NUM!</v>
      </c>
      <c r="FJ202" s="62">
        <f ca="1">AVERAGE(OFFSET($FI$3,0,0,'Données projet'!$E$16+1,1))-AVERAGE(OFFSET($H$3,0,0,'Données projet'!$E$16+1,1))</f>
        <v>390.05579539539576</v>
      </c>
      <c r="FK202" s="62">
        <f t="shared" si="211"/>
        <v>323.72278615226139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projet'!$B$16,Paramètres!$A$1:$I$89,3,0)*0.475*44/12</f>
        <v>0</v>
      </c>
      <c r="FR202" s="23">
        <f>EXP(-LN(2)/25)*FR201+(1-EXP(-LN(2)/25))/(LN(2)/25)*Calculateur!FM202*Calculateur!FO202*VLOOKUP('Données projet'!$B$16,Paramètres!$A$1:$I$89,3,0)*0.475*44/12</f>
        <v>0</v>
      </c>
      <c r="FS202" s="23">
        <f>EXP(-LN(2)/2)*FS201+(1-EXP(-LN(2)/2))/(LN(2)/2)*FM202*FP202*VLOOKUP('Données projet'!$B$16,Paramètres!$A$1:$I$89,3,0)*0.475*44/12</f>
        <v>0</v>
      </c>
      <c r="FT202" s="24">
        <f t="shared" si="184"/>
        <v>0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69.374096771440406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5.6843418860808015E-14</v>
      </c>
      <c r="GA202" s="18">
        <f>FZ202*VLOOKUP('Données projet'!$B$17,Paramètres!$A$1:$I$89,3,0)*VLOOKUP('Données projet'!$B$17,Paramètres!$A$1:$I$89,5,0)</f>
        <v>5.4978954722173515E-14</v>
      </c>
      <c r="GB202" s="14">
        <f t="shared" si="185"/>
        <v>8.8550225887742724E-13</v>
      </c>
      <c r="GC202" s="22">
        <f t="shared" si="186"/>
        <v>1.6380047803526383E-12</v>
      </c>
      <c r="GD202" s="62">
        <f t="shared" si="200"/>
        <v>291.03835482861643</v>
      </c>
      <c r="GE202" s="62">
        <f ca="1">AVERAGE(OFFSET($GD$3,0,0,'Données projet'!$E$17+1,1))-AVERAGE(OFFSET($H$3,0,0,'Données projet'!$E$17+1,1))</f>
        <v>578.44111602076555</v>
      </c>
      <c r="GF202" s="62">
        <f t="shared" si="212"/>
        <v>368.08542661432784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>
        <f>EXP(-LN(2)/35)*GL201+(1-EXP(-LN(2)/35))/(LN(2)/35)*GH202*GI202*VLOOKUP('Données projet'!$B$17,Paramètres!$A$1:$I$89,3,0)*0.475*44/12</f>
        <v>0</v>
      </c>
      <c r="GM202" s="23">
        <f>EXP(-LN(2)/25)*GM201+(1-EXP(-LN(2)/25))/(LN(2)/25)*Calculateur!GH202*Calculateur!GJ202*VLOOKUP('Données projet'!$B$17,Paramètres!$A$1:$I$89,3,0)*0.475*44/12</f>
        <v>0</v>
      </c>
      <c r="GN202" s="23">
        <f>EXP(-LN(2)/2)*GN201+(1-EXP(-LN(2)/2))/(LN(2)/2)*GH202*GK202*VLOOKUP('Données projet'!$B$17,Paramètres!$A$1:$I$89,3,0)*0.475*44/12</f>
        <v>0</v>
      </c>
      <c r="GO202" s="23">
        <f t="shared" si="187"/>
        <v>0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69.374096771440406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4.0735000000000001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49.632499999999993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14.936166666666667</v>
      </c>
      <c r="H203" s="70">
        <f t="shared" si="192"/>
        <v>196.922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69.384954793145923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5.1431925385259088E-14</v>
      </c>
      <c r="P203" s="14">
        <f t="shared" si="203"/>
        <v>8.3482866290946129E-13</v>
      </c>
      <c r="Q203" s="22">
        <f t="shared" si="162"/>
        <v>1.5435705246133045E-12</v>
      </c>
      <c r="R203" s="62">
        <f t="shared" si="191"/>
        <v>291.07816757486989</v>
      </c>
      <c r="S203" s="62">
        <f ca="1">AVERAGE(OFFSET($R$3,0,0,'Données projet'!$E$9+1,1))-AVERAGE(OFFSET($H$3,0,0,'Données projet'!$E$9+1,1))</f>
        <v>546.11281471711925</v>
      </c>
      <c r="T203" s="62">
        <f t="shared" si="204"/>
        <v>348.18069831447099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69.384954793145923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-1.2505552149377763E-12</v>
      </c>
      <c r="AJ203" s="14">
        <f>AI203*VLOOKUP('Données projet'!$B$10,Paramètres!$A$1:$I$89,3,0)*VLOOKUP('Données projet'!$B$10,Paramètres!$A$1:$I$89,5,0)</f>
        <v>-1.0729763744166122E-12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693.87994318348024</v>
      </c>
      <c r="AO203" s="62">
        <f t="shared" si="205"/>
        <v>327.71043739333641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69.384954793145923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5.6843418860808015E-14</v>
      </c>
      <c r="BE203" s="14">
        <f>BD203*VLOOKUP('Données projet'!$B$11,Paramètres!$A$1:$I$89,3,0)*VLOOKUP('Données projet'!$B$11,Paramètres!$A$1:$I$89,5,0)</f>
        <v>4.7884896048344674E-14</v>
      </c>
      <c r="BF203" s="14">
        <f t="shared" si="167"/>
        <v>7.8374629847779921E-13</v>
      </c>
      <c r="BG203" s="22">
        <f t="shared" si="168"/>
        <v>1.4484243304663672E-12</v>
      </c>
      <c r="BH203" s="62">
        <f t="shared" si="194"/>
        <v>291.07816757486978</v>
      </c>
      <c r="BI203" s="62">
        <f ca="1">AVERAGE(OFFSET($BH$3,0,0,'Données projet'!$E$11+1,1))-AVERAGE(OFFSET($H$3,0,0,'Données projet'!$E$11+1,1))</f>
        <v>513.7388209355762</v>
      </c>
      <c r="BJ203" s="62">
        <f t="shared" si="206"/>
        <v>328.24603121433927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69.384954793145923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4.5474735088646412E-13</v>
      </c>
      <c r="BZ203" s="14">
        <f>BY203*VLOOKUP('Données projet'!$B$12,Paramètres!$A$1:$I$89,3,0)*VLOOKUP('Données projet'!$B$12,Paramètres!$A$1:$I$89,5,0)</f>
        <v>3.6179699236527089E-13</v>
      </c>
      <c r="CA203" s="14">
        <f t="shared" si="170"/>
        <v>4.6796319415916035E-12</v>
      </c>
      <c r="CB203" s="22">
        <f t="shared" si="171"/>
        <v>8.7804887266415556E-12</v>
      </c>
      <c r="CC203" s="62">
        <f t="shared" si="195"/>
        <v>291.07816757487711</v>
      </c>
      <c r="CD203" s="62">
        <f ca="1">AVERAGE(OFFSET($CC$3,0,0,'Données projet'!$E$12+1,1))-AVERAGE(OFFSET($H$3,0,0,'Données projet'!$E$12+1,1))</f>
        <v>447.25854887589878</v>
      </c>
      <c r="CE203" s="62">
        <f t="shared" si="207"/>
        <v>480.13390593590157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69.384954793145923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1.1368683772161603E-13</v>
      </c>
      <c r="CU203" s="18">
        <f>CT203*VLOOKUP('Données projet'!$B$13,Paramètres!$A$1:$I$89,3,0)*VLOOKUP('Données projet'!$B$13,Paramètres!$A$1:$I$89,5,0)</f>
        <v>8.8675733422860506E-14</v>
      </c>
      <c r="CV203" s="14">
        <f t="shared" si="173"/>
        <v>1.3509285393066301E-12</v>
      </c>
      <c r="CW203" s="22">
        <f t="shared" si="174"/>
        <v>2.5073107750038623E-12</v>
      </c>
      <c r="CX203" s="62">
        <f t="shared" si="196"/>
        <v>291.07816757487086</v>
      </c>
      <c r="CY203" s="62">
        <f ca="1">AVERAGE(OFFSET($CX$3,0,0,'Données projet'!$E$13+1,1))-AVERAGE(OFFSET($H$3,0,0,'Données projet'!$E$13+1,1))</f>
        <v>308.52515801950324</v>
      </c>
      <c r="CZ203" s="62">
        <f t="shared" si="208"/>
        <v>299.05420638408953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69.384954793145923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4.5474735088646412E-13</v>
      </c>
      <c r="DP203" s="18">
        <f>DO203*VLOOKUP('Données projet'!$B$14,Paramètres!$A$1:$I$89,3,0)*VLOOKUP('Données projet'!$B$14,Paramètres!$A$1:$I$89,5,0)</f>
        <v>3.3342075766995548E-13</v>
      </c>
      <c r="DQ203" s="14">
        <f t="shared" si="176"/>
        <v>4.3537988100583648E-12</v>
      </c>
      <c r="DR203" s="22">
        <f t="shared" si="177"/>
        <v>8.1635740804601579E-12</v>
      </c>
      <c r="DS203" s="62">
        <f t="shared" si="197"/>
        <v>291.07816757487655</v>
      </c>
      <c r="DT203" s="62">
        <f ca="1">AVERAGE(OFFSET($DS$3,0,0,'Données projet'!$E$14+1,1))-AVERAGE(OFFSET($H$3,0,0,'Données projet'!$E$14+1,1))</f>
        <v>416.72317068678774</v>
      </c>
      <c r="DU203" s="62">
        <f t="shared" si="209"/>
        <v>447.32457429495537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69.384954793145923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5.6843418860808015E-14</v>
      </c>
      <c r="EK203" s="18">
        <f>EJ203*VLOOKUP('Données projet'!$B$15,Paramètres!$A$1:$I$89,3,0)*VLOOKUP('Données projet'!$B$15,Paramètres!$A$1:$I$89,5,0)</f>
        <v>5.4092197387944907E-14</v>
      </c>
      <c r="EL203" s="14">
        <f t="shared" si="179"/>
        <v>8.7287050538073676E-13</v>
      </c>
      <c r="EM203" s="22">
        <f t="shared" si="180"/>
        <v>1.6144600406554537E-12</v>
      </c>
      <c r="EN203" s="62">
        <f t="shared" si="198"/>
        <v>291.07816757486995</v>
      </c>
      <c r="EO203" s="62">
        <f ca="1">AVERAGE(OFFSET($EN$3,0,0,'Données projet'!$E$15+1,1))-AVERAGE(OFFSET($H$3,0,0,'Données projet'!$E$15+1,1))</f>
        <v>454.78867027701426</v>
      </c>
      <c r="EP203" s="62">
        <f t="shared" si="210"/>
        <v>366.45346303927056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0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69.384954793145923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>
        <f>FE203*VLOOKUP('Données projet'!$B$16,Paramètres!$A$1:$I$89,3,0)*VLOOKUP('Données projet'!$B$16,Paramètres!$A$1:$I$89,5,0)</f>
        <v>0</v>
      </c>
      <c r="FG203" s="14" t="e">
        <f t="shared" si="182"/>
        <v>#NUM!</v>
      </c>
      <c r="FH203" s="22" t="e">
        <f t="shared" si="183"/>
        <v>#NUM!</v>
      </c>
      <c r="FI203" s="62" t="e">
        <f t="shared" si="199"/>
        <v>#NUM!</v>
      </c>
      <c r="FJ203" s="62">
        <f ca="1">AVERAGE(OFFSET($FI$3,0,0,'Données projet'!$E$16+1,1))-AVERAGE(OFFSET($H$3,0,0,'Données projet'!$E$16+1,1))</f>
        <v>390.05579539539576</v>
      </c>
      <c r="FK203" s="62">
        <f t="shared" si="211"/>
        <v>323.72278615226139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projet'!$B$16,Paramètres!$A$1:$I$89,3,0)*0.475*44/12</f>
        <v>0</v>
      </c>
      <c r="FR203" s="23">
        <f>EXP(-LN(2)/25)*FR202+(1-EXP(-LN(2)/25))/(LN(2)/25)*Calculateur!FM203*Calculateur!FO203*VLOOKUP('Données projet'!$B$16,Paramètres!$A$1:$I$89,3,0)*0.475*44/12</f>
        <v>0</v>
      </c>
      <c r="FS203" s="23">
        <f>EXP(-LN(2)/2)*FS202+(1-EXP(-LN(2)/2))/(LN(2)/2)*FM203*FP203*VLOOKUP('Données projet'!$B$16,Paramètres!$A$1:$I$89,3,0)*0.475*44/12</f>
        <v>0</v>
      </c>
      <c r="FT203" s="24">
        <f t="shared" si="184"/>
        <v>0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69.384954793145923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5.6843418860808015E-14</v>
      </c>
      <c r="GA203" s="18">
        <f>FZ203*VLOOKUP('Données projet'!$B$17,Paramètres!$A$1:$I$89,3,0)*VLOOKUP('Données projet'!$B$17,Paramètres!$A$1:$I$89,5,0)</f>
        <v>5.4978954722173515E-14</v>
      </c>
      <c r="GB203" s="14">
        <f t="shared" si="185"/>
        <v>8.8550225887742724E-13</v>
      </c>
      <c r="GC203" s="22">
        <f t="shared" si="186"/>
        <v>1.6380047803526383E-12</v>
      </c>
      <c r="GD203" s="62">
        <f t="shared" si="200"/>
        <v>291.07816757487001</v>
      </c>
      <c r="GE203" s="62">
        <f ca="1">AVERAGE(OFFSET($GD$3,0,0,'Données projet'!$E$17+1,1))-AVERAGE(OFFSET($H$3,0,0,'Données projet'!$E$17+1,1))</f>
        <v>578.44111602076555</v>
      </c>
      <c r="GF203" s="62">
        <f t="shared" si="212"/>
        <v>368.08542661432784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>
        <f>EXP(-LN(2)/35)*GL202+(1-EXP(-LN(2)/35))/(LN(2)/35)*GH203*GI203*VLOOKUP('Données projet'!$B$17,Paramètres!$A$1:$I$89,3,0)*0.475*44/12</f>
        <v>0</v>
      </c>
      <c r="GM203" s="23">
        <f>EXP(-LN(2)/25)*GM202+(1-EXP(-LN(2)/25))/(LN(2)/25)*Calculateur!GH203*Calculateur!GJ203*VLOOKUP('Données projet'!$B$17,Paramètres!$A$1:$I$89,3,0)*0.475*44/12</f>
        <v>0</v>
      </c>
      <c r="GN203" s="23">
        <f>EXP(-LN(2)/2)*GN202+(1-EXP(-LN(2)/2))/(LN(2)/2)*GH203*GK203*VLOOKUP('Données projet'!$B$17,Paramètres!$A$1:$I$89,3,0)*0.475*44/12</f>
        <v>0</v>
      </c>
      <c r="GO203" s="23">
        <f t="shared" si="187"/>
        <v>0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69.384954793145923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1.2392705892426346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1.2229519710813024</v>
      </c>
      <c r="BA205" s="88">
        <f>EXP(LN('Données projet'!B88)/'Données projet'!A88)</f>
        <v>1.2392705892426346</v>
      </c>
      <c r="BV205" s="88">
        <f>EXP(LN('Données projet'!B114)/'Données projet'!A114)</f>
        <v>1.3409598814794317</v>
      </c>
      <c r="CQ205" s="88">
        <f>EXP(LN('Données projet'!B140)/'Données projet'!A140)</f>
        <v>1.2788040393997409</v>
      </c>
      <c r="DL205" s="88">
        <f>EXP(LN('Données projet'!B166)/'Données projet'!A166)</f>
        <v>1.3409598814794317</v>
      </c>
      <c r="EG205" s="88">
        <f>EXP(LN('Données projet'!B192)/'Données projet'!A192)</f>
        <v>1.3123335001208698</v>
      </c>
      <c r="FB205" s="88">
        <f>EXP(LN('Données projet'!B218)/'Données projet'!A218)</f>
        <v>1.4172437739267318</v>
      </c>
      <c r="FW205" s="88">
        <f>EXP(LN('Données projet'!B244)/'Données projet'!A244)</f>
        <v>1.2392705892426346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zoomScale="90" zoomScaleNormal="90" workbookViewId="0">
      <selection activeCell="M16" sqref="M1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sessile</v>
      </c>
      <c r="B6" s="155">
        <f>'Données projet'!D9</f>
        <v>1.587</v>
      </c>
      <c r="C6" s="156">
        <f ca="1">IF(OR('Données projet'!B9="",'Données projet'!C9="",'Données projet'!C9=0%),0,Calculateur!S3)</f>
        <v>546.11281471711925</v>
      </c>
      <c r="D6" s="156">
        <f>IF(OR('Données projet'!B9="",'Données projet'!C9="",'Données projet'!C9=0%),0,Calculateur!T3)</f>
        <v>348.18069831447099</v>
      </c>
      <c r="E6" s="156">
        <f ca="1">MIN(C6,D6)</f>
        <v>348.18069831447099</v>
      </c>
      <c r="F6" s="156">
        <f ca="1">E6*B6</f>
        <v>552.5627682250655</v>
      </c>
      <c r="G6" s="156">
        <f ca="1">F6*(100%-'Données projet'!$C$24)*(100%-'Données projet'!$C$25)*(100%-'Données projet'!$C$26)*(100%-'Données projet'!$C$27)</f>
        <v>497.30649140255895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24.598499999999998</v>
      </c>
      <c r="K6" s="160">
        <f>J6*(100%-'Données projet'!$C$24)*(100%-'Données projet'!$C$25)*(100%-'Données projet'!$C$26)*(100%-'Données projet'!$C$27)</f>
        <v>22.138649999999998</v>
      </c>
      <c r="L6" s="161">
        <f ca="1">G6+I6+K6</f>
        <v>519.44514140255899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Hêtre</v>
      </c>
      <c r="B7" s="163">
        <f>'Données projet'!D10</f>
        <v>0.52900000000000003</v>
      </c>
      <c r="C7" s="156">
        <f ca="1">IF(OR('Données projet'!B10="",'Données projet'!C10="",'Données projet'!C10=0%),0,Calculateur!AN3)</f>
        <v>693.87994318348024</v>
      </c>
      <c r="D7" s="156">
        <f>IF(OR('Données projet'!B10="",'Données projet'!C10="",'Données projet'!C10=0%),0,Calculateur!AO3)</f>
        <v>327.71043739333641</v>
      </c>
      <c r="E7" s="156">
        <f t="shared" ref="E7:E15" ca="1" si="0">MIN(C7,D7)</f>
        <v>327.71043739333641</v>
      </c>
      <c r="F7" s="156">
        <f t="shared" ref="F7:F15" ca="1" si="1">E7*B7</f>
        <v>173.35882138107496</v>
      </c>
      <c r="G7" s="156">
        <f ca="1">F7*(100%-'Données projet'!$C$24)*(100%-'Données projet'!$C$25)*(100%-'Données projet'!$C$26)*(100%-'Données projet'!$C$27)</f>
        <v>156.02293924296748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3.4385000000000003</v>
      </c>
      <c r="K7" s="160">
        <f>J7*(100%-'Données projet'!$C$24)*(100%-'Données projet'!$C$25)*(100%-'Données projet'!$C$26)*(100%-'Données projet'!$C$27)</f>
        <v>3.0946500000000006</v>
      </c>
      <c r="L7" s="161">
        <f t="shared" ref="L7:L15" ca="1" si="2">G7+I7+K7</f>
        <v>159.11758924296748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Chêne pédonculé</v>
      </c>
      <c r="B8" s="163">
        <f>'Données projet'!D11</f>
        <v>0.52900000000000003</v>
      </c>
      <c r="C8" s="156">
        <f ca="1">IF(OR('Données projet'!B11="",'Données projet'!C11="",'Données projet'!C11=0%),0,Calculateur!BI3)</f>
        <v>513.7388209355762</v>
      </c>
      <c r="D8" s="156">
        <f>IF(OR('Données projet'!B11="",'Données projet'!C11="",'Données projet'!C11=0%),0,Calculateur!BJ3)</f>
        <v>328.24603121433927</v>
      </c>
      <c r="E8" s="156">
        <f t="shared" ca="1" si="0"/>
        <v>328.24603121433927</v>
      </c>
      <c r="F8" s="156">
        <f t="shared" ca="1" si="1"/>
        <v>173.64215051238548</v>
      </c>
      <c r="G8" s="156">
        <f ca="1">F8*(100%-'Données projet'!$C$24)*(100%-'Données projet'!$C$25)*(100%-'Données projet'!$C$26)*(100%-'Données projet'!$C$27)</f>
        <v>156.27793546114694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8.1995000000000005</v>
      </c>
      <c r="K8" s="160">
        <f>J8*(100%-'Données projet'!$C$24)*(100%-'Données projet'!$C$25)*(100%-'Données projet'!$C$26)*(100%-'Données projet'!$C$27)</f>
        <v>7.3795500000000009</v>
      </c>
      <c r="L8" s="161">
        <f t="shared" ca="1" si="2"/>
        <v>163.65748546114693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Erable sycomore</v>
      </c>
      <c r="B9" s="163">
        <f>'Données projet'!D12</f>
        <v>0.52900000000000003</v>
      </c>
      <c r="C9" s="156">
        <f ca="1">IF(OR('Données projet'!B12="",'Données projet'!C12="",'Données projet'!C12=0%),0,Calculateur!CD3)</f>
        <v>447.25854887589878</v>
      </c>
      <c r="D9" s="156">
        <f>IF(OR('Données projet'!B12="",'Données projet'!C12="",'Données projet'!C12=0%),0,Calculateur!CE3)</f>
        <v>480.13390593590157</v>
      </c>
      <c r="E9" s="156">
        <f t="shared" ca="1" si="0"/>
        <v>447.25854887589878</v>
      </c>
      <c r="F9" s="156">
        <f t="shared" ca="1" si="1"/>
        <v>236.59977235535047</v>
      </c>
      <c r="G9" s="156">
        <f ca="1">F9*(100%-'Données projet'!$C$24)*(100%-'Données projet'!$C$25)*(100%-'Données projet'!$C$26)*(100%-'Données projet'!$C$27)</f>
        <v>212.93979511981541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23.104074999999998</v>
      </c>
      <c r="K9" s="160">
        <f>J9*(100%-'Données projet'!$C$24)*(100%-'Données projet'!$C$25)*(100%-'Données projet'!$C$26)*(100%-'Données projet'!$C$27)</f>
        <v>20.793667499999998</v>
      </c>
      <c r="L9" s="161">
        <f t="shared" ca="1" si="2"/>
        <v>233.73346261981541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>Merisier</v>
      </c>
      <c r="B10" s="163">
        <f>'Données projet'!D13</f>
        <v>0.52900000000000003</v>
      </c>
      <c r="C10" s="156">
        <f ca="1">IF(OR('Données projet'!B13="",'Données projet'!C13="",'Données projet'!C13=0%),0,Calculateur!CY3)</f>
        <v>308.52515801950324</v>
      </c>
      <c r="D10" s="156">
        <f>IF(OR('Données projet'!B13="",'Données projet'!C13="",'Données projet'!C13=0%),0,Calculateur!CZ3)</f>
        <v>299.05420638408953</v>
      </c>
      <c r="E10" s="156">
        <f t="shared" ca="1" si="0"/>
        <v>299.05420638408953</v>
      </c>
      <c r="F10" s="156">
        <f t="shared" ca="1" si="1"/>
        <v>158.19967517718337</v>
      </c>
      <c r="G10" s="156">
        <f ca="1">F10*(100%-'Données projet'!$C$24)*(100%-'Données projet'!$C$25)*(100%-'Données projet'!$C$26)*(100%-'Données projet'!$C$27)</f>
        <v>142.37970765946503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7.2737500000000006</v>
      </c>
      <c r="K10" s="160">
        <f>J10*(100%-'Données projet'!$C$24)*(100%-'Données projet'!$C$25)*(100%-'Données projet'!$C$26)*(100%-'Données projet'!$C$27)</f>
        <v>6.5463750000000003</v>
      </c>
      <c r="L10" s="161">
        <f t="shared" ca="1" si="2"/>
        <v>148.92608265946504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>Châtaignier</v>
      </c>
      <c r="B11" s="163">
        <f>'Données projet'!D14</f>
        <v>0.52900000000000003</v>
      </c>
      <c r="C11" s="156">
        <f ca="1">IF(OR('Données projet'!B14="",'Données projet'!C14="",'Données projet'!C14=0%),0,Calculateur!DT3)</f>
        <v>416.72317068678774</v>
      </c>
      <c r="D11" s="156">
        <f>IF(OR('Données projet'!B14="",'Données projet'!C14="",'Données projet'!C14=0%),0,Calculateur!DU3)</f>
        <v>447.32457429495537</v>
      </c>
      <c r="E11" s="156">
        <f t="shared" ca="1" si="0"/>
        <v>416.72317068678774</v>
      </c>
      <c r="F11" s="156">
        <f t="shared" ca="1" si="1"/>
        <v>220.44655729331072</v>
      </c>
      <c r="G11" s="156">
        <f ca="1">F11*(100%-'Données projet'!$C$24)*(100%-'Données projet'!$C$25)*(100%-'Données projet'!$C$26)*(100%-'Données projet'!$C$27)</f>
        <v>198.40190156397966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23.104074999999998</v>
      </c>
      <c r="K11" s="160">
        <f>J11*(100%-'Données projet'!$C$24)*(100%-'Données projet'!$C$25)*(100%-'Données projet'!$C$26)*(100%-'Données projet'!$C$27)</f>
        <v>20.793667499999998</v>
      </c>
      <c r="L11" s="161">
        <f t="shared" ca="1" si="2"/>
        <v>219.19556906397966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>Charme</v>
      </c>
      <c r="B12" s="163">
        <f>'Données projet'!D15</f>
        <v>0.42320000000000002</v>
      </c>
      <c r="C12" s="156">
        <f ca="1">IF(OR('Données projet'!B15="",'Données projet'!C15="",'Données projet'!C15=0%),0,Calculateur!EO3)</f>
        <v>454.78867027701426</v>
      </c>
      <c r="D12" s="156">
        <f>IF(OR('Données projet'!B15="",'Données projet'!C15="",'Données projet'!C15=0%),0,Calculateur!EP3)</f>
        <v>366.45346303927056</v>
      </c>
      <c r="E12" s="156">
        <f t="shared" ca="1" si="0"/>
        <v>366.45346303927056</v>
      </c>
      <c r="F12" s="156">
        <f t="shared" ca="1" si="1"/>
        <v>155.0831055582193</v>
      </c>
      <c r="G12" s="156">
        <f ca="1">F12*(100%-'Données projet'!$C$24)*(100%-'Données projet'!$C$25)*(100%-'Données projet'!$C$26)*(100%-'Données projet'!$C$27)</f>
        <v>139.57479500239737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6.6464102564102561</v>
      </c>
      <c r="K12" s="160">
        <f>J12*(100%-'Données projet'!$C$24)*(100%-'Données projet'!$C$25)*(100%-'Données projet'!$C$26)*(100%-'Données projet'!$C$27)</f>
        <v>5.9817692307692303</v>
      </c>
      <c r="L12" s="161">
        <f t="shared" ca="1" si="2"/>
        <v>145.5565642331666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>Tilleul</v>
      </c>
      <c r="B13" s="163">
        <f>'Données projet'!D16</f>
        <v>0.26450000000000001</v>
      </c>
      <c r="C13" s="156">
        <f ca="1">IF(OR('Données projet'!B16="",'Données projet'!C16="",'Données projet'!C16=0%),0,Calculateur!FJ3)</f>
        <v>390.05579539539576</v>
      </c>
      <c r="D13" s="156">
        <f>IF(OR('Données projet'!B16="",'Données projet'!C16="",'Données projet'!C16=0%),0,Calculateur!FK3)</f>
        <v>323.72278615226139</v>
      </c>
      <c r="E13" s="156">
        <f t="shared" ca="1" si="0"/>
        <v>323.72278615226139</v>
      </c>
      <c r="F13" s="156">
        <f t="shared" ca="1" si="1"/>
        <v>85.624676937273136</v>
      </c>
      <c r="G13" s="156">
        <f ca="1">F13*(100%-'Données projet'!$C$24)*(100%-'Données projet'!$C$25)*(100%-'Données projet'!$C$26)*(100%-'Données projet'!$C$27)</f>
        <v>77.062209243545823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5.1713141025641027</v>
      </c>
      <c r="K13" s="160">
        <f>J13*(100%-'Données projet'!$C$24)*(100%-'Données projet'!$C$25)*(100%-'Données projet'!$C$26)*(100%-'Données projet'!$C$27)</f>
        <v>4.6541826923076925</v>
      </c>
      <c r="L13" s="161">
        <f t="shared" ca="1" si="2"/>
        <v>81.716391935853522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>Alisier torminal</v>
      </c>
      <c r="B14" s="163">
        <f>'Données projet'!D17</f>
        <v>0.26450000000000001</v>
      </c>
      <c r="C14" s="156">
        <f ca="1">IF(OR('Données projet'!B17="",'Données projet'!C17="",'Données projet'!C17=0%),0,Calculateur!GE3)</f>
        <v>578.44111602076555</v>
      </c>
      <c r="D14" s="156">
        <f>IF(OR('Données projet'!B17="",'Données projet'!C17="",'Données projet'!C17=0%),0,Calculateur!GF3)</f>
        <v>368.08542661432784</v>
      </c>
      <c r="E14" s="156">
        <f t="shared" ca="1" si="0"/>
        <v>368.08542661432784</v>
      </c>
      <c r="F14" s="156">
        <f t="shared" ca="1" si="1"/>
        <v>97.358595339489725</v>
      </c>
      <c r="G14" s="156">
        <f ca="1">F14*(100%-'Données projet'!$C$24)*(100%-'Données projet'!$C$25)*(100%-'Données projet'!$C$26)*(100%-'Données projet'!$C$27)</f>
        <v>87.622735805540756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4.0997500000000002</v>
      </c>
      <c r="K14" s="160">
        <f>J14*(100%-'Données projet'!$C$24)*(100%-'Données projet'!$C$25)*(100%-'Données projet'!$C$26)*(100%-'Données projet'!$C$27)</f>
        <v>3.6897750000000005</v>
      </c>
      <c r="L14" s="161">
        <f t="shared" ca="1" si="2"/>
        <v>91.312510805540754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1852.8761227793525</v>
      </c>
      <c r="G16" s="175">
        <f t="shared" ca="1" si="3"/>
        <v>1667.5885105014174</v>
      </c>
      <c r="H16" s="176">
        <f t="shared" si="3"/>
        <v>0</v>
      </c>
      <c r="I16" s="176">
        <f t="shared" si="3"/>
        <v>0</v>
      </c>
      <c r="J16" s="177">
        <f t="shared" si="3"/>
        <v>105.63587435897436</v>
      </c>
      <c r="K16" s="177">
        <f t="shared" si="3"/>
        <v>95.072286923076916</v>
      </c>
      <c r="L16" s="178">
        <f t="shared" ca="1" si="3"/>
        <v>1762.6607974244946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Hêtre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Chêne pédonculé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Erable sycomore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>Merisier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>Châtaignier</v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>Charme</v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>Tilleul</v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>Alisier torminal</v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abSelected="1" topLeftCell="E7" zoomScale="80" zoomScaleNormal="80" workbookViewId="0">
      <selection activeCell="T36" sqref="T36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1029.8386908750992</v>
      </c>
      <c r="U10" s="190">
        <f>'Données projet'!D9</f>
        <v>1.587</v>
      </c>
      <c r="V10" s="189">
        <f>U10*T10</f>
        <v>1634.3540024187826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Hêtre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1018.7839576194104</v>
      </c>
      <c r="U11" s="190">
        <f>'Données projet'!D10</f>
        <v>0.52900000000000003</v>
      </c>
      <c r="V11" s="189">
        <f t="shared" ref="V11" si="0">U11*T11</f>
        <v>538.9367135806682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Chêne pédonculé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1029.8386908750992</v>
      </c>
      <c r="U12" s="190">
        <f>'Données projet'!D11</f>
        <v>0.52900000000000003</v>
      </c>
      <c r="V12" s="189">
        <f t="shared" ref="V12:V19" si="1">U12*T12</f>
        <v>544.78466747292748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Erable sycomore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2492.9551714044924</v>
      </c>
      <c r="U13" s="190">
        <f>'Données projet'!D12</f>
        <v>0.52900000000000003</v>
      </c>
      <c r="V13" s="189">
        <f t="shared" si="1"/>
        <v>1318.7732856729765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Merisier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2394.3313958151411</v>
      </c>
      <c r="U14" s="190">
        <f>'Données projet'!D13</f>
        <v>0.52900000000000003</v>
      </c>
      <c r="V14" s="189">
        <f t="shared" si="1"/>
        <v>1266.6013083862097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>
        <v>0</v>
      </c>
      <c r="I15" s="204">
        <v>0</v>
      </c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>Châtaignier</v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2492.9551714044924</v>
      </c>
      <c r="U15" s="190">
        <f>'Données projet'!D14</f>
        <v>0.52900000000000003</v>
      </c>
      <c r="V15" s="189">
        <f t="shared" si="1"/>
        <v>1318.7732856729765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>Charme</v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554.6509826076732</v>
      </c>
      <c r="U16" s="190">
        <f>'Données projet'!D15</f>
        <v>0.42320000000000002</v>
      </c>
      <c r="V16" s="189">
        <f t="shared" si="1"/>
        <v>234.72829583956732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>Tilleul</v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721.52809522880659</v>
      </c>
      <c r="U17" s="190">
        <f>'Données projet'!D16</f>
        <v>0.26450000000000001</v>
      </c>
      <c r="V17" s="189">
        <f t="shared" si="1"/>
        <v>190.84418118801935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>Alisier torminal</v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1029.8386908750992</v>
      </c>
      <c r="U18" s="190">
        <f>'Données projet'!D17</f>
        <v>0.26450000000000001</v>
      </c>
      <c r="V18" s="189">
        <f t="shared" si="1"/>
        <v>272.39233373646374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9000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6</v>
      </c>
      <c r="C23" s="206">
        <v>10</v>
      </c>
      <c r="D23" s="194">
        <f>B23*C23</f>
        <v>60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-40289.811926031412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25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25785.39359487587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30</v>
      </c>
      <c r="B25" s="193">
        <f>'Données projet'!D38</f>
        <v>56</v>
      </c>
      <c r="C25" s="206">
        <v>10</v>
      </c>
      <c r="D25" s="194">
        <f t="shared" si="2"/>
        <v>560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220</v>
      </c>
      <c r="Q25" s="265"/>
      <c r="R25" s="25"/>
      <c r="S25" s="198" t="s">
        <v>266</v>
      </c>
      <c r="T25" s="341">
        <f ca="1">T23-T24</f>
        <v>-66075.205520907286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35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40</v>
      </c>
      <c r="B27" s="193">
        <f>'Données projet'!D40</f>
        <v>56</v>
      </c>
      <c r="C27" s="206">
        <v>15</v>
      </c>
      <c r="D27" s="194">
        <f t="shared" si="2"/>
        <v>840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45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50</v>
      </c>
      <c r="B29" s="193">
        <f>'Données projet'!D42</f>
        <v>56</v>
      </c>
      <c r="C29" s="206">
        <v>20</v>
      </c>
      <c r="D29" s="194">
        <f t="shared" si="2"/>
        <v>1120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55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4874.3655188801267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60</v>
      </c>
      <c r="B31" s="193">
        <f>'Données projet'!D44</f>
        <v>56</v>
      </c>
      <c r="C31" s="206">
        <v>30</v>
      </c>
      <c r="D31" s="194">
        <f t="shared" si="2"/>
        <v>1680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65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70</v>
      </c>
      <c r="B33" s="193">
        <f>'Données projet'!D46</f>
        <v>56</v>
      </c>
      <c r="C33" s="206">
        <v>40</v>
      </c>
      <c r="D33" s="194">
        <f t="shared" si="2"/>
        <v>2240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220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75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210.5263157894737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80</v>
      </c>
      <c r="B35" s="193">
        <f>'Données projet'!D48</f>
        <v>56</v>
      </c>
      <c r="C35" s="206">
        <v>50</v>
      </c>
      <c r="D35" s="194">
        <f t="shared" si="2"/>
        <v>2800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201.46058927222367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90</v>
      </c>
      <c r="B36" s="193">
        <f>'Données projet'!D49</f>
        <v>56</v>
      </c>
      <c r="C36" s="206">
        <v>60</v>
      </c>
      <c r="D36" s="194">
        <f t="shared" si="2"/>
        <v>3360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192.78525289208005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100</v>
      </c>
      <c r="B37" s="193">
        <f>'Données projet'!D50</f>
        <v>55</v>
      </c>
      <c r="C37" s="206">
        <v>70</v>
      </c>
      <c r="D37" s="194">
        <f t="shared" si="2"/>
        <v>3850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184.48349559050729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110</v>
      </c>
      <c r="B38" s="193">
        <f>'Données projet'!D51</f>
        <v>51</v>
      </c>
      <c r="C38" s="206">
        <v>80</v>
      </c>
      <c r="D38" s="194">
        <f t="shared" si="2"/>
        <v>4080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176.53923023015051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120</v>
      </c>
      <c r="B39" s="193">
        <f>'Données projet'!D52</f>
        <v>47</v>
      </c>
      <c r="C39" s="206">
        <v>90</v>
      </c>
      <c r="D39" s="194">
        <f t="shared" si="2"/>
        <v>4230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168.93706242119669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135</v>
      </c>
      <c r="B40" s="193">
        <f>'Données projet'!D53</f>
        <v>65</v>
      </c>
      <c r="C40" s="206">
        <v>120</v>
      </c>
      <c r="D40" s="194">
        <f t="shared" si="2"/>
        <v>7800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161.66226069014036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150</v>
      </c>
      <c r="B41" s="193">
        <f>'Données projet'!D54</f>
        <v>355</v>
      </c>
      <c r="C41" s="206">
        <v>200</v>
      </c>
      <c r="D41" s="194">
        <f t="shared" si="2"/>
        <v>71000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154.70072793314873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148.03897409870692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141.66409004660952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135.5637225326407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Hêtre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129.72605027046959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124.1397610243728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118.79402968839506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113.67849730946894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108.78325101384593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104.09880479793868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99.616081146352826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95.326393441485962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91.221429130608598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87.29323361780726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25</v>
      </c>
      <c r="B55" s="193">
        <f>'Données projet'!D63</f>
        <v>26</v>
      </c>
      <c r="C55" s="204">
        <v>10</v>
      </c>
      <c r="D55" s="191">
        <f t="shared" ref="D55:D73" si="4">B55*C55</f>
        <v>260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83.534194849576352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79.937028564187898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35</v>
      </c>
      <c r="B57" s="193">
        <f>'Données projet'!D65</f>
        <v>70</v>
      </c>
      <c r="C57" s="204">
        <v>15</v>
      </c>
      <c r="D57" s="191">
        <f t="shared" si="4"/>
        <v>1050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76.494764176256382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73.200731269144867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45</v>
      </c>
      <c r="B59" s="193">
        <f>'Données projet'!D67</f>
        <v>70</v>
      </c>
      <c r="C59" s="204">
        <v>20</v>
      </c>
      <c r="D59" s="191">
        <f t="shared" si="4"/>
        <v>1400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70.04854666903816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67.032102075634612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55</v>
      </c>
      <c r="B61" s="193">
        <f>'Données projet'!D69</f>
        <v>70</v>
      </c>
      <c r="C61" s="204">
        <v>25</v>
      </c>
      <c r="D61" s="191">
        <f t="shared" si="4"/>
        <v>1750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64.145552225487677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61.383303565059968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65</v>
      </c>
      <c r="B63" s="193">
        <f>'Données projet'!D71</f>
        <v>70</v>
      </c>
      <c r="C63" s="204">
        <v>30</v>
      </c>
      <c r="D63" s="191">
        <f t="shared" si="4"/>
        <v>2100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58.740003411540663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56.210529580421671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75</v>
      </c>
      <c r="B65" s="193">
        <f>'Données projet'!D73</f>
        <v>70</v>
      </c>
      <c r="C65" s="204">
        <v>35</v>
      </c>
      <c r="D65" s="191">
        <f t="shared" si="4"/>
        <v>2450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53.789980459733691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51.473665511706884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85</v>
      </c>
      <c r="B67" s="193">
        <f>'Données projet'!D75</f>
        <v>67</v>
      </c>
      <c r="C67" s="204">
        <v>40</v>
      </c>
      <c r="D67" s="191">
        <f t="shared" si="4"/>
        <v>2680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49.257096183451573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95</v>
      </c>
      <c r="B68" s="193">
        <f>'Données projet'!D76</f>
        <v>61</v>
      </c>
      <c r="C68" s="204">
        <v>45</v>
      </c>
      <c r="D68" s="191">
        <f t="shared" si="4"/>
        <v>2745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47.135977209044569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105</v>
      </c>
      <c r="B69" s="193">
        <f>'Données projet'!D77</f>
        <v>57</v>
      </c>
      <c r="C69" s="204">
        <v>50</v>
      </c>
      <c r="D69" s="191">
        <f t="shared" si="4"/>
        <v>2850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45.106198286167057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115</v>
      </c>
      <c r="B70" s="193">
        <f>'Données projet'!D78</f>
        <v>53</v>
      </c>
      <c r="C70" s="204">
        <v>55</v>
      </c>
      <c r="D70" s="191">
        <f t="shared" si="4"/>
        <v>2915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43.163826111164653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125</v>
      </c>
      <c r="B71" s="193">
        <f>'Données projet'!D79</f>
        <v>51</v>
      </c>
      <c r="C71" s="204">
        <v>60</v>
      </c>
      <c r="D71" s="191">
        <f t="shared" si="4"/>
        <v>3060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41.305096757095363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135</v>
      </c>
      <c r="B72" s="193">
        <f>'Données projet'!D80</f>
        <v>49</v>
      </c>
      <c r="C72" s="204">
        <v>65</v>
      </c>
      <c r="D72" s="191">
        <f t="shared" si="4"/>
        <v>3185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39.526408379995566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150</v>
      </c>
      <c r="B73" s="193">
        <f>'Données projet'!D81</f>
        <v>571</v>
      </c>
      <c r="C73" s="204">
        <v>80</v>
      </c>
      <c r="D73" s="191">
        <f t="shared" si="4"/>
        <v>45680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37.824314239230219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36.195516018402124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34.636857433877637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Chêne pédonculé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33.145318118543194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31.718007768940858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30.352160544441013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29.045129707599063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27.794382495310106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26.597495210823077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25.452148527103422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24.356122992443474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23.30729472961098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20</v>
      </c>
      <c r="B85" s="193">
        <f>'Données projet'!D88</f>
        <v>6</v>
      </c>
      <c r="C85" s="206">
        <v>10</v>
      </c>
      <c r="D85" s="191">
        <f>B85*C85</f>
        <v>60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22.303631320201898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25</v>
      </c>
      <c r="B86" s="193">
        <f>'Données projet'!D89</f>
        <v>0</v>
      </c>
      <c r="C86" s="206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21.343187866221911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30</v>
      </c>
      <c r="B87" s="193">
        <f>'Données projet'!D90</f>
        <v>56</v>
      </c>
      <c r="C87" s="206">
        <v>10</v>
      </c>
      <c r="D87" s="191">
        <f t="shared" si="6"/>
        <v>560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20.424103221264996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35</v>
      </c>
      <c r="B88" s="193">
        <f>'Données projet'!D91</f>
        <v>0</v>
      </c>
      <c r="C88" s="206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19.544596383985638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40</v>
      </c>
      <c r="B89" s="193">
        <f>'Données projet'!D92</f>
        <v>56</v>
      </c>
      <c r="C89" s="206">
        <v>15</v>
      </c>
      <c r="D89" s="191">
        <f t="shared" si="6"/>
        <v>840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18.702963046876214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45</v>
      </c>
      <c r="B90" s="193">
        <f>'Données projet'!D93</f>
        <v>0</v>
      </c>
      <c r="C90" s="206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17.897572293661451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50</v>
      </c>
      <c r="B91" s="193">
        <f>'Données projet'!D94</f>
        <v>56</v>
      </c>
      <c r="C91" s="206">
        <v>20</v>
      </c>
      <c r="D91" s="191">
        <f t="shared" si="6"/>
        <v>1120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17.126863438910483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55</v>
      </c>
      <c r="B92" s="193">
        <f>'Données projet'!D95</f>
        <v>0</v>
      </c>
      <c r="C92" s="206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16.389343003742091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60</v>
      </c>
      <c r="B93" s="193">
        <f>'Données projet'!D96</f>
        <v>56</v>
      </c>
      <c r="C93" s="206">
        <v>30</v>
      </c>
      <c r="D93" s="191">
        <f t="shared" si="6"/>
        <v>1680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15.683581821762766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65</v>
      </c>
      <c r="B94" s="193">
        <f>'Données projet'!D97</f>
        <v>0</v>
      </c>
      <c r="C94" s="206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15.008212269629439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70</v>
      </c>
      <c r="B95" s="193">
        <f>'Données projet'!D98</f>
        <v>56</v>
      </c>
      <c r="C95" s="206">
        <v>40</v>
      </c>
      <c r="D95" s="191">
        <f t="shared" si="6"/>
        <v>2240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14.361925616870284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75</v>
      </c>
      <c r="B96" s="193">
        <f>'Données projet'!D99</f>
        <v>0</v>
      </c>
      <c r="C96" s="206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13.743469489828019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80</v>
      </c>
      <c r="B97" s="193">
        <f>'Données projet'!D100</f>
        <v>56</v>
      </c>
      <c r="C97" s="206">
        <v>50</v>
      </c>
      <c r="D97" s="191">
        <f t="shared" si="6"/>
        <v>2800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13.151645444811511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90</v>
      </c>
      <c r="B98" s="193">
        <f>'Données projet'!D101</f>
        <v>56</v>
      </c>
      <c r="C98" s="206">
        <v>60</v>
      </c>
      <c r="D98" s="191">
        <f t="shared" si="6"/>
        <v>3360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12.58530664575264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100</v>
      </c>
      <c r="B99" s="193">
        <f>'Données projet'!D102</f>
        <v>55</v>
      </c>
      <c r="C99" s="206">
        <v>70</v>
      </c>
      <c r="D99" s="191">
        <f t="shared" si="6"/>
        <v>3850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12.043355641868558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110</v>
      </c>
      <c r="B100" s="193">
        <f>'Données projet'!D103</f>
        <v>51</v>
      </c>
      <c r="C100" s="206">
        <v>80</v>
      </c>
      <c r="D100" s="191">
        <f t="shared" si="6"/>
        <v>4080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11.524742241022544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120</v>
      </c>
      <c r="B101" s="193">
        <f>'Données projet'!D104</f>
        <v>47</v>
      </c>
      <c r="C101" s="206">
        <v>90</v>
      </c>
      <c r="D101" s="191">
        <f t="shared" si="6"/>
        <v>4230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11.028461474662723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135</v>
      </c>
      <c r="B102" s="193">
        <f>'Données projet'!D105</f>
        <v>65</v>
      </c>
      <c r="C102" s="206">
        <v>120</v>
      </c>
      <c r="D102" s="191">
        <f t="shared" si="6"/>
        <v>7800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10.553551650394951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150</v>
      </c>
      <c r="B103" s="193">
        <f>'Données projet'!D106</f>
        <v>355</v>
      </c>
      <c r="C103" s="206">
        <v>200</v>
      </c>
      <c r="D103" s="191">
        <f t="shared" si="6"/>
        <v>71000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str">
        <f>IF(O102+1&lt;=MIN('Données projet'!$E$9:$E$18),O102+1,"STOP")</f>
        <v>STOP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Erable sycomore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10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15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20</v>
      </c>
      <c r="B118" s="193">
        <f>'Données projet'!D116</f>
        <v>90.7</v>
      </c>
      <c r="C118" s="204">
        <v>10</v>
      </c>
      <c r="D118" s="191">
        <f t="shared" si="8"/>
        <v>907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25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30</v>
      </c>
      <c r="B120" s="193">
        <f>'Données projet'!D118</f>
        <v>84</v>
      </c>
      <c r="C120" s="204">
        <v>15</v>
      </c>
      <c r="D120" s="191">
        <f t="shared" si="8"/>
        <v>1260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35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40</v>
      </c>
      <c r="B122" s="193">
        <f>'Données projet'!D120</f>
        <v>82.1</v>
      </c>
      <c r="C122" s="204">
        <v>20</v>
      </c>
      <c r="D122" s="191">
        <f t="shared" si="8"/>
        <v>1642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45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50</v>
      </c>
      <c r="B124" s="193">
        <f>'Données projet'!D122</f>
        <v>47.5</v>
      </c>
      <c r="C124" s="204">
        <v>30</v>
      </c>
      <c r="D124" s="191">
        <f t="shared" si="8"/>
        <v>1425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55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60</v>
      </c>
      <c r="B126" s="193">
        <f>'Données projet'!D124</f>
        <v>35.099999999999994</v>
      </c>
      <c r="C126" s="204">
        <v>40</v>
      </c>
      <c r="D126" s="191">
        <f t="shared" si="8"/>
        <v>1403.9999999999998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65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70</v>
      </c>
      <c r="B128" s="193">
        <f>'Données projet'!D126</f>
        <v>30.9</v>
      </c>
      <c r="C128" s="204">
        <v>50</v>
      </c>
      <c r="D128" s="191">
        <f t="shared" si="8"/>
        <v>1545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75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80</v>
      </c>
      <c r="B130" s="193">
        <f>'Données projet'!D128</f>
        <v>395.6</v>
      </c>
      <c r="C130" s="206">
        <v>100</v>
      </c>
      <c r="D130" s="191">
        <f t="shared" si="8"/>
        <v>39560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>Merisier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15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20</v>
      </c>
      <c r="B148" s="187">
        <f>'Données projet'!D141</f>
        <v>3</v>
      </c>
      <c r="C148" s="204">
        <v>10</v>
      </c>
      <c r="D148" s="194">
        <f t="shared" ref="D148:D166" si="10">B148*C148</f>
        <v>30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25</v>
      </c>
      <c r="B149" s="187">
        <f>'Données projet'!D142</f>
        <v>52</v>
      </c>
      <c r="C149" s="204">
        <v>10</v>
      </c>
      <c r="D149" s="194">
        <f t="shared" si="10"/>
        <v>520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31</v>
      </c>
      <c r="B150" s="187">
        <f>'Données projet'!D143</f>
        <v>36</v>
      </c>
      <c r="C150" s="204">
        <v>10</v>
      </c>
      <c r="D150" s="194">
        <f t="shared" si="10"/>
        <v>360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37</v>
      </c>
      <c r="B151" s="187">
        <f>'Données projet'!D144</f>
        <v>36</v>
      </c>
      <c r="C151" s="204">
        <v>15</v>
      </c>
      <c r="D151" s="194">
        <f t="shared" si="10"/>
        <v>540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44</v>
      </c>
      <c r="B152" s="187">
        <f>'Données projet'!D145</f>
        <v>43</v>
      </c>
      <c r="C152" s="204">
        <v>20</v>
      </c>
      <c r="D152" s="194">
        <f t="shared" si="10"/>
        <v>860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52</v>
      </c>
      <c r="B153" s="187">
        <f>'Données projet'!D146</f>
        <v>48</v>
      </c>
      <c r="C153" s="204">
        <v>30</v>
      </c>
      <c r="D153" s="194">
        <f t="shared" si="10"/>
        <v>1440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60</v>
      </c>
      <c r="B154" s="187">
        <f>'Données projet'!D147</f>
        <v>47</v>
      </c>
      <c r="C154" s="204">
        <v>50</v>
      </c>
      <c r="D154" s="194">
        <f t="shared" si="10"/>
        <v>2350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69</v>
      </c>
      <c r="B155" s="187">
        <f>'Données projet'!D148</f>
        <v>328</v>
      </c>
      <c r="C155" s="206">
        <v>100</v>
      </c>
      <c r="D155" s="194">
        <f t="shared" si="10"/>
        <v>32800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>Châtaignier</v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10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15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20</v>
      </c>
      <c r="B180" s="193">
        <f>'Données projet'!D168</f>
        <v>90.7</v>
      </c>
      <c r="C180" s="204">
        <v>10</v>
      </c>
      <c r="D180" s="191">
        <f t="shared" si="11"/>
        <v>907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25</v>
      </c>
      <c r="B181" s="193">
        <f>'Données projet'!D169</f>
        <v>0</v>
      </c>
      <c r="C181" s="204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30</v>
      </c>
      <c r="B182" s="193">
        <f>'Données projet'!D170</f>
        <v>84</v>
      </c>
      <c r="C182" s="204">
        <v>15</v>
      </c>
      <c r="D182" s="191">
        <f t="shared" si="11"/>
        <v>1260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35</v>
      </c>
      <c r="B183" s="193">
        <f>'Données projet'!D171</f>
        <v>0</v>
      </c>
      <c r="C183" s="204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40</v>
      </c>
      <c r="B184" s="193">
        <f>'Données projet'!D172</f>
        <v>82.1</v>
      </c>
      <c r="C184" s="204">
        <v>20</v>
      </c>
      <c r="D184" s="191">
        <f t="shared" si="11"/>
        <v>1642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45</v>
      </c>
      <c r="B185" s="193">
        <f>'Données projet'!D173</f>
        <v>0</v>
      </c>
      <c r="C185" s="204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50</v>
      </c>
      <c r="B186" s="193">
        <f>'Données projet'!D174</f>
        <v>47.5</v>
      </c>
      <c r="C186" s="204">
        <v>30</v>
      </c>
      <c r="D186" s="191">
        <f t="shared" si="11"/>
        <v>1425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55</v>
      </c>
      <c r="B187" s="193">
        <f>'Données projet'!D175</f>
        <v>0</v>
      </c>
      <c r="C187" s="204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60</v>
      </c>
      <c r="B188" s="193">
        <f>'Données projet'!D176</f>
        <v>35.099999999999994</v>
      </c>
      <c r="C188" s="204">
        <v>40</v>
      </c>
      <c r="D188" s="191">
        <f t="shared" si="11"/>
        <v>1403.9999999999998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65</v>
      </c>
      <c r="B189" s="193">
        <f>'Données projet'!D177</f>
        <v>0</v>
      </c>
      <c r="C189" s="204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70</v>
      </c>
      <c r="B190" s="193">
        <f>'Données projet'!D178</f>
        <v>30.9</v>
      </c>
      <c r="C190" s="204">
        <v>50</v>
      </c>
      <c r="D190" s="191">
        <f t="shared" si="11"/>
        <v>1545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75</v>
      </c>
      <c r="B191" s="193">
        <f>'Données projet'!D179</f>
        <v>0</v>
      </c>
      <c r="C191" s="204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80</v>
      </c>
      <c r="B192" s="193">
        <f>'Données projet'!D180</f>
        <v>395.6</v>
      </c>
      <c r="C192" s="206">
        <v>100</v>
      </c>
      <c r="D192" s="191">
        <f t="shared" si="11"/>
        <v>39560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>Charme</v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15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20</v>
      </c>
      <c r="B210" s="193">
        <f>'Données projet'!D193</f>
        <v>28.846153846153847</v>
      </c>
      <c r="C210" s="206">
        <v>10</v>
      </c>
      <c r="D210" s="191">
        <f t="shared" ref="D210:D228" si="12">B210*C210</f>
        <v>288.46153846153845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25</v>
      </c>
      <c r="B211" s="193">
        <f>'Données projet'!D194</f>
        <v>0</v>
      </c>
      <c r="C211" s="204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30</v>
      </c>
      <c r="B212" s="193">
        <f>'Données projet'!D195</f>
        <v>33.974358974358971</v>
      </c>
      <c r="C212" s="204">
        <v>10</v>
      </c>
      <c r="D212" s="191">
        <f t="shared" si="12"/>
        <v>339.74358974358972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35</v>
      </c>
      <c r="B213" s="193">
        <f>'Données projet'!D196</f>
        <v>0</v>
      </c>
      <c r="C213" s="204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40</v>
      </c>
      <c r="B214" s="193">
        <f>'Données projet'!D197</f>
        <v>37.179487179487175</v>
      </c>
      <c r="C214" s="204">
        <v>10</v>
      </c>
      <c r="D214" s="191">
        <f t="shared" si="12"/>
        <v>371.79487179487177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45</v>
      </c>
      <c r="B215" s="193">
        <f>'Données projet'!D198</f>
        <v>0</v>
      </c>
      <c r="C215" s="204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50</v>
      </c>
      <c r="B216" s="193">
        <f>'Données projet'!D199</f>
        <v>37.179487179487175</v>
      </c>
      <c r="C216" s="204">
        <v>15</v>
      </c>
      <c r="D216" s="191">
        <f t="shared" si="12"/>
        <v>557.69230769230762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55</v>
      </c>
      <c r="B217" s="193">
        <f>'Données projet'!D200</f>
        <v>0</v>
      </c>
      <c r="C217" s="204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60</v>
      </c>
      <c r="B218" s="193">
        <f>'Données projet'!D201</f>
        <v>35.256410256410255</v>
      </c>
      <c r="C218" s="204">
        <v>20</v>
      </c>
      <c r="D218" s="191">
        <f t="shared" si="12"/>
        <v>705.12820512820508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65</v>
      </c>
      <c r="B219" s="193">
        <f>'Données projet'!D202</f>
        <v>0</v>
      </c>
      <c r="C219" s="204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70</v>
      </c>
      <c r="B220" s="193">
        <f>'Données projet'!D203</f>
        <v>33.974358974358971</v>
      </c>
      <c r="C220" s="204">
        <v>20</v>
      </c>
      <c r="D220" s="191">
        <f t="shared" si="12"/>
        <v>679.48717948717945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75</v>
      </c>
      <c r="B221" s="193">
        <f>'Données projet'!D204</f>
        <v>0</v>
      </c>
      <c r="C221" s="204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80</v>
      </c>
      <c r="B222" s="193">
        <f>'Données projet'!D205</f>
        <v>31.410256410256409</v>
      </c>
      <c r="C222" s="204">
        <v>25</v>
      </c>
      <c r="D222" s="191">
        <f t="shared" si="12"/>
        <v>785.25641025641016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85</v>
      </c>
      <c r="B223" s="193">
        <f>'Données projet'!D206</f>
        <v>0</v>
      </c>
      <c r="C223" s="204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90</v>
      </c>
      <c r="B224" s="193">
        <f>'Données projet'!D207</f>
        <v>30.128205128205128</v>
      </c>
      <c r="C224" s="206">
        <v>30</v>
      </c>
      <c r="D224" s="191">
        <f t="shared" si="12"/>
        <v>903.84615384615381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95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100</v>
      </c>
      <c r="B226" s="193">
        <f>'Données projet'!D209</f>
        <v>28.205128205128204</v>
      </c>
      <c r="C226" s="206">
        <v>35</v>
      </c>
      <c r="D226" s="191">
        <f t="shared" si="12"/>
        <v>987.17948717948718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110</v>
      </c>
      <c r="B227" s="193">
        <f>'Données projet'!D210</f>
        <v>26.282051282051281</v>
      </c>
      <c r="C227" s="206">
        <v>40</v>
      </c>
      <c r="D227" s="191">
        <f t="shared" si="12"/>
        <v>1051.2820512820513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120</v>
      </c>
      <c r="B228" s="193">
        <f>'Données projet'!D211</f>
        <v>300.64102564102564</v>
      </c>
      <c r="C228" s="206">
        <v>50</v>
      </c>
      <c r="D228" s="191">
        <f t="shared" si="12"/>
        <v>15032.051282051281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>Tilleul</v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10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15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20</v>
      </c>
      <c r="B242" s="193">
        <f>'Données projet'!D220</f>
        <v>39.102564102564102</v>
      </c>
      <c r="C242" s="204">
        <v>10</v>
      </c>
      <c r="D242" s="191">
        <f t="shared" si="13"/>
        <v>391.02564102564099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25</v>
      </c>
      <c r="B243" s="193">
        <f>'Données projet'!D221</f>
        <v>0</v>
      </c>
      <c r="C243" s="204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30</v>
      </c>
      <c r="B244" s="193">
        <f>'Données projet'!D222</f>
        <v>39.102564102564102</v>
      </c>
      <c r="C244" s="204">
        <v>10</v>
      </c>
      <c r="D244" s="191">
        <f t="shared" si="13"/>
        <v>391.02564102564099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35</v>
      </c>
      <c r="B245" s="193">
        <f>'Données projet'!D223</f>
        <v>0</v>
      </c>
      <c r="C245" s="204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40</v>
      </c>
      <c r="B246" s="193">
        <f>'Données projet'!D224</f>
        <v>39.743589743589745</v>
      </c>
      <c r="C246" s="204">
        <v>10</v>
      </c>
      <c r="D246" s="191">
        <f t="shared" si="13"/>
        <v>397.43589743589746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45</v>
      </c>
      <c r="B247" s="193">
        <f>'Données projet'!D225</f>
        <v>0</v>
      </c>
      <c r="C247" s="204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50</v>
      </c>
      <c r="B248" s="193">
        <f>'Données projet'!D226</f>
        <v>36.53846153846154</v>
      </c>
      <c r="C248" s="204">
        <v>15</v>
      </c>
      <c r="D248" s="191">
        <f t="shared" si="13"/>
        <v>548.07692307692309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55</v>
      </c>
      <c r="B249" s="193">
        <f>'Données projet'!D227</f>
        <v>0</v>
      </c>
      <c r="C249" s="204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60</v>
      </c>
      <c r="B250" s="193">
        <f>'Données projet'!D228</f>
        <v>35.256410256410255</v>
      </c>
      <c r="C250" s="204">
        <v>20</v>
      </c>
      <c r="D250" s="191">
        <f t="shared" si="13"/>
        <v>705.12820512820508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65</v>
      </c>
      <c r="B251" s="193">
        <f>'Données projet'!D229</f>
        <v>0</v>
      </c>
      <c r="C251" s="204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70</v>
      </c>
      <c r="B252" s="193">
        <f>'Données projet'!D230</f>
        <v>31.410256410256409</v>
      </c>
      <c r="C252" s="204">
        <v>30</v>
      </c>
      <c r="D252" s="191">
        <f t="shared" si="13"/>
        <v>942.30769230769226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75</v>
      </c>
      <c r="B253" s="193">
        <f>'Données projet'!D231</f>
        <v>0</v>
      </c>
      <c r="C253" s="204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80</v>
      </c>
      <c r="B254" s="193">
        <f>'Données projet'!D232</f>
        <v>28.846153846153847</v>
      </c>
      <c r="C254" s="204">
        <v>30</v>
      </c>
      <c r="D254" s="191">
        <f t="shared" si="13"/>
        <v>865.38461538461536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85</v>
      </c>
      <c r="B255" s="193">
        <f>'Données projet'!D233</f>
        <v>0</v>
      </c>
      <c r="C255" s="204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90</v>
      </c>
      <c r="B256" s="193">
        <f>'Données projet'!D234</f>
        <v>27.564102564102562</v>
      </c>
      <c r="C256" s="204">
        <v>40</v>
      </c>
      <c r="D256" s="191">
        <f t="shared" si="13"/>
        <v>1102.5641025641025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95</v>
      </c>
      <c r="B257" s="193">
        <f>'Données projet'!D235</f>
        <v>0</v>
      </c>
      <c r="C257" s="204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100</v>
      </c>
      <c r="B258" s="193">
        <f>'Données projet'!D236</f>
        <v>25</v>
      </c>
      <c r="C258" s="204">
        <v>40</v>
      </c>
      <c r="D258" s="191">
        <f t="shared" si="13"/>
        <v>1000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110</v>
      </c>
      <c r="B259" s="193">
        <f>'Données projet'!D237</f>
        <v>366.66666666666663</v>
      </c>
      <c r="C259" s="204">
        <v>60</v>
      </c>
      <c r="D259" s="191">
        <f t="shared" si="13"/>
        <v>21999.999999999996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>Alisier torminal</v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20</v>
      </c>
      <c r="B271" s="193">
        <f>'Données projet'!D244</f>
        <v>6</v>
      </c>
      <c r="C271" s="206">
        <v>10</v>
      </c>
      <c r="D271" s="191">
        <f>B271*C271</f>
        <v>60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25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30</v>
      </c>
      <c r="B273" s="193">
        <f>'Données projet'!D246</f>
        <v>56</v>
      </c>
      <c r="C273" s="206">
        <v>10</v>
      </c>
      <c r="D273" s="191">
        <f t="shared" si="14"/>
        <v>560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35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40</v>
      </c>
      <c r="B275" s="193">
        <f>'Données projet'!D248</f>
        <v>56</v>
      </c>
      <c r="C275" s="206">
        <v>15</v>
      </c>
      <c r="D275" s="191">
        <f t="shared" si="14"/>
        <v>840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45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50</v>
      </c>
      <c r="B277" s="193">
        <f>'Données projet'!D250</f>
        <v>56</v>
      </c>
      <c r="C277" s="206">
        <v>20</v>
      </c>
      <c r="D277" s="191">
        <f t="shared" si="14"/>
        <v>1120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55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60</v>
      </c>
      <c r="B279" s="193">
        <f>'Données projet'!D252</f>
        <v>56</v>
      </c>
      <c r="C279" s="206">
        <v>30</v>
      </c>
      <c r="D279" s="191">
        <f t="shared" si="14"/>
        <v>1680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65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70</v>
      </c>
      <c r="B281" s="193">
        <f>'Données projet'!D254</f>
        <v>56</v>
      </c>
      <c r="C281" s="206">
        <v>40</v>
      </c>
      <c r="D281" s="191">
        <f t="shared" si="14"/>
        <v>2240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75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80</v>
      </c>
      <c r="B283" s="193">
        <f>'Données projet'!D256</f>
        <v>56</v>
      </c>
      <c r="C283" s="206">
        <v>50</v>
      </c>
      <c r="D283" s="191">
        <f t="shared" si="14"/>
        <v>2800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90</v>
      </c>
      <c r="B284" s="193">
        <f>'Données projet'!D257</f>
        <v>56</v>
      </c>
      <c r="C284" s="206">
        <v>60</v>
      </c>
      <c r="D284" s="191">
        <f t="shared" si="14"/>
        <v>3360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100</v>
      </c>
      <c r="B285" s="193">
        <f>'Données projet'!D258</f>
        <v>55</v>
      </c>
      <c r="C285" s="206">
        <v>70</v>
      </c>
      <c r="D285" s="191">
        <f t="shared" si="14"/>
        <v>3850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110</v>
      </c>
      <c r="B286" s="193">
        <f>'Données projet'!D259</f>
        <v>51</v>
      </c>
      <c r="C286" s="206">
        <v>80</v>
      </c>
      <c r="D286" s="191">
        <f t="shared" si="14"/>
        <v>4080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120</v>
      </c>
      <c r="B287" s="193">
        <f>'Données projet'!D260</f>
        <v>47</v>
      </c>
      <c r="C287" s="206">
        <v>90</v>
      </c>
      <c r="D287" s="191">
        <f t="shared" si="14"/>
        <v>4230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135</v>
      </c>
      <c r="B288" s="193">
        <f>'Données projet'!D261</f>
        <v>65</v>
      </c>
      <c r="C288" s="206">
        <v>120</v>
      </c>
      <c r="D288" s="191">
        <f t="shared" si="14"/>
        <v>7800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150</v>
      </c>
      <c r="B289" s="193">
        <f>'Données projet'!D262</f>
        <v>355</v>
      </c>
      <c r="C289" s="206">
        <v>200</v>
      </c>
      <c r="D289" s="191">
        <f t="shared" si="14"/>
        <v>71000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Olivier GLEIZES (CNPF - C+FOR)</cp:lastModifiedBy>
  <dcterms:created xsi:type="dcterms:W3CDTF">2021-02-01T08:22:39Z</dcterms:created>
  <dcterms:modified xsi:type="dcterms:W3CDTF">2025-03-25T15:51:39Z</dcterms:modified>
</cp:coreProperties>
</file>