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Geoffroy.Rombaut\Desktop\Cadre de travail\Les projets\Mission accomplie\CNPF C+for n° 211 Adriers (easyJet n° 14)\"/>
    </mc:Choice>
  </mc:AlternateContent>
  <bookViews>
    <workbookView xWindow="0" yWindow="0" windowWidth="11748" windowHeight="5316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4" i="1" l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D185" i="1" l="1"/>
  <c r="B185" i="1"/>
  <c r="D184" i="1"/>
  <c r="B184" i="1"/>
  <c r="D183" i="1"/>
  <c r="B183" i="1"/>
  <c r="D182" i="1"/>
  <c r="B182" i="1"/>
  <c r="D181" i="1"/>
  <c r="B181" i="1"/>
  <c r="B180" i="1"/>
  <c r="D179" i="1"/>
  <c r="B179" i="1"/>
  <c r="B178" i="1"/>
  <c r="D177" i="1"/>
  <c r="B177" i="1"/>
  <c r="B176" i="1"/>
  <c r="D175" i="1"/>
  <c r="B175" i="1"/>
  <c r="B174" i="1"/>
  <c r="D173" i="1"/>
  <c r="B173" i="1"/>
  <c r="B172" i="1"/>
  <c r="D171" i="1"/>
  <c r="B171" i="1"/>
  <c r="B170" i="1"/>
  <c r="D169" i="1"/>
  <c r="B169" i="1"/>
  <c r="B168" i="1"/>
  <c r="B167" i="1"/>
  <c r="B166" i="1"/>
  <c r="D207" i="1"/>
  <c r="B207" i="1"/>
  <c r="D206" i="1"/>
  <c r="B206" i="1"/>
  <c r="B205" i="1"/>
  <c r="D204" i="1"/>
  <c r="B204" i="1"/>
  <c r="B203" i="1"/>
  <c r="D202" i="1"/>
  <c r="B202" i="1"/>
  <c r="B201" i="1"/>
  <c r="D200" i="1"/>
  <c r="B200" i="1"/>
  <c r="B199" i="1"/>
  <c r="D198" i="1"/>
  <c r="B198" i="1"/>
  <c r="B197" i="1"/>
  <c r="D196" i="1"/>
  <c r="B196" i="1"/>
  <c r="B195" i="1"/>
  <c r="D194" i="1"/>
  <c r="B194" i="1"/>
  <c r="B193" i="1"/>
  <c r="B192" i="1"/>
  <c r="B237" i="1"/>
  <c r="D237" i="1" s="1"/>
  <c r="B236" i="1"/>
  <c r="D235" i="1"/>
  <c r="B235" i="1"/>
  <c r="B234" i="1"/>
  <c r="D233" i="1"/>
  <c r="B233" i="1"/>
  <c r="B232" i="1"/>
  <c r="D231" i="1"/>
  <c r="B231" i="1"/>
  <c r="B230" i="1"/>
  <c r="D229" i="1"/>
  <c r="B229" i="1"/>
  <c r="B228" i="1"/>
  <c r="D227" i="1"/>
  <c r="B227" i="1"/>
  <c r="B226" i="1"/>
  <c r="D225" i="1"/>
  <c r="B225" i="1"/>
  <c r="B224" i="1"/>
  <c r="D223" i="1"/>
  <c r="B223" i="1"/>
  <c r="B222" i="1"/>
  <c r="D221" i="1"/>
  <c r="B221" i="1"/>
  <c r="B220" i="1"/>
  <c r="B219" i="1"/>
  <c r="B218" i="1"/>
  <c r="B94" i="1" l="1"/>
  <c r="D94" i="1" s="1"/>
  <c r="D93" i="1"/>
  <c r="B93" i="1"/>
  <c r="D92" i="1"/>
  <c r="B92" i="1"/>
  <c r="D91" i="1"/>
  <c r="B91" i="1"/>
  <c r="D90" i="1"/>
  <c r="B90" i="1"/>
  <c r="D89" i="1"/>
  <c r="B89" i="1"/>
  <c r="D88" i="1"/>
  <c r="B88" i="1"/>
  <c r="B147" i="1" l="1"/>
  <c r="D146" i="1"/>
  <c r="B146" i="1"/>
  <c r="B145" i="1"/>
  <c r="D144" i="1"/>
  <c r="B144" i="1"/>
  <c r="B143" i="1"/>
  <c r="D142" i="1"/>
  <c r="B142" i="1"/>
  <c r="B141" i="1"/>
  <c r="B69" i="1"/>
  <c r="D68" i="1"/>
  <c r="B68" i="1"/>
  <c r="B67" i="1"/>
  <c r="D66" i="1"/>
  <c r="B66" i="1"/>
  <c r="B65" i="1"/>
  <c r="D64" i="1"/>
  <c r="B64" i="1"/>
  <c r="B6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HI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HG10" i="2"/>
  <c r="HH10" i="2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W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G14" i="2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FS18" i="2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HG20" i="2"/>
  <c r="HH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V21" i="2"/>
  <c r="HI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W22" i="2"/>
  <c r="EB22" i="2"/>
  <c r="HG22" i="2"/>
  <c r="EC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FR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HI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HI28" i="2"/>
  <c r="FS28" i="2"/>
  <c r="HG28" i="2"/>
  <c r="EC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H33" i="2" l="1"/>
  <c r="EA33" i="2"/>
  <c r="HG33" i="2"/>
  <c r="EW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Q35" i="2"/>
  <c r="EB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G38" i="2"/>
  <c r="FS38" i="2"/>
  <c r="EA38" i="2"/>
  <c r="HI38" i="2"/>
  <c r="HH38" i="2"/>
  <c r="EX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V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HI43" i="2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G44" i="2" l="1"/>
  <c r="HH44" i="2"/>
  <c r="FS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HI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HI48" i="2"/>
  <c r="HH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HI50" i="2"/>
  <c r="HG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EX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FS57" i="2"/>
  <c r="HI57" i="2"/>
  <c r="HH57" i="2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HG60" i="2"/>
  <c r="HI60" i="2"/>
  <c r="EW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A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C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A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W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B78" i="2"/>
  <c r="HI78" i="2"/>
  <c r="EV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HG85" i="2"/>
  <c r="HI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V105" i="2"/>
  <c r="EA105" i="2"/>
  <c r="FS105" i="2"/>
  <c r="EB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FQ112" i="2"/>
  <c r="EX112" i="2"/>
  <c r="EB112" i="2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B113" i="2"/>
  <c r="EX113" i="2"/>
  <c r="EC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G114" i="2" l="1"/>
  <c r="EW114" i="2"/>
  <c r="HH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C116" i="2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HH118" i="2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HI120" i="2"/>
  <c r="HH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FR121" i="2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W124" i="2"/>
  <c r="FS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FS130" i="2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I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V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HH139" i="2"/>
  <c r="EA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H140" i="2"/>
  <c r="EC140" i="2"/>
  <c r="HG140" i="2"/>
  <c r="FR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B141" i="2"/>
  <c r="HG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EB144" i="2"/>
  <c r="EA144" i="2"/>
  <c r="HG144" i="2"/>
  <c r="FR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EA145" i="2"/>
  <c r="FR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G146" i="2"/>
  <c r="HH146" i="2"/>
  <c r="FR146" i="2"/>
  <c r="EA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HG149" i="2"/>
  <c r="EX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G150" i="2" l="1"/>
  <c r="EC150" i="2"/>
  <c r="HI150" i="2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EX154" i="2"/>
  <c r="AA154" i="2"/>
  <c r="EV154" i="2"/>
  <c r="EC154" i="2"/>
  <c r="EA154" i="2"/>
  <c r="FS154" i="2"/>
  <c r="HI154" i="2"/>
  <c r="HJ154" i="2" s="1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HH155" i="2"/>
  <c r="HG155" i="2"/>
  <c r="EX155" i="2"/>
  <c r="DI154" i="2"/>
  <c r="AC154" i="2"/>
  <c r="EW155" i="2"/>
  <c r="EA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Y155" i="2" l="1"/>
  <c r="HG156" i="2"/>
  <c r="HH156" i="2"/>
  <c r="EX156" i="2"/>
  <c r="ED155" i="2"/>
  <c r="EB156" i="2"/>
  <c r="HI156" i="2"/>
  <c r="FS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HG157" i="2" l="1"/>
  <c r="EX157" i="2"/>
  <c r="CN156" i="2"/>
  <c r="HH157" i="2"/>
  <c r="EB157" i="2"/>
  <c r="EC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HH158" i="2" l="1"/>
  <c r="EC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HI159" i="2"/>
  <c r="EA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HI160" i="2"/>
  <c r="FS160" i="2"/>
  <c r="EY159" i="2"/>
  <c r="EC160" i="2"/>
  <c r="HG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FS161" i="2" l="1"/>
  <c r="HH161" i="2"/>
  <c r="ED160" i="2"/>
  <c r="HG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HG162" i="2"/>
  <c r="HH162" i="2"/>
  <c r="EB162" i="2"/>
  <c r="EW162" i="2"/>
  <c r="EY161" i="2"/>
  <c r="EC162" i="2"/>
  <c r="DI161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G163" i="2" l="1"/>
  <c r="HI163" i="2"/>
  <c r="EY162" i="2"/>
  <c r="EB163" i="2"/>
  <c r="ED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DI163" i="2" l="1"/>
  <c r="EA164" i="2"/>
  <c r="ED163" i="2"/>
  <c r="HH164" i="2"/>
  <c r="HG164" i="2"/>
  <c r="EY163" i="2"/>
  <c r="FR164" i="2"/>
  <c r="FS164" i="2"/>
  <c r="EX164" i="2"/>
  <c r="EV164" i="2"/>
  <c r="D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G165" i="2" l="1"/>
  <c r="EA165" i="2"/>
  <c r="HH165" i="2"/>
  <c r="EB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HG166" i="2"/>
  <c r="CN165" i="2"/>
  <c r="ED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J166" i="2" l="1"/>
  <c r="HI167" i="2"/>
  <c r="EY166" i="2"/>
  <c r="EC167" i="2"/>
  <c r="HH167" i="2"/>
  <c r="FR167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HI168" i="2"/>
  <c r="HH168" i="2"/>
  <c r="EB168" i="2"/>
  <c r="EV168" i="2"/>
  <c r="EW168" i="2"/>
  <c r="DG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Y168" i="2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A172" i="2"/>
  <c r="HG172" i="2"/>
  <c r="EY171" i="2"/>
  <c r="HI172" i="2"/>
  <c r="EV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W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Y173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EW175" i="2"/>
  <c r="AA175" i="2"/>
  <c r="EA175" i="2"/>
  <c r="HI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EC177" i="2"/>
  <c r="FQ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HH178" i="2"/>
  <c r="FQ178" i="2"/>
  <c r="EW178" i="2"/>
  <c r="ED177" i="2"/>
  <c r="HG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D178" i="2"/>
  <c r="HG179" i="2"/>
  <c r="EB179" i="2"/>
  <c r="EA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HG180" i="2"/>
  <c r="HI180" i="2"/>
  <c r="EY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D180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FS183" i="2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EY183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HH185" i="2"/>
  <c r="HG185" i="2"/>
  <c r="EW185" i="2"/>
  <c r="EV185" i="2"/>
  <c r="EA185" i="2"/>
  <c r="EB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HH186" i="2"/>
  <c r="EW186" i="2"/>
  <c r="EA186" i="2"/>
  <c r="ED185" i="2"/>
  <c r="EB186" i="2"/>
  <c r="FS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EY186" i="2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Y188" i="2"/>
  <c r="EV189" i="2"/>
  <c r="EB189" i="2"/>
  <c r="EC189" i="2"/>
  <c r="FS189" i="2"/>
  <c r="HI189" i="2"/>
  <c r="HJ189" i="2" s="1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G190" i="2" l="1"/>
  <c r="EY189" i="2"/>
  <c r="EB190" i="2"/>
  <c r="ED189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HG191" i="2"/>
  <c r="EW191" i="2"/>
  <c r="ED190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W192" i="2" l="1"/>
  <c r="EY191" i="2"/>
  <c r="HH192" i="2"/>
  <c r="HI192" i="2"/>
  <c r="EC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EB193" i="2"/>
  <c r="HI193" i="2"/>
  <c r="EA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HI194" i="2"/>
  <c r="EB194" i="2"/>
  <c r="EA194" i="2"/>
  <c r="FQ194" i="2"/>
  <c r="HG194" i="2"/>
  <c r="CN193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A195" i="2"/>
  <c r="HG195" i="2"/>
  <c r="HI195" i="2"/>
  <c r="FQ195" i="2"/>
  <c r="EB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EY195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HG197" i="2"/>
  <c r="HH197" i="2"/>
  <c r="EW197" i="2"/>
  <c r="EY196" i="2"/>
  <c r="FS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W198" i="2" l="1"/>
  <c r="HI198" i="2"/>
  <c r="ED197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EB199" i="2"/>
  <c r="HH199" i="2"/>
  <c r="EY198" i="2"/>
  <c r="HG199" i="2"/>
  <c r="FS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J199" i="2" l="1"/>
  <c r="EW200" i="2"/>
  <c r="EX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HJ200" i="2"/>
  <c r="DI200" i="2"/>
  <c r="HH201" i="2"/>
  <c r="HG201" i="2"/>
  <c r="FS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Z6" i="2" l="1"/>
  <c r="HH202" i="2"/>
  <c r="HG202" i="2"/>
  <c r="FR202" i="2"/>
  <c r="EX202" i="2"/>
  <c r="ED201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HG203" i="2"/>
  <c r="HH203" i="2"/>
  <c r="FY54" i="2" a="1"/>
  <c r="FY54" i="2" s="1"/>
  <c r="FY109" i="2" a="1"/>
  <c r="FY109" i="2" s="1"/>
  <c r="FY79" i="2" a="1"/>
  <c r="FY79" i="2" s="1"/>
  <c r="FY47" i="2" a="1"/>
  <c r="FY47" i="2" s="1"/>
  <c r="FY22" i="2" a="1"/>
  <c r="FY22" i="2" s="1"/>
  <c r="FY90" i="2" a="1"/>
  <c r="FY90" i="2" s="1"/>
  <c r="FY57" i="2" a="1"/>
  <c r="FY57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CY24" i="2" l="1"/>
  <c r="CY195" i="2"/>
  <c r="CY63" i="2"/>
  <c r="CY176" i="2"/>
  <c r="CY197" i="2"/>
  <c r="CY135" i="2"/>
  <c r="CY19" i="2"/>
  <c r="CY109" i="2"/>
  <c r="CY7" i="2"/>
  <c r="CY99" i="2"/>
  <c r="CY93" i="2"/>
  <c r="CY69" i="2"/>
  <c r="CY154" i="2"/>
  <c r="CY110" i="2"/>
  <c r="CY18" i="2"/>
  <c r="CY38" i="2"/>
  <c r="CY121" i="2"/>
  <c r="CY12" i="2"/>
  <c r="CY184" i="2"/>
  <c r="CY66" i="2"/>
  <c r="CY10" i="2"/>
  <c r="CY68" i="2"/>
  <c r="CY45" i="2"/>
  <c r="CY115" i="2"/>
  <c r="CY194" i="2"/>
  <c r="CY15" i="2"/>
  <c r="CY169" i="2"/>
  <c r="CY101" i="2"/>
  <c r="CY202" i="2"/>
  <c r="CY193" i="2"/>
  <c r="CY117" i="2"/>
  <c r="CY17" i="2"/>
  <c r="CY137" i="2"/>
  <c r="CY198" i="2"/>
  <c r="CY40" i="2"/>
  <c r="CY139" i="2"/>
  <c r="CY164" i="2"/>
  <c r="CY190" i="2"/>
  <c r="CY67" i="2"/>
  <c r="CY189" i="2"/>
  <c r="CY14" i="2"/>
  <c r="CY57" i="2"/>
  <c r="CY61" i="2"/>
  <c r="CY149" i="2"/>
  <c r="CY43" i="2"/>
  <c r="CY92" i="2"/>
  <c r="CY108" i="2"/>
  <c r="CY158" i="2"/>
  <c r="CY23" i="2"/>
  <c r="CY170" i="2"/>
  <c r="CY171" i="2"/>
  <c r="CY72" i="2"/>
  <c r="CY126" i="2"/>
  <c r="CY145" i="2"/>
  <c r="CY91" i="2"/>
  <c r="CY192" i="2"/>
  <c r="CY94" i="2"/>
  <c r="CY102" i="2"/>
  <c r="CY9" i="2"/>
  <c r="CY60" i="2"/>
  <c r="CY123" i="2"/>
  <c r="CY6" i="2"/>
  <c r="CY54" i="2"/>
  <c r="CY97" i="2"/>
  <c r="CY37" i="2"/>
  <c r="CY103" i="2"/>
  <c r="CY161" i="2"/>
  <c r="CY113" i="2"/>
  <c r="CY191" i="2"/>
  <c r="CY81" i="2"/>
  <c r="CY131" i="2"/>
  <c r="CY84" i="2"/>
  <c r="CY52" i="2"/>
  <c r="CY167" i="2"/>
  <c r="CY75" i="2"/>
  <c r="CY203" i="2"/>
  <c r="CY4" i="2"/>
  <c r="CY65" i="2"/>
  <c r="CY35" i="2"/>
  <c r="CY188" i="2"/>
  <c r="CY16" i="2"/>
  <c r="CY200" i="2"/>
  <c r="CY150" i="2"/>
  <c r="CY129" i="2"/>
  <c r="CY127" i="2"/>
  <c r="CY125" i="2"/>
  <c r="CY70" i="2"/>
  <c r="CY22" i="2"/>
  <c r="CY147" i="2"/>
  <c r="CY199" i="2"/>
  <c r="CY183" i="2"/>
  <c r="CY143" i="2"/>
  <c r="CY80" i="2"/>
  <c r="CY76" i="2"/>
  <c r="CY95" i="2"/>
  <c r="CY201" i="2"/>
  <c r="CY140" i="2"/>
  <c r="CY162" i="2"/>
  <c r="CY26" i="2"/>
  <c r="CY34" i="2"/>
  <c r="CY177" i="2"/>
  <c r="CY50" i="2"/>
  <c r="CY96" i="2"/>
  <c r="CY141" i="2"/>
  <c r="CY118" i="2"/>
  <c r="CY166" i="2"/>
  <c r="CY78" i="2"/>
  <c r="CY119" i="2"/>
  <c r="CY175" i="2"/>
  <c r="CY120" i="2"/>
  <c r="CY56" i="2"/>
  <c r="CY106" i="2"/>
  <c r="CY178" i="2"/>
  <c r="CY30" i="2"/>
  <c r="CY86" i="2"/>
  <c r="CY41" i="2"/>
  <c r="CY168" i="2"/>
  <c r="CY114" i="2"/>
  <c r="CY82" i="2"/>
  <c r="CY46" i="2"/>
  <c r="CY136" i="2"/>
  <c r="CY152" i="2"/>
  <c r="CY33" i="2"/>
  <c r="CY105" i="2"/>
  <c r="CY51" i="2"/>
  <c r="CY160" i="2"/>
  <c r="CY28" i="2"/>
  <c r="CY47" i="2"/>
  <c r="CY100" i="2"/>
  <c r="CY151" i="2"/>
  <c r="CY181" i="2"/>
  <c r="CY90" i="2"/>
  <c r="CY58" i="2"/>
  <c r="CY142" i="2"/>
  <c r="CY186" i="2"/>
  <c r="CY85" i="2"/>
  <c r="CY36" i="2"/>
  <c r="CY159" i="2"/>
  <c r="CY74" i="2"/>
  <c r="CY157" i="2"/>
  <c r="CY29" i="2"/>
  <c r="CY64" i="2"/>
  <c r="CY182" i="2"/>
  <c r="CY3" i="2"/>
  <c r="C10" i="4" s="1"/>
  <c r="E10" i="4" s="1"/>
  <c r="F10" i="4" s="1"/>
  <c r="G10" i="4" s="1"/>
  <c r="L10" i="4" s="1"/>
  <c r="CY132" i="2"/>
  <c r="CY187" i="2"/>
  <c r="CY180" i="2"/>
  <c r="CY13" i="2"/>
  <c r="CY156" i="2"/>
  <c r="CY44" i="2"/>
  <c r="CY49" i="2"/>
  <c r="CY11" i="2"/>
  <c r="CY144" i="2"/>
  <c r="CY8" i="2"/>
  <c r="CY27" i="2"/>
  <c r="CY165" i="2"/>
  <c r="CY21" i="2"/>
  <c r="CY32" i="2"/>
  <c r="CY163" i="2"/>
  <c r="CY128" i="2"/>
  <c r="CY133" i="2"/>
  <c r="CY48" i="2"/>
  <c r="CY77" i="2"/>
  <c r="CY20" i="2"/>
  <c r="CY185" i="2"/>
  <c r="CY83" i="2"/>
  <c r="CY196" i="2"/>
  <c r="CY62" i="2"/>
  <c r="CY104" i="2"/>
  <c r="CY130" i="2"/>
  <c r="CY73" i="2"/>
  <c r="CY42" i="2"/>
  <c r="CY122" i="2"/>
  <c r="CY173" i="2"/>
  <c r="CY146" i="2"/>
  <c r="CY89" i="2"/>
  <c r="CY53" i="2"/>
  <c r="CY172" i="2"/>
  <c r="CY107" i="2"/>
  <c r="CY148" i="2"/>
  <c r="CY79" i="2"/>
  <c r="CY179" i="2"/>
  <c r="CY55" i="2"/>
  <c r="CY5" i="2"/>
  <c r="CY25" i="2"/>
  <c r="CY124" i="2"/>
  <c r="CY116" i="2"/>
  <c r="CY71" i="2"/>
  <c r="CY111" i="2"/>
  <c r="CY31" i="2"/>
  <c r="CY59" i="2"/>
  <c r="CY155" i="2"/>
  <c r="CY112" i="2"/>
  <c r="CY174" i="2"/>
  <c r="CY134" i="2"/>
  <c r="CY87" i="2"/>
  <c r="CY153" i="2"/>
  <c r="CY98" i="2"/>
  <c r="CY88" i="2"/>
  <c r="CY39" i="2"/>
  <c r="CY138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CD82" i="2" l="1"/>
  <c r="CD68" i="2"/>
  <c r="CD43" i="2"/>
  <c r="CD147" i="2"/>
  <c r="CD100" i="2"/>
  <c r="CD186" i="2"/>
  <c r="CD63" i="2"/>
  <c r="CD104" i="2"/>
  <c r="CD129" i="2"/>
  <c r="CD58" i="2"/>
  <c r="CD29" i="2"/>
  <c r="CD159" i="2"/>
  <c r="CD175" i="2"/>
  <c r="CD40" i="2"/>
  <c r="CD30" i="2"/>
  <c r="CD168" i="2"/>
  <c r="CD143" i="2"/>
  <c r="CD71" i="2"/>
  <c r="CD178" i="2"/>
  <c r="CD162" i="2"/>
  <c r="CD135" i="2"/>
  <c r="CD145" i="2"/>
  <c r="CD198" i="2"/>
  <c r="CD154" i="2"/>
  <c r="CD31" i="2"/>
  <c r="CD163" i="2"/>
  <c r="CD152" i="2"/>
  <c r="CD96" i="2"/>
  <c r="CD37" i="2"/>
  <c r="CD18" i="2"/>
  <c r="CD128" i="2"/>
  <c r="CD3" i="2"/>
  <c r="C9" i="4" s="1"/>
  <c r="E9" i="4" s="1"/>
  <c r="F9" i="4" s="1"/>
  <c r="G9" i="4" s="1"/>
  <c r="L9" i="4" s="1"/>
  <c r="CD61" i="2"/>
  <c r="CD6" i="2"/>
  <c r="CD161" i="2"/>
  <c r="CD102" i="2"/>
  <c r="CD203" i="2"/>
  <c r="CD26" i="2"/>
  <c r="CD149" i="2"/>
  <c r="CD17" i="2"/>
  <c r="CD107" i="2"/>
  <c r="CD60" i="2"/>
  <c r="CD92" i="2"/>
  <c r="CD113" i="2"/>
  <c r="CD14" i="2"/>
  <c r="CD5" i="2"/>
  <c r="CD83" i="2"/>
  <c r="CD76" i="2"/>
  <c r="CD72" i="2"/>
  <c r="CD35" i="2"/>
  <c r="CD33" i="2"/>
  <c r="CD65" i="2"/>
  <c r="CD111" i="2"/>
  <c r="CD93" i="2"/>
  <c r="CD191" i="2"/>
  <c r="CD99" i="2"/>
  <c r="CD202" i="2"/>
  <c r="CD140" i="2"/>
  <c r="CD85" i="2"/>
  <c r="CD189" i="2"/>
  <c r="CD119" i="2"/>
  <c r="CD94" i="2"/>
  <c r="CD86" i="2"/>
  <c r="CD190" i="2"/>
  <c r="CD167" i="2"/>
  <c r="CD173" i="2"/>
  <c r="CD171" i="2"/>
  <c r="CD114" i="2"/>
  <c r="CD42" i="2"/>
  <c r="CD121" i="2"/>
  <c r="CD59" i="2"/>
  <c r="CD10" i="2"/>
  <c r="CD16" i="2"/>
  <c r="CD8" i="2"/>
  <c r="CD116" i="2"/>
  <c r="CD170" i="2"/>
  <c r="CD75" i="2"/>
  <c r="CD120" i="2"/>
  <c r="CD41" i="2"/>
  <c r="CD126" i="2"/>
  <c r="CD157" i="2"/>
  <c r="CD20" i="2"/>
  <c r="CD148" i="2"/>
  <c r="CD103" i="2"/>
  <c r="CD7" i="2"/>
  <c r="CD137" i="2"/>
  <c r="CD49" i="2"/>
  <c r="CD15" i="2"/>
  <c r="CD164" i="2"/>
  <c r="CD195" i="2"/>
  <c r="CD155" i="2"/>
  <c r="CD141" i="2"/>
  <c r="CD36" i="2"/>
  <c r="CD73" i="2"/>
  <c r="CD9" i="2"/>
  <c r="CD53" i="2"/>
  <c r="CD66" i="2"/>
  <c r="CD12" i="2"/>
  <c r="CD62" i="2"/>
  <c r="CD115" i="2"/>
  <c r="CD78" i="2"/>
  <c r="CD38" i="2"/>
  <c r="CD64" i="2"/>
  <c r="CD90" i="2"/>
  <c r="CD118" i="2"/>
  <c r="CD150" i="2"/>
  <c r="CD127" i="2"/>
  <c r="CD105" i="2"/>
  <c r="CD45" i="2"/>
  <c r="CD136" i="2"/>
  <c r="CD110" i="2"/>
  <c r="CD67" i="2"/>
  <c r="CD166" i="2"/>
  <c r="CD169" i="2"/>
  <c r="CD32" i="2"/>
  <c r="CD70" i="2"/>
  <c r="CD23" i="2"/>
  <c r="CD97" i="2"/>
  <c r="CD87" i="2"/>
  <c r="CD13" i="2"/>
  <c r="CD174" i="2"/>
  <c r="CD39" i="2"/>
  <c r="CD172" i="2"/>
  <c r="CD183" i="2"/>
  <c r="CD95" i="2"/>
  <c r="CD74" i="2"/>
  <c r="CD153" i="2"/>
  <c r="CD179" i="2"/>
  <c r="CD88" i="2"/>
  <c r="CD11" i="2"/>
  <c r="CD132" i="2"/>
  <c r="CD55" i="2"/>
  <c r="CD21" i="2"/>
  <c r="CD188" i="2"/>
  <c r="CD77" i="2"/>
  <c r="CD165" i="2"/>
  <c r="CD146" i="2"/>
  <c r="CD151" i="2"/>
  <c r="CD142" i="2"/>
  <c r="CD19" i="2"/>
  <c r="CD56" i="2"/>
  <c r="CD144" i="2"/>
  <c r="CD48" i="2"/>
  <c r="CD50" i="2"/>
  <c r="CD46" i="2"/>
  <c r="CD139" i="2"/>
  <c r="CD101" i="2"/>
  <c r="CD200" i="2"/>
  <c r="CD123" i="2"/>
  <c r="CD52" i="2"/>
  <c r="CD89" i="2"/>
  <c r="CD124" i="2"/>
  <c r="CD156" i="2"/>
  <c r="CD79" i="2"/>
  <c r="CD112" i="2"/>
  <c r="CD201" i="2"/>
  <c r="CD106" i="2"/>
  <c r="CD57" i="2"/>
  <c r="CD184" i="2"/>
  <c r="CD130" i="2"/>
  <c r="CD138" i="2"/>
  <c r="CD91" i="2"/>
  <c r="CD25" i="2"/>
  <c r="CD109" i="2"/>
  <c r="CD24" i="2"/>
  <c r="CD192" i="2"/>
  <c r="CD81" i="2"/>
  <c r="CD133" i="2"/>
  <c r="CD182" i="2"/>
  <c r="CD34" i="2"/>
  <c r="CD80" i="2"/>
  <c r="CD28" i="2"/>
  <c r="CD131" i="2"/>
  <c r="CD134" i="2"/>
  <c r="CD22" i="2"/>
  <c r="CD44" i="2"/>
  <c r="CD69" i="2"/>
  <c r="CD84" i="2"/>
  <c r="CD194" i="2"/>
  <c r="CD176" i="2"/>
  <c r="CD177" i="2"/>
  <c r="CD51" i="2"/>
  <c r="CD158" i="2"/>
  <c r="CD196" i="2"/>
  <c r="CD108" i="2"/>
  <c r="CD160" i="2"/>
  <c r="CD187" i="2"/>
  <c r="CD199" i="2"/>
  <c r="CD54" i="2"/>
  <c r="CD4" i="2"/>
  <c r="CD125" i="2"/>
  <c r="CD27" i="2"/>
  <c r="CD193" i="2"/>
  <c r="CD180" i="2"/>
  <c r="CD181" i="2"/>
  <c r="CD197" i="2"/>
  <c r="CD117" i="2"/>
  <c r="CD47" i="2"/>
  <c r="CD185" i="2"/>
  <c r="CD122" i="2"/>
  <c r="CD98" i="2"/>
  <c r="FE136" i="2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36" i="2"/>
  <c r="BI152" i="2"/>
  <c r="BI190" i="2"/>
  <c r="BI200" i="2"/>
  <c r="BI42" i="2"/>
  <c r="BI125" i="2"/>
  <c r="BI97" i="2"/>
  <c r="BI202" i="2"/>
  <c r="BI133" i="2"/>
  <c r="BI126" i="2"/>
  <c r="BI5" i="2"/>
  <c r="BI90" i="2"/>
  <c r="BI82" i="2"/>
  <c r="BI196" i="2"/>
  <c r="BI62" i="2"/>
  <c r="BI198" i="2"/>
  <c r="BI9" i="2"/>
  <c r="BI111" i="2"/>
  <c r="BI195" i="2"/>
  <c r="BI189" i="2"/>
  <c r="BI72" i="2"/>
  <c r="BI132" i="2"/>
  <c r="BI108" i="2"/>
  <c r="BI23" i="2"/>
  <c r="BI105" i="2"/>
  <c r="BI167" i="2"/>
  <c r="BI88" i="2"/>
  <c r="BI63" i="2"/>
  <c r="BI20" i="2"/>
  <c r="BI118" i="2"/>
  <c r="BI135" i="2"/>
  <c r="BI87" i="2"/>
  <c r="BI177" i="2"/>
  <c r="BI34" i="2"/>
  <c r="BI60" i="2"/>
  <c r="BI55" i="2"/>
  <c r="BI85" i="2"/>
  <c r="BI29" i="2"/>
  <c r="BI58" i="2"/>
  <c r="BI154" i="2"/>
  <c r="BI37" i="2"/>
  <c r="BI54" i="2"/>
  <c r="BI144" i="2"/>
  <c r="BI153" i="2"/>
  <c r="BI13" i="2"/>
  <c r="BI116" i="2"/>
  <c r="BI160" i="2"/>
  <c r="BI106" i="2"/>
  <c r="BI89" i="2"/>
  <c r="BI174" i="2"/>
  <c r="BI65" i="2"/>
  <c r="BI176" i="2"/>
  <c r="BI52" i="2"/>
  <c r="BI17" i="2"/>
  <c r="BI187" i="2"/>
  <c r="BI27" i="2"/>
  <c r="BI66" i="2"/>
  <c r="BI40" i="2"/>
  <c r="BI124" i="2"/>
  <c r="BI31" i="2"/>
  <c r="BI123" i="2"/>
  <c r="BI101" i="2"/>
  <c r="BI32" i="2"/>
  <c r="BI127" i="2"/>
  <c r="BI162" i="2"/>
  <c r="BI45" i="2"/>
  <c r="BI158" i="2"/>
  <c r="BI157" i="2"/>
  <c r="BI185" i="2"/>
  <c r="BI77" i="2"/>
  <c r="BI75" i="2"/>
  <c r="BI12" i="2"/>
  <c r="BI173" i="2"/>
  <c r="BI98" i="2"/>
  <c r="BI16" i="2"/>
  <c r="BI139" i="2"/>
  <c r="BI137" i="2"/>
  <c r="BI70" i="2"/>
  <c r="BI120" i="2"/>
  <c r="BI110" i="2"/>
  <c r="BI192" i="2"/>
  <c r="BI79" i="2"/>
  <c r="BI73" i="2"/>
  <c r="BI69" i="2"/>
  <c r="BI109" i="2"/>
  <c r="BI147" i="2"/>
  <c r="BI84" i="2"/>
  <c r="BI188" i="2"/>
  <c r="BI44" i="2"/>
  <c r="BI134" i="2"/>
  <c r="BI178" i="2"/>
  <c r="BI170" i="2"/>
  <c r="BI164" i="2"/>
  <c r="BI11" i="2"/>
  <c r="BI163" i="2"/>
  <c r="BI115" i="2"/>
  <c r="BI33" i="2"/>
  <c r="BI64" i="2"/>
  <c r="BI100" i="2"/>
  <c r="BI155" i="2"/>
  <c r="BI78" i="2"/>
  <c r="BI193" i="2"/>
  <c r="BI179" i="2"/>
  <c r="BI38" i="2"/>
  <c r="BI49" i="2"/>
  <c r="BI99" i="2"/>
  <c r="BI91" i="2"/>
  <c r="BI25" i="2"/>
  <c r="BI103" i="2"/>
  <c r="BI35" i="2"/>
  <c r="BI172" i="2"/>
  <c r="BI168" i="2"/>
  <c r="BI95" i="2"/>
  <c r="BI159" i="2"/>
  <c r="BI59" i="2"/>
  <c r="BI180" i="2"/>
  <c r="BI107" i="2"/>
  <c r="BI145" i="2"/>
  <c r="BI24" i="2"/>
  <c r="BI138" i="2"/>
  <c r="BI181" i="2"/>
  <c r="BI122" i="2"/>
  <c r="BI146" i="2"/>
  <c r="BI56" i="2"/>
  <c r="BI71" i="2"/>
  <c r="BI186" i="2"/>
  <c r="BI92" i="2"/>
  <c r="BI169" i="2"/>
  <c r="BI81" i="2"/>
  <c r="BI7" i="2"/>
  <c r="BI182" i="2"/>
  <c r="BI149" i="2"/>
  <c r="BI10" i="2"/>
  <c r="BI128" i="2"/>
  <c r="BI15" i="2"/>
  <c r="BI184" i="2"/>
  <c r="BI112" i="2"/>
  <c r="BI142" i="2"/>
  <c r="BI119" i="2"/>
  <c r="BI150" i="2"/>
  <c r="BI19" i="2"/>
  <c r="BI86" i="2"/>
  <c r="BI113" i="2"/>
  <c r="BI114" i="2"/>
  <c r="BI104" i="2"/>
  <c r="BI21" i="2"/>
  <c r="BI61" i="2"/>
  <c r="BI3" i="2"/>
  <c r="C8" i="4" s="1"/>
  <c r="E8" i="4" s="1"/>
  <c r="F8" i="4" s="1"/>
  <c r="G8" i="4" s="1"/>
  <c r="L8" i="4" s="1"/>
  <c r="BI43" i="2"/>
  <c r="BI26" i="2"/>
  <c r="BI194" i="2"/>
  <c r="BI50" i="2"/>
  <c r="BI166" i="2"/>
  <c r="BI165" i="2"/>
  <c r="BI136" i="2"/>
  <c r="BI140" i="2"/>
  <c r="BI68" i="2"/>
  <c r="BI96" i="2"/>
  <c r="BI199" i="2"/>
  <c r="BI22" i="2"/>
  <c r="BI151" i="2"/>
  <c r="BI6" i="2"/>
  <c r="BI57" i="2"/>
  <c r="BI80" i="2"/>
  <c r="BI53" i="2"/>
  <c r="BI191" i="2"/>
  <c r="BI39" i="2"/>
  <c r="BI148" i="2"/>
  <c r="BI175" i="2"/>
  <c r="BI4" i="2"/>
  <c r="BI143" i="2"/>
  <c r="BI14" i="2"/>
  <c r="BI46" i="2"/>
  <c r="BI203" i="2"/>
  <c r="BI94" i="2"/>
  <c r="BI48" i="2"/>
  <c r="BI51" i="2"/>
  <c r="BI141" i="2"/>
  <c r="BI156" i="2"/>
  <c r="BI183" i="2"/>
  <c r="BI130" i="2"/>
  <c r="BI197" i="2"/>
  <c r="BI129" i="2"/>
  <c r="BI76" i="2"/>
  <c r="BI93" i="2"/>
  <c r="BI171" i="2"/>
  <c r="BI201" i="2"/>
  <c r="BI41" i="2"/>
  <c r="BI121" i="2"/>
  <c r="BI28" i="2"/>
  <c r="BI161" i="2"/>
  <c r="BI74" i="2"/>
  <c r="BI102" i="2"/>
  <c r="BI83" i="2"/>
  <c r="BI117" i="2"/>
  <c r="BI18" i="2"/>
  <c r="BI131" i="2"/>
  <c r="BI67" i="2"/>
  <c r="BI8" i="2"/>
  <c r="BI30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<sst xmlns="http://schemas.openxmlformats.org/spreadsheetml/2006/main" count="1177" uniqueCount="324">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</sst>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3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1.7937319357968204</c:v>
                </c:pt>
                <c:pt idx="2">
                  <c:v>2.4246815729595146</c:v>
                </c:pt>
                <c:pt idx="3">
                  <c:v>3.2785114434625302</c:v>
                </c:pt>
                <c:pt idx="4">
                  <c:v>4.4342668495384139</c:v>
                </c:pt>
                <c:pt idx="5">
                  <c:v>5.9991308943768535</c:v>
                </c:pt>
                <c:pt idx="6">
                  <c:v>8.1184750996688884</c:v>
                </c:pt>
                <c:pt idx="7">
                  <c:v>10.98951134948711</c:v>
                </c:pt>
                <c:pt idx="8">
                  <c:v>14.879839296703301</c:v>
                </c:pt>
                <c:pt idx="9">
                  <c:v>33.834651334450989</c:v>
                </c:pt>
                <c:pt idx="10">
                  <c:v>57.112200555821339</c:v>
                </c:pt>
                <c:pt idx="11">
                  <c:v>77.841475073923846</c:v>
                </c:pt>
                <c:pt idx="12">
                  <c:v>100.70974655072376</c:v>
                </c:pt>
                <c:pt idx="13">
                  <c:v>123.44861507974711</c:v>
                </c:pt>
                <c:pt idx="14">
                  <c:v>143.82575339713659</c:v>
                </c:pt>
                <c:pt idx="15">
                  <c:v>164.13369070811589</c:v>
                </c:pt>
                <c:pt idx="16">
                  <c:v>182.13505647434917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14608"/>
        <c:axId val="2025032016"/>
      </c:scatterChart>
      <c:valAx>
        <c:axId val="2025014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2016"/>
        <c:crosses val="autoZero"/>
        <c:crossBetween val="midCat"/>
      </c:valAx>
      <c:valAx>
        <c:axId val="2025032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14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806064"/>
        <c:axId val="2064831632"/>
      </c:scatterChart>
      <c:valAx>
        <c:axId val="20648060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31632"/>
        <c:crosses val="autoZero"/>
        <c:crossBetween val="midCat"/>
      </c:valAx>
      <c:valAx>
        <c:axId val="206483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060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25488"/>
        <c:axId val="2025026032"/>
      </c:scatterChart>
      <c:valAx>
        <c:axId val="20250254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26032"/>
        <c:crosses val="autoZero"/>
        <c:crossBetween val="midCat"/>
      </c:valAx>
      <c:valAx>
        <c:axId val="202502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254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2.0397714284229629</c:v>
                </c:pt>
                <c:pt idx="2">
                  <c:v>2.6830501318721502</c:v>
                </c:pt>
                <c:pt idx="3">
                  <c:v>3.5300330763175403</c:v>
                </c:pt>
                <c:pt idx="4">
                  <c:v>4.6454756176067766</c:v>
                </c:pt>
                <c:pt idx="5">
                  <c:v>6.1147922436081394</c:v>
                </c:pt>
                <c:pt idx="6">
                  <c:v>8.0506694835935235</c:v>
                </c:pt>
                <c:pt idx="7">
                  <c:v>10.601802064162893</c:v>
                </c:pt>
                <c:pt idx="8">
                  <c:v>13.96443594132149</c:v>
                </c:pt>
                <c:pt idx="9">
                  <c:v>18.397622508108167</c:v>
                </c:pt>
                <c:pt idx="10">
                  <c:v>24.243380340766453</c:v>
                </c:pt>
                <c:pt idx="11">
                  <c:v>31.953347449743802</c:v>
                </c:pt>
                <c:pt idx="12">
                  <c:v>42.124018808482084</c:v>
                </c:pt>
                <c:pt idx="13">
                  <c:v>55.543341570302402</c:v>
                </c:pt>
                <c:pt idx="14">
                  <c:v>73.252337685254929</c:v>
                </c:pt>
                <c:pt idx="15">
                  <c:v>96.626611933989992</c:v>
                </c:pt>
                <c:pt idx="16">
                  <c:v>127.4841772510066</c:v>
                </c:pt>
                <c:pt idx="17">
                  <c:v>168.22811392921565</c:v>
                </c:pt>
                <c:pt idx="18">
                  <c:v>132.88578577838067</c:v>
                </c:pt>
                <c:pt idx="19">
                  <c:v>152.3357449577359</c:v>
                </c:pt>
                <c:pt idx="20">
                  <c:v>171.72653739413659</c:v>
                </c:pt>
                <c:pt idx="21">
                  <c:v>191.06578969549196</c:v>
                </c:pt>
                <c:pt idx="22">
                  <c:v>210.3594549163457</c:v>
                </c:pt>
                <c:pt idx="23">
                  <c:v>229.61230319271121</c:v>
                </c:pt>
                <c:pt idx="24">
                  <c:v>179.18694187988618</c:v>
                </c:pt>
                <c:pt idx="25">
                  <c:v>198.69694441415049</c:v>
                </c:pt>
                <c:pt idx="26">
                  <c:v>218.16250683144037</c:v>
                </c:pt>
                <c:pt idx="27">
                  <c:v>237.58815254200749</c:v>
                </c:pt>
                <c:pt idx="28">
                  <c:v>256.9776041695244</c:v>
                </c:pt>
                <c:pt idx="29">
                  <c:v>276.33397636592611</c:v>
                </c:pt>
                <c:pt idx="30">
                  <c:v>233.44601669739703</c:v>
                </c:pt>
                <c:pt idx="31">
                  <c:v>251.84750488432181</c:v>
                </c:pt>
                <c:pt idx="32">
                  <c:v>270.21853171878513</c:v>
                </c:pt>
                <c:pt idx="33">
                  <c:v>288.56145919537863</c:v>
                </c:pt>
                <c:pt idx="34">
                  <c:v>306.87832443749215</c:v>
                </c:pt>
                <c:pt idx="35">
                  <c:v>325.17090151429107</c:v>
                </c:pt>
                <c:pt idx="36">
                  <c:v>343.44074860711908</c:v>
                </c:pt>
                <c:pt idx="37">
                  <c:v>277.64048093700978</c:v>
                </c:pt>
                <c:pt idx="38">
                  <c:v>294.48954060352384</c:v>
                </c:pt>
                <c:pt idx="39">
                  <c:v>311.31709651831665</c:v>
                </c:pt>
                <c:pt idx="40">
                  <c:v>328.12447444010144</c:v>
                </c:pt>
                <c:pt idx="41">
                  <c:v>344.91285322325461</c:v>
                </c:pt>
                <c:pt idx="42">
                  <c:v>361.6832876036994</c:v>
                </c:pt>
                <c:pt idx="43">
                  <c:v>378.43672653622252</c:v>
                </c:pt>
                <c:pt idx="44">
                  <c:v>395.17402811417611</c:v>
                </c:pt>
                <c:pt idx="45">
                  <c:v>327.74099980495697</c:v>
                </c:pt>
                <c:pt idx="46">
                  <c:v>342.57632901037942</c:v>
                </c:pt>
                <c:pt idx="47">
                  <c:v>357.39754063727128</c:v>
                </c:pt>
                <c:pt idx="48">
                  <c:v>372.2053025492678</c:v>
                </c:pt>
                <c:pt idx="49">
                  <c:v>387.00022513459527</c:v>
                </c:pt>
                <c:pt idx="50">
                  <c:v>401.78286830651933</c:v>
                </c:pt>
                <c:pt idx="51">
                  <c:v>416.55374741966574</c:v>
                </c:pt>
                <c:pt idx="52">
                  <c:v>431.31333830337053</c:v>
                </c:pt>
                <c:pt idx="53">
                  <c:v>365.99122063055853</c:v>
                </c:pt>
                <c:pt idx="54">
                  <c:v>379.3298971194522</c:v>
                </c:pt>
                <c:pt idx="55">
                  <c:v>392.65837013825052</c:v>
                </c:pt>
                <c:pt idx="56">
                  <c:v>405.97703483483957</c:v>
                </c:pt>
                <c:pt idx="57">
                  <c:v>419.28625831464296</c:v>
                </c:pt>
                <c:pt idx="58">
                  <c:v>432.5863824764233</c:v>
                </c:pt>
                <c:pt idx="59">
                  <c:v>445.87772648114247</c:v>
                </c:pt>
                <c:pt idx="60">
                  <c:v>459.16058891110282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28208"/>
        <c:axId val="2025031472"/>
      </c:scatterChart>
      <c:valAx>
        <c:axId val="20250282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1472"/>
        <c:crosses val="autoZero"/>
        <c:crossBetween val="midCat"/>
      </c:valAx>
      <c:valAx>
        <c:axId val="2025031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282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1.4217567752663396</c:v>
                </c:pt>
                <c:pt idx="2">
                  <c:v>1.6496387760333995</c:v>
                </c:pt>
                <c:pt idx="3">
                  <c:v>1.9141825094116696</c:v>
                </c:pt>
                <c:pt idx="4">
                  <c:v>2.2213069404908978</c:v>
                </c:pt>
                <c:pt idx="5">
                  <c:v>2.5778898048880068</c:v>
                </c:pt>
                <c:pt idx="6">
                  <c:v>2.9919233927322302</c:v>
                </c:pt>
                <c:pt idx="7">
                  <c:v>3.472695717358198</c:v>
                </c:pt>
                <c:pt idx="8">
                  <c:v>4.0310012160061346</c:v>
                </c:pt>
                <c:pt idx="9">
                  <c:v>4.6793858090430804</c:v>
                </c:pt>
                <c:pt idx="10">
                  <c:v>5.432431934915944</c:v>
                </c:pt>
                <c:pt idx="11">
                  <c:v>6.3070900985608995</c:v>
                </c:pt>
                <c:pt idx="12">
                  <c:v>7.3230645426796004</c:v>
                </c:pt>
                <c:pt idx="13">
                  <c:v>8.5032618990257713</c:v>
                </c:pt>
                <c:pt idx="14">
                  <c:v>9.8743131296009761</c:v>
                </c:pt>
                <c:pt idx="15">
                  <c:v>11.467180759188034</c:v>
                </c:pt>
                <c:pt idx="16">
                  <c:v>13.31786537027314</c:v>
                </c:pt>
                <c:pt idx="17">
                  <c:v>15.468227624926827</c:v>
                </c:pt>
                <c:pt idx="18">
                  <c:v>17.96694474899018</c:v>
                </c:pt>
                <c:pt idx="19">
                  <c:v>20.870623524111782</c:v>
                </c:pt>
                <c:pt idx="20">
                  <c:v>24.245095455229389</c:v>
                </c:pt>
                <c:pt idx="21">
                  <c:v>28.166923999370677</c:v>
                </c:pt>
                <c:pt idx="22">
                  <c:v>32.725158654475884</c:v>
                </c:pt>
                <c:pt idx="23">
                  <c:v>38.023376428874322</c:v>
                </c:pt>
                <c:pt idx="24">
                  <c:v>44.182057876552157</c:v>
                </c:pt>
                <c:pt idx="25">
                  <c:v>51.341352645956526</c:v>
                </c:pt>
                <c:pt idx="26">
                  <c:v>59.664298532021071</c:v>
                </c:pt>
                <c:pt idx="27">
                  <c:v>69.340568553547996</c:v>
                </c:pt>
                <c:pt idx="28">
                  <c:v>80.590832847134777</c:v>
                </c:pt>
                <c:pt idx="29">
                  <c:v>93.671836461268967</c:v>
                </c:pt>
                <c:pt idx="30">
                  <c:v>108.88231078423301</c:v>
                </c:pt>
                <c:pt idx="31">
                  <c:v>119.55269284122029</c:v>
                </c:pt>
                <c:pt idx="32">
                  <c:v>130.19985837355313</c:v>
                </c:pt>
                <c:pt idx="33">
                  <c:v>140.82597594357108</c:v>
                </c:pt>
                <c:pt idx="34">
                  <c:v>151.43285943489818</c:v>
                </c:pt>
                <c:pt idx="35">
                  <c:v>162.02204740767968</c:v>
                </c:pt>
                <c:pt idx="36">
                  <c:v>172.59486055735832</c:v>
                </c:pt>
                <c:pt idx="37">
                  <c:v>183.15244431920306</c:v>
                </c:pt>
                <c:pt idx="38">
                  <c:v>193.69580111200079</c:v>
                </c:pt>
                <c:pt idx="39">
                  <c:v>204.22581517936158</c:v>
                </c:pt>
                <c:pt idx="40">
                  <c:v>214.74327203018319</c:v>
                </c:pt>
                <c:pt idx="41">
                  <c:v>225.2488738650726</c:v>
                </c:pt>
                <c:pt idx="42">
                  <c:v>235.74325197003046</c:v>
                </c:pt>
                <c:pt idx="43">
                  <c:v>246.22697678490542</c:v>
                </c:pt>
                <c:pt idx="44">
                  <c:v>256.70056616536107</c:v>
                </c:pt>
                <c:pt idx="45">
                  <c:v>267.16449222449438</c:v>
                </c:pt>
                <c:pt idx="46">
                  <c:v>277.6191870455084</c:v>
                </c:pt>
                <c:pt idx="47">
                  <c:v>288.06504748811147</c:v>
                </c:pt>
                <c:pt idx="48">
                  <c:v>298.50243926074967</c:v>
                </c:pt>
                <c:pt idx="49">
                  <c:v>308.93170039309683</c:v>
                </c:pt>
                <c:pt idx="50">
                  <c:v>319.3531442148153</c:v>
                </c:pt>
                <c:pt idx="51">
                  <c:v>329.76706192494242</c:v>
                </c:pt>
                <c:pt idx="52">
                  <c:v>239.89963130204032</c:v>
                </c:pt>
                <c:pt idx="53">
                  <c:v>250.73733022777768</c:v>
                </c:pt>
                <c:pt idx="54">
                  <c:v>261.56441168915899</c:v>
                </c:pt>
                <c:pt idx="55">
                  <c:v>272.38137740343666</c:v>
                </c:pt>
                <c:pt idx="56">
                  <c:v>283.18868595745323</c:v>
                </c:pt>
                <c:pt idx="57">
                  <c:v>293.98675805542308</c:v>
                </c:pt>
                <c:pt idx="58">
                  <c:v>304.77598095482739</c:v>
                </c:pt>
                <c:pt idx="59">
                  <c:v>315.55671224092112</c:v>
                </c:pt>
                <c:pt idx="60">
                  <c:v>326.32928305815631</c:v>
                </c:pt>
                <c:pt idx="61">
                  <c:v>337.09400089238392</c:v>
                </c:pt>
                <c:pt idx="62">
                  <c:v>347.85115197892782</c:v>
                </c:pt>
                <c:pt idx="63">
                  <c:v>358.60100339709646</c:v>
                </c:pt>
                <c:pt idx="64">
                  <c:v>260.16574342755524</c:v>
                </c:pt>
                <c:pt idx="65">
                  <c:v>270.03856838682231</c:v>
                </c:pt>
                <c:pt idx="66">
                  <c:v>279.90327150057988</c:v>
                </c:pt>
                <c:pt idx="67">
                  <c:v>289.76017957093472</c:v>
                </c:pt>
                <c:pt idx="68">
                  <c:v>299.60959533432202</c:v>
                </c:pt>
                <c:pt idx="69">
                  <c:v>309.4517999837621</c:v>
                </c:pt>
                <c:pt idx="70">
                  <c:v>319.28705535324553</c:v>
                </c:pt>
                <c:pt idx="71">
                  <c:v>329.1156058187384</c:v>
                </c:pt>
                <c:pt idx="72">
                  <c:v>338.93767996010916</c:v>
                </c:pt>
                <c:pt idx="73">
                  <c:v>348.75349202024881</c:v>
                </c:pt>
                <c:pt idx="74">
                  <c:v>358.56324319126111</c:v>
                </c:pt>
                <c:pt idx="75">
                  <c:v>368.367122752488</c:v>
                </c:pt>
                <c:pt idx="76">
                  <c:v>291.98679373574424</c:v>
                </c:pt>
                <c:pt idx="77">
                  <c:v>301.01220487244694</c:v>
                </c:pt>
                <c:pt idx="78">
                  <c:v>310.031591827932</c:v>
                </c:pt>
                <c:pt idx="79">
                  <c:v>319.04515470328221</c:v>
                </c:pt>
                <c:pt idx="80">
                  <c:v>328.0530813618015</c:v>
                </c:pt>
                <c:pt idx="81">
                  <c:v>337.05554850027073</c:v>
                </c:pt>
                <c:pt idx="82">
                  <c:v>346.05272259970707</c:v>
                </c:pt>
                <c:pt idx="83">
                  <c:v>355.04476077203134</c:v>
                </c:pt>
                <c:pt idx="84">
                  <c:v>364.03181151643639</c:v>
                </c:pt>
                <c:pt idx="85">
                  <c:v>373.0140153971318</c:v>
                </c:pt>
                <c:pt idx="86">
                  <c:v>381.99150565236943</c:v>
                </c:pt>
                <c:pt idx="87">
                  <c:v>390.96440874320461</c:v>
                </c:pt>
                <c:pt idx="88">
                  <c:v>316.25819110098661</c:v>
                </c:pt>
                <c:pt idx="89">
                  <c:v>324.4045219570105</c:v>
                </c:pt>
                <c:pt idx="90">
                  <c:v>332.54633237194383</c:v>
                </c:pt>
                <c:pt idx="91">
                  <c:v>340.68374872160194</c:v>
                </c:pt>
                <c:pt idx="92">
                  <c:v>348.81689084712229</c:v>
                </c:pt>
                <c:pt idx="93">
                  <c:v>356.94587254069387</c:v>
                </c:pt>
                <c:pt idx="94">
                  <c:v>365.07080198470561</c:v>
                </c:pt>
                <c:pt idx="95">
                  <c:v>373.19178214973607</c:v>
                </c:pt>
                <c:pt idx="96">
                  <c:v>381.30891115607625</c:v>
                </c:pt>
                <c:pt idx="97">
                  <c:v>389.4222826028456</c:v>
                </c:pt>
                <c:pt idx="98">
                  <c:v>397.53198586823692</c:v>
                </c:pt>
                <c:pt idx="99">
                  <c:v>405.6381063839724</c:v>
                </c:pt>
                <c:pt idx="100">
                  <c:v>212.56848233940431</c:v>
                </c:pt>
                <c:pt idx="101">
                  <c:v>218.27904148126387</c:v>
                </c:pt>
                <c:pt idx="102">
                  <c:v>223.98616720918039</c:v>
                </c:pt>
                <c:pt idx="103">
                  <c:v>229.68995950268229</c:v>
                </c:pt>
                <c:pt idx="104">
                  <c:v>235.39051296187952</c:v>
                </c:pt>
                <c:pt idx="105">
                  <c:v>241.08791722313939</c:v>
                </c:pt>
                <c:pt idx="106">
                  <c:v>246.78225733335694</c:v>
                </c:pt>
                <c:pt idx="107">
                  <c:v>252.47361408782808</c:v>
                </c:pt>
                <c:pt idx="108">
                  <c:v>258.16206433602196</c:v>
                </c:pt>
                <c:pt idx="109">
                  <c:v>263.8476812589596</c:v>
                </c:pt>
                <c:pt idx="110">
                  <c:v>6.0761376450252565E-12</c:v>
                </c:pt>
                <c:pt idx="111">
                  <c:v>6.0761376450252565E-12</c:v>
                </c:pt>
                <c:pt idx="112">
                  <c:v>6.0761376450252565E-12</c:v>
                </c:pt>
                <c:pt idx="113">
                  <c:v>6.0761376450252565E-12</c:v>
                </c:pt>
                <c:pt idx="114">
                  <c:v>6.0761376450252565E-12</c:v>
                </c:pt>
                <c:pt idx="115">
                  <c:v>6.0761376450252565E-12</c:v>
                </c:pt>
                <c:pt idx="116">
                  <c:v>6.0761376450252565E-12</c:v>
                </c:pt>
                <c:pt idx="117">
                  <c:v>6.0761376450252565E-12</c:v>
                </c:pt>
                <c:pt idx="118">
                  <c:v>6.0761376450252565E-12</c:v>
                </c:pt>
                <c:pt idx="119">
                  <c:v>6.0761376450252565E-12</c:v>
                </c:pt>
                <c:pt idx="120">
                  <c:v>6.0761376450252565E-12</c:v>
                </c:pt>
                <c:pt idx="121">
                  <c:v>6.0761376450252565E-12</c:v>
                </c:pt>
                <c:pt idx="122">
                  <c:v>6.0761376450252565E-12</c:v>
                </c:pt>
                <c:pt idx="123">
                  <c:v>6.0761376450252565E-12</c:v>
                </c:pt>
                <c:pt idx="124">
                  <c:v>6.0761376450252565E-12</c:v>
                </c:pt>
                <c:pt idx="125">
                  <c:v>6.0761376450252565E-12</c:v>
                </c:pt>
                <c:pt idx="126">
                  <c:v>6.0761376450252565E-12</c:v>
                </c:pt>
                <c:pt idx="127">
                  <c:v>6.0761376450252565E-12</c:v>
                </c:pt>
                <c:pt idx="128">
                  <c:v>6.0761376450252565E-12</c:v>
                </c:pt>
                <c:pt idx="129">
                  <c:v>6.0761376450252565E-12</c:v>
                </c:pt>
                <c:pt idx="130">
                  <c:v>6.0761376450252565E-12</c:v>
                </c:pt>
                <c:pt idx="131">
                  <c:v>6.0761376450252565E-12</c:v>
                </c:pt>
                <c:pt idx="132">
                  <c:v>6.0761376450252565E-12</c:v>
                </c:pt>
                <c:pt idx="133">
                  <c:v>6.0761376450252565E-12</c:v>
                </c:pt>
                <c:pt idx="134">
                  <c:v>6.0761376450252565E-12</c:v>
                </c:pt>
                <c:pt idx="135">
                  <c:v>6.0761376450252565E-12</c:v>
                </c:pt>
                <c:pt idx="136">
                  <c:v>6.0761376450252565E-12</c:v>
                </c:pt>
                <c:pt idx="137">
                  <c:v>6.0761376450252565E-12</c:v>
                </c:pt>
                <c:pt idx="138">
                  <c:v>6.0761376450252565E-12</c:v>
                </c:pt>
                <c:pt idx="139">
                  <c:v>6.0761376450252565E-12</c:v>
                </c:pt>
                <c:pt idx="140">
                  <c:v>6.0761376450252565E-12</c:v>
                </c:pt>
                <c:pt idx="141">
                  <c:v>6.0761376450252565E-12</c:v>
                </c:pt>
                <c:pt idx="142">
                  <c:v>6.0761376450252565E-12</c:v>
                </c:pt>
                <c:pt idx="143">
                  <c:v>6.0761376450252565E-12</c:v>
                </c:pt>
                <c:pt idx="144">
                  <c:v>6.0761376450252565E-12</c:v>
                </c:pt>
                <c:pt idx="145">
                  <c:v>6.0761376450252565E-12</c:v>
                </c:pt>
                <c:pt idx="146">
                  <c:v>6.0761376450252565E-12</c:v>
                </c:pt>
                <c:pt idx="147">
                  <c:v>6.0761376450252565E-12</c:v>
                </c:pt>
                <c:pt idx="148">
                  <c:v>6.0761376450252565E-12</c:v>
                </c:pt>
                <c:pt idx="149">
                  <c:v>6.0761376450252565E-12</c:v>
                </c:pt>
                <c:pt idx="150">
                  <c:v>6.0761376450252565E-12</c:v>
                </c:pt>
                <c:pt idx="151">
                  <c:v>6.0761376450252565E-12</c:v>
                </c:pt>
                <c:pt idx="152">
                  <c:v>6.0761376450252565E-12</c:v>
                </c:pt>
                <c:pt idx="153">
                  <c:v>6.0761376450252565E-12</c:v>
                </c:pt>
                <c:pt idx="154">
                  <c:v>6.0761376450252565E-12</c:v>
                </c:pt>
                <c:pt idx="155">
                  <c:v>6.0761376450252565E-12</c:v>
                </c:pt>
                <c:pt idx="156">
                  <c:v>6.0761376450252565E-12</c:v>
                </c:pt>
                <c:pt idx="157">
                  <c:v>6.0761376450252565E-12</c:v>
                </c:pt>
                <c:pt idx="158">
                  <c:v>6.0761376450252565E-12</c:v>
                </c:pt>
                <c:pt idx="159">
                  <c:v>6.0761376450252565E-12</c:v>
                </c:pt>
                <c:pt idx="160">
                  <c:v>6.0761376450252565E-12</c:v>
                </c:pt>
                <c:pt idx="161">
                  <c:v>6.0761376450252565E-12</c:v>
                </c:pt>
                <c:pt idx="162">
                  <c:v>6.0761376450252565E-12</c:v>
                </c:pt>
                <c:pt idx="163">
                  <c:v>6.0761376450252565E-12</c:v>
                </c:pt>
                <c:pt idx="164">
                  <c:v>6.0761376450252565E-12</c:v>
                </c:pt>
                <c:pt idx="165">
                  <c:v>6.0761376450252565E-12</c:v>
                </c:pt>
                <c:pt idx="166">
                  <c:v>6.0761376450252565E-12</c:v>
                </c:pt>
                <c:pt idx="167">
                  <c:v>6.0761376450252565E-12</c:v>
                </c:pt>
                <c:pt idx="168">
                  <c:v>6.0761376450252565E-12</c:v>
                </c:pt>
                <c:pt idx="169">
                  <c:v>6.0761376450252565E-12</c:v>
                </c:pt>
                <c:pt idx="170">
                  <c:v>6.0761376450252565E-12</c:v>
                </c:pt>
                <c:pt idx="171">
                  <c:v>6.0761376450252565E-12</c:v>
                </c:pt>
                <c:pt idx="172">
                  <c:v>6.0761376450252565E-12</c:v>
                </c:pt>
                <c:pt idx="173">
                  <c:v>6.0761376450252565E-12</c:v>
                </c:pt>
                <c:pt idx="174">
                  <c:v>6.0761376450252565E-12</c:v>
                </c:pt>
                <c:pt idx="175">
                  <c:v>6.0761376450252565E-12</c:v>
                </c:pt>
                <c:pt idx="176">
                  <c:v>6.0761376450252565E-12</c:v>
                </c:pt>
                <c:pt idx="177">
                  <c:v>6.0761376450252565E-12</c:v>
                </c:pt>
                <c:pt idx="178">
                  <c:v>6.0761376450252565E-12</c:v>
                </c:pt>
                <c:pt idx="179">
                  <c:v>6.0761376450252565E-12</c:v>
                </c:pt>
                <c:pt idx="180">
                  <c:v>6.0761376450252565E-12</c:v>
                </c:pt>
                <c:pt idx="181">
                  <c:v>6.0761376450252565E-12</c:v>
                </c:pt>
                <c:pt idx="182">
                  <c:v>6.0761376450252565E-12</c:v>
                </c:pt>
                <c:pt idx="183">
                  <c:v>6.0761376450252565E-12</c:v>
                </c:pt>
                <c:pt idx="184">
                  <c:v>6.0761376450252565E-12</c:v>
                </c:pt>
                <c:pt idx="185">
                  <c:v>6.0761376450252565E-12</c:v>
                </c:pt>
                <c:pt idx="186">
                  <c:v>6.0761376450252565E-12</c:v>
                </c:pt>
                <c:pt idx="187">
                  <c:v>6.0761376450252565E-12</c:v>
                </c:pt>
                <c:pt idx="188">
                  <c:v>6.0761376450252565E-12</c:v>
                </c:pt>
                <c:pt idx="189">
                  <c:v>6.0761376450252565E-12</c:v>
                </c:pt>
                <c:pt idx="190">
                  <c:v>6.0761376450252565E-12</c:v>
                </c:pt>
                <c:pt idx="191">
                  <c:v>6.0761376450252565E-12</c:v>
                </c:pt>
                <c:pt idx="192">
                  <c:v>6.0761376450252565E-12</c:v>
                </c:pt>
                <c:pt idx="193">
                  <c:v>6.0761376450252565E-12</c:v>
                </c:pt>
                <c:pt idx="194">
                  <c:v>6.0761376450252565E-12</c:v>
                </c:pt>
                <c:pt idx="195">
                  <c:v>6.0761376450252565E-12</c:v>
                </c:pt>
                <c:pt idx="196">
                  <c:v>6.0761376450252565E-12</c:v>
                </c:pt>
                <c:pt idx="197">
                  <c:v>6.0761376450252565E-12</c:v>
                </c:pt>
                <c:pt idx="198">
                  <c:v>6.0761376450252565E-12</c:v>
                </c:pt>
                <c:pt idx="199">
                  <c:v>6.0761376450252565E-12</c:v>
                </c:pt>
                <c:pt idx="200">
                  <c:v>6.0761376450252565E-12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33104"/>
        <c:axId val="2025016784"/>
      </c:scatterChart>
      <c:valAx>
        <c:axId val="20250331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16784"/>
        <c:crosses val="autoZero"/>
        <c:crossBetween val="midCat"/>
      </c:valAx>
      <c:valAx>
        <c:axId val="202501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31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33648"/>
        <c:axId val="2025017328"/>
      </c:scatterChart>
      <c:valAx>
        <c:axId val="20250336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17328"/>
        <c:crosses val="autoZero"/>
        <c:crossBetween val="midCat"/>
      </c:valAx>
      <c:valAx>
        <c:axId val="202501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3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3.3043568983948219</c:v>
                </c:pt>
                <c:pt idx="2">
                  <c:v>4.1131513120146055</c:v>
                </c:pt>
                <c:pt idx="3">
                  <c:v>5.1206664109263427</c:v>
                </c:pt>
                <c:pt idx="4">
                  <c:v>6.375902542534404</c:v>
                </c:pt>
                <c:pt idx="5">
                  <c:v>7.9399827670654304</c:v>
                </c:pt>
                <c:pt idx="6">
                  <c:v>9.8891612665776254</c:v>
                </c:pt>
                <c:pt idx="7">
                  <c:v>12.318580445108942</c:v>
                </c:pt>
                <c:pt idx="8">
                  <c:v>15.346963526425172</c:v>
                </c:pt>
                <c:pt idx="9">
                  <c:v>19.122476175830567</c:v>
                </c:pt>
                <c:pt idx="10">
                  <c:v>23.830049102016243</c:v>
                </c:pt>
                <c:pt idx="11">
                  <c:v>29.700526674358532</c:v>
                </c:pt>
                <c:pt idx="12">
                  <c:v>37.022098000505643</c:v>
                </c:pt>
                <c:pt idx="13">
                  <c:v>46.154581254564704</c:v>
                </c:pt>
                <c:pt idx="14">
                  <c:v>57.547275093132022</c:v>
                </c:pt>
                <c:pt idx="15">
                  <c:v>71.761269961795847</c:v>
                </c:pt>
                <c:pt idx="16">
                  <c:v>85.095907314816401</c:v>
                </c:pt>
                <c:pt idx="17">
                  <c:v>98.377811836935564</c:v>
                </c:pt>
                <c:pt idx="18">
                  <c:v>111.61512570313762</c:v>
                </c:pt>
                <c:pt idx="19">
                  <c:v>124.81389250757191</c:v>
                </c:pt>
                <c:pt idx="20">
                  <c:v>137.97876857105169</c:v>
                </c:pt>
                <c:pt idx="21">
                  <c:v>152.8626230482474</c:v>
                </c:pt>
                <c:pt idx="22">
                  <c:v>167.71198305973977</c:v>
                </c:pt>
                <c:pt idx="23">
                  <c:v>182.53033488053475</c:v>
                </c:pt>
                <c:pt idx="24">
                  <c:v>197.32055161106871</c:v>
                </c:pt>
                <c:pt idx="25">
                  <c:v>212.08503993201154</c:v>
                </c:pt>
                <c:pt idx="26">
                  <c:v>227.40345702308142</c:v>
                </c:pt>
                <c:pt idx="27">
                  <c:v>242.69825965817117</c:v>
                </c:pt>
                <c:pt idx="28">
                  <c:v>257.97114577920252</c:v>
                </c:pt>
                <c:pt idx="29">
                  <c:v>273.22359576358815</c:v>
                </c:pt>
                <c:pt idx="30">
                  <c:v>288.45691115019287</c:v>
                </c:pt>
                <c:pt idx="31">
                  <c:v>240.39105366248293</c:v>
                </c:pt>
                <c:pt idx="32">
                  <c:v>255.66714821510956</c:v>
                </c:pt>
                <c:pt idx="33">
                  <c:v>270.92259547869656</c:v>
                </c:pt>
                <c:pt idx="34">
                  <c:v>286.15872187513997</c:v>
                </c:pt>
                <c:pt idx="35">
                  <c:v>301.37670100579004</c:v>
                </c:pt>
                <c:pt idx="36">
                  <c:v>316.00425931230865</c:v>
                </c:pt>
                <c:pt idx="37">
                  <c:v>330.61681894119141</c:v>
                </c:pt>
                <c:pt idx="38">
                  <c:v>345.21513616565261</c:v>
                </c:pt>
                <c:pt idx="39">
                  <c:v>359.79989807187752</c:v>
                </c:pt>
                <c:pt idx="40">
                  <c:v>374.3717314954622</c:v>
                </c:pt>
                <c:pt idx="41">
                  <c:v>338.34706882980078</c:v>
                </c:pt>
                <c:pt idx="42">
                  <c:v>352.36618279610326</c:v>
                </c:pt>
                <c:pt idx="43">
                  <c:v>366.37307423131756</c:v>
                </c:pt>
                <c:pt idx="44">
                  <c:v>380.3682762367792</c:v>
                </c:pt>
                <c:pt idx="45">
                  <c:v>394.35227948231795</c:v>
                </c:pt>
                <c:pt idx="46">
                  <c:v>407.75540484100776</c:v>
                </c:pt>
                <c:pt idx="47">
                  <c:v>421.14901471610159</c:v>
                </c:pt>
                <c:pt idx="48">
                  <c:v>434.53345434246239</c:v>
                </c:pt>
                <c:pt idx="49">
                  <c:v>447.90904595354408</c:v>
                </c:pt>
                <c:pt idx="50">
                  <c:v>461.27609096941552</c:v>
                </c:pt>
                <c:pt idx="51">
                  <c:v>419.72460434236359</c:v>
                </c:pt>
                <c:pt idx="52">
                  <c:v>432.25588530441445</c:v>
                </c:pt>
                <c:pt idx="53">
                  <c:v>444.77936519493966</c:v>
                </c:pt>
                <c:pt idx="54">
                  <c:v>457.2952946141495</c:v>
                </c:pt>
                <c:pt idx="55">
                  <c:v>469.80390932615688</c:v>
                </c:pt>
                <c:pt idx="56">
                  <c:v>481.45327595412624</c:v>
                </c:pt>
                <c:pt idx="57">
                  <c:v>493.09665437546749</c:v>
                </c:pt>
                <c:pt idx="58">
                  <c:v>504.73420591215864</c:v>
                </c:pt>
                <c:pt idx="59">
                  <c:v>516.3660838407244</c:v>
                </c:pt>
                <c:pt idx="60">
                  <c:v>527.99243396951181</c:v>
                </c:pt>
                <c:pt idx="61">
                  <c:v>485.14571936914029</c:v>
                </c:pt>
                <c:pt idx="62">
                  <c:v>496.21948974271317</c:v>
                </c:pt>
                <c:pt idx="63">
                  <c:v>507.28802580021755</c:v>
                </c:pt>
                <c:pt idx="64">
                  <c:v>518.35145784639667</c:v>
                </c:pt>
                <c:pt idx="65">
                  <c:v>529.40991017019905</c:v>
                </c:pt>
                <c:pt idx="66">
                  <c:v>540.18013580779473</c:v>
                </c:pt>
                <c:pt idx="67">
                  <c:v>550.94585148491763</c:v>
                </c:pt>
                <c:pt idx="68">
                  <c:v>561.70715774350776</c:v>
                </c:pt>
                <c:pt idx="69">
                  <c:v>572.4641509593182</c:v>
                </c:pt>
                <c:pt idx="70">
                  <c:v>583.21692359125188</c:v>
                </c:pt>
                <c:pt idx="71">
                  <c:v>542.16362979037569</c:v>
                </c:pt>
                <c:pt idx="72">
                  <c:v>552.07882650510749</c:v>
                </c:pt>
                <c:pt idx="73">
                  <c:v>561.99029135597004</c:v>
                </c:pt>
                <c:pt idx="74">
                  <c:v>571.89809943666535</c:v>
                </c:pt>
                <c:pt idx="75">
                  <c:v>581.80232302690615</c:v>
                </c:pt>
                <c:pt idx="76">
                  <c:v>591.42020251323834</c:v>
                </c:pt>
                <c:pt idx="77">
                  <c:v>601.03482666056914</c:v>
                </c:pt>
                <c:pt idx="78">
                  <c:v>610.64625488100796</c:v>
                </c:pt>
                <c:pt idx="79">
                  <c:v>620.25454456407806</c:v>
                </c:pt>
                <c:pt idx="80">
                  <c:v>629.85975117650617</c:v>
                </c:pt>
                <c:pt idx="81">
                  <c:v>589.15746715790237</c:v>
                </c:pt>
                <c:pt idx="82">
                  <c:v>597.92456551950988</c:v>
                </c:pt>
                <c:pt idx="83">
                  <c:v>606.68899129254567</c:v>
                </c:pt>
                <c:pt idx="84">
                  <c:v>615.45078852910217</c:v>
                </c:pt>
                <c:pt idx="85">
                  <c:v>624.20999992474549</c:v>
                </c:pt>
                <c:pt idx="86">
                  <c:v>632.68423305275508</c:v>
                </c:pt>
                <c:pt idx="87">
                  <c:v>641.15611967114364</c:v>
                </c:pt>
                <c:pt idx="88">
                  <c:v>649.62569515483597</c:v>
                </c:pt>
                <c:pt idx="89">
                  <c:v>658.09299388120962</c:v>
                </c:pt>
                <c:pt idx="90">
                  <c:v>666.5580492709729</c:v>
                </c:pt>
                <c:pt idx="91">
                  <c:v>627.59997706387446</c:v>
                </c:pt>
                <c:pt idx="92">
                  <c:v>635.22604379249128</c:v>
                </c:pt>
                <c:pt idx="93">
                  <c:v>642.8502185444828</c:v>
                </c:pt>
                <c:pt idx="94">
                  <c:v>650.47252692274378</c:v>
                </c:pt>
                <c:pt idx="95">
                  <c:v>658.09299388120962</c:v>
                </c:pt>
                <c:pt idx="96">
                  <c:v>665.71164374879129</c:v>
                </c:pt>
                <c:pt idx="97">
                  <c:v>673.32850025215942</c:v>
                </c:pt>
                <c:pt idx="98">
                  <c:v>680.943586537442</c:v>
                </c:pt>
                <c:pt idx="99">
                  <c:v>688.55692519090269</c:v>
                </c:pt>
                <c:pt idx="100">
                  <c:v>696.16853825865599</c:v>
                </c:pt>
                <c:pt idx="101">
                  <c:v>658.09299388120962</c:v>
                </c:pt>
                <c:pt idx="102">
                  <c:v>665.14736110281672</c:v>
                </c:pt>
                <c:pt idx="103">
                  <c:v>672.20018932008873</c:v>
                </c:pt>
                <c:pt idx="104">
                  <c:v>679.25149695725497</c:v>
                </c:pt>
                <c:pt idx="105">
                  <c:v>686.30130202483861</c:v>
                </c:pt>
                <c:pt idx="106">
                  <c:v>693.34962213319204</c:v>
                </c:pt>
                <c:pt idx="107">
                  <c:v>700.39647450545351</c:v>
                </c:pt>
                <c:pt idx="108">
                  <c:v>707.44187598995484</c:v>
                </c:pt>
                <c:pt idx="109">
                  <c:v>714.48584307211024</c:v>
                </c:pt>
                <c:pt idx="110">
                  <c:v>721.52839188581265</c:v>
                </c:pt>
                <c:pt idx="111">
                  <c:v>685.59638862873953</c:v>
                </c:pt>
                <c:pt idx="112">
                  <c:v>691.94007607607489</c:v>
                </c:pt>
                <c:pt idx="113">
                  <c:v>698.28257189646683</c:v>
                </c:pt>
                <c:pt idx="114">
                  <c:v>704.62388843962435</c:v>
                </c:pt>
                <c:pt idx="115">
                  <c:v>710.96403781484867</c:v>
                </c:pt>
                <c:pt idx="116">
                  <c:v>717.30303189786616</c:v>
                </c:pt>
                <c:pt idx="117">
                  <c:v>723.64088233740028</c:v>
                </c:pt>
                <c:pt idx="118">
                  <c:v>729.97760056150412</c:v>
                </c:pt>
                <c:pt idx="119">
                  <c:v>736.31319778366208</c:v>
                </c:pt>
                <c:pt idx="120">
                  <c:v>742.64768500866955</c:v>
                </c:pt>
                <c:pt idx="121">
                  <c:v>708.99167125142458</c:v>
                </c:pt>
                <c:pt idx="122">
                  <c:v>714.76757214919553</c:v>
                </c:pt>
                <c:pt idx="123">
                  <c:v>720.54251983862753</c:v>
                </c:pt>
                <c:pt idx="124">
                  <c:v>726.31652303665248</c:v>
                </c:pt>
                <c:pt idx="125">
                  <c:v>732.08959031030997</c:v>
                </c:pt>
                <c:pt idx="126">
                  <c:v>737.86173008051219</c:v>
                </c:pt>
                <c:pt idx="127">
                  <c:v>743.63295062568523</c:v>
                </c:pt>
                <c:pt idx="128">
                  <c:v>749.40326008529053</c:v>
                </c:pt>
                <c:pt idx="129">
                  <c:v>755.17266646323208</c:v>
                </c:pt>
                <c:pt idx="130">
                  <c:v>760.94117763115719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34192"/>
        <c:axId val="2025034736"/>
      </c:scatterChart>
      <c:valAx>
        <c:axId val="20250341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4736"/>
        <c:crosses val="autoZero"/>
        <c:crossBetween val="midCat"/>
      </c:valAx>
      <c:valAx>
        <c:axId val="2025034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41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2.5983166838350953</c:v>
                </c:pt>
                <c:pt idx="2">
                  <c:v>3.2463174463232147</c:v>
                </c:pt>
                <c:pt idx="3">
                  <c:v>4.0565513374209239</c:v>
                </c:pt>
                <c:pt idx="4">
                  <c:v>5.0697828618695446</c:v>
                </c:pt>
                <c:pt idx="5">
                  <c:v>6.3370542463297648</c:v>
                </c:pt>
                <c:pt idx="6">
                  <c:v>7.9222848506989054</c:v>
                </c:pt>
                <c:pt idx="7">
                  <c:v>9.9055299174053317</c:v>
                </c:pt>
                <c:pt idx="8">
                  <c:v>12.387066341894517</c:v>
                </c:pt>
                <c:pt idx="9">
                  <c:v>15.492515895586982</c:v>
                </c:pt>
                <c:pt idx="10">
                  <c:v>19.379270002357259</c:v>
                </c:pt>
                <c:pt idx="11">
                  <c:v>24.244547556933963</c:v>
                </c:pt>
                <c:pt idx="12">
                  <c:v>30.335501891424943</c:v>
                </c:pt>
                <c:pt idx="13">
                  <c:v>37.961899258450863</c:v>
                </c:pt>
                <c:pt idx="14">
                  <c:v>47.512024652827165</c:v>
                </c:pt>
                <c:pt idx="15">
                  <c:v>59.472638408851729</c:v>
                </c:pt>
                <c:pt idx="16">
                  <c:v>67.408662492679099</c:v>
                </c:pt>
                <c:pt idx="17">
                  <c:v>75.320599808628302</c:v>
                </c:pt>
                <c:pt idx="18">
                  <c:v>83.211344052224632</c:v>
                </c:pt>
                <c:pt idx="19">
                  <c:v>91.083193034949701</c:v>
                </c:pt>
                <c:pt idx="20">
                  <c:v>98.938013551923461</c:v>
                </c:pt>
                <c:pt idx="21">
                  <c:v>107.13333833929822</c:v>
                </c:pt>
                <c:pt idx="22">
                  <c:v>115.31321791037726</c:v>
                </c:pt>
                <c:pt idx="23">
                  <c:v>123.47890428692084</c:v>
                </c:pt>
                <c:pt idx="24">
                  <c:v>131.63146998500227</c:v>
                </c:pt>
                <c:pt idx="25">
                  <c:v>139.7718435296224</c:v>
                </c:pt>
                <c:pt idx="26">
                  <c:v>123.83362931472313</c:v>
                </c:pt>
                <c:pt idx="27">
                  <c:v>130.92304770905506</c:v>
                </c:pt>
                <c:pt idx="28">
                  <c:v>138.00319162665042</c:v>
                </c:pt>
                <c:pt idx="29">
                  <c:v>145.07460486529592</c:v>
                </c:pt>
                <c:pt idx="30">
                  <c:v>152.13777377111359</c:v>
                </c:pt>
                <c:pt idx="31">
                  <c:v>160.60330678698656</c:v>
                </c:pt>
                <c:pt idx="32">
                  <c:v>169.05827270884916</c:v>
                </c:pt>
                <c:pt idx="33">
                  <c:v>177.5032752566774</c:v>
                </c:pt>
                <c:pt idx="34">
                  <c:v>185.93885592329801</c:v>
                </c:pt>
                <c:pt idx="35">
                  <c:v>194.36550298334643</c:v>
                </c:pt>
                <c:pt idx="36">
                  <c:v>169.41034278527815</c:v>
                </c:pt>
                <c:pt idx="37">
                  <c:v>177.85494234060414</c:v>
                </c:pt>
                <c:pt idx="38">
                  <c:v>186.29014136595831</c:v>
                </c:pt>
                <c:pt idx="39">
                  <c:v>194.71642608832349</c:v>
                </c:pt>
                <c:pt idx="40">
                  <c:v>203.13423715529458</c:v>
                </c:pt>
                <c:pt idx="41">
                  <c:v>211.5439756614193</c:v>
                </c:pt>
                <c:pt idx="42">
                  <c:v>219.94600816465757</c:v>
                </c:pt>
                <c:pt idx="43">
                  <c:v>228.34067089512379</c:v>
                </c:pt>
                <c:pt idx="44">
                  <c:v>236.72827331171041</c:v>
                </c:pt>
                <c:pt idx="45">
                  <c:v>245.10910112764864</c:v>
                </c:pt>
                <c:pt idx="46">
                  <c:v>216.44607557160018</c:v>
                </c:pt>
                <c:pt idx="47">
                  <c:v>224.49401164296523</c:v>
                </c:pt>
                <c:pt idx="48">
                  <c:v>232.53533626130948</c:v>
                </c:pt>
                <c:pt idx="49">
                  <c:v>240.57031057620057</c:v>
                </c:pt>
                <c:pt idx="50">
                  <c:v>248.59917684690126</c:v>
                </c:pt>
                <c:pt idx="51">
                  <c:v>256.27345444267445</c:v>
                </c:pt>
                <c:pt idx="52">
                  <c:v>263.94253392620135</c:v>
                </c:pt>
                <c:pt idx="53">
                  <c:v>271.60658781037904</c:v>
                </c:pt>
                <c:pt idx="54">
                  <c:v>279.26577806642058</c:v>
                </c:pt>
                <c:pt idx="55">
                  <c:v>286.9202570458869</c:v>
                </c:pt>
                <c:pt idx="56">
                  <c:v>255.92473775915406</c:v>
                </c:pt>
                <c:pt idx="57">
                  <c:v>263.24555506532818</c:v>
                </c:pt>
                <c:pt idx="58">
                  <c:v>270.56177945365772</c:v>
                </c:pt>
                <c:pt idx="59">
                  <c:v>277.87355278777545</c:v>
                </c:pt>
                <c:pt idx="60">
                  <c:v>285.18100884727511</c:v>
                </c:pt>
                <c:pt idx="61">
                  <c:v>292.13659270097298</c:v>
                </c:pt>
                <c:pt idx="62">
                  <c:v>299.08847869495395</c:v>
                </c:pt>
                <c:pt idx="63">
                  <c:v>306.03676500452571</c:v>
                </c:pt>
                <c:pt idx="64">
                  <c:v>312.98154497816944</c:v>
                </c:pt>
                <c:pt idx="65">
                  <c:v>319.92290747907691</c:v>
                </c:pt>
                <c:pt idx="66">
                  <c:v>288.65926934113514</c:v>
                </c:pt>
                <c:pt idx="67">
                  <c:v>295.61299167710996</c:v>
                </c:pt>
                <c:pt idx="68">
                  <c:v>302.56306586704608</c:v>
                </c:pt>
                <c:pt idx="69">
                  <c:v>309.50958762804521</c:v>
                </c:pt>
                <c:pt idx="70">
                  <c:v>316.45264802528953</c:v>
                </c:pt>
                <c:pt idx="71">
                  <c:v>322.6985146909015</c:v>
                </c:pt>
                <c:pt idx="72">
                  <c:v>328.94170839365825</c:v>
                </c:pt>
                <c:pt idx="73">
                  <c:v>335.18228708152941</c:v>
                </c:pt>
                <c:pt idx="74">
                  <c:v>341.42030636615868</c:v>
                </c:pt>
                <c:pt idx="75">
                  <c:v>347.65581965898053</c:v>
                </c:pt>
                <c:pt idx="76">
                  <c:v>315.75849524236122</c:v>
                </c:pt>
                <c:pt idx="77">
                  <c:v>322.00466258727687</c:v>
                </c:pt>
                <c:pt idx="78">
                  <c:v>328.24815038016726</c:v>
                </c:pt>
                <c:pt idx="79">
                  <c:v>334.48901683747783</c:v>
                </c:pt>
                <c:pt idx="80">
                  <c:v>340.7273178235244</c:v>
                </c:pt>
                <c:pt idx="81">
                  <c:v>346.27036394506968</c:v>
                </c:pt>
                <c:pt idx="82">
                  <c:v>351.81146173661563</c:v>
                </c:pt>
                <c:pt idx="83">
                  <c:v>357.35064625082185</c:v>
                </c:pt>
                <c:pt idx="84">
                  <c:v>362.88795136374142</c:v>
                </c:pt>
                <c:pt idx="85">
                  <c:v>368.42340983207026</c:v>
                </c:pt>
                <c:pt idx="86">
                  <c:v>337.26190853958701</c:v>
                </c:pt>
                <c:pt idx="87">
                  <c:v>342.45973119739142</c:v>
                </c:pt>
                <c:pt idx="88">
                  <c:v>347.65581965898036</c:v>
                </c:pt>
                <c:pt idx="89">
                  <c:v>352.85020353381975</c:v>
                </c:pt>
                <c:pt idx="90">
                  <c:v>358.04291148739202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035280"/>
        <c:axId val="2064815312"/>
      </c:scatterChart>
      <c:valAx>
        <c:axId val="2025035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15312"/>
        <c:crosses val="autoZero"/>
        <c:crossBetween val="midCat"/>
      </c:valAx>
      <c:valAx>
        <c:axId val="206481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5035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2.8530458900838358</c:v>
                </c:pt>
                <c:pt idx="2">
                  <c:v>3.3039212099420436</c:v>
                </c:pt>
                <c:pt idx="3">
                  <c:v>3.8263060507819229</c:v>
                </c:pt>
                <c:pt idx="4">
                  <c:v>4.431580333413633</c:v>
                </c:pt>
                <c:pt idx="5">
                  <c:v>5.1329406942075515</c:v>
                </c:pt>
                <c:pt idx="6">
                  <c:v>5.945691362151531</c:v>
                </c:pt>
                <c:pt idx="7">
                  <c:v>6.887581735097335</c:v>
                </c:pt>
                <c:pt idx="8">
                  <c:v>7.9791981712630529</c:v>
                </c:pt>
                <c:pt idx="9">
                  <c:v>9.2444187244984306</c:v>
                </c:pt>
                <c:pt idx="10">
                  <c:v>10.71094096024798</c:v>
                </c:pt>
                <c:pt idx="11">
                  <c:v>12.410894625303198</c:v>
                </c:pt>
                <c:pt idx="12">
                  <c:v>14.381552845209095</c:v>
                </c:pt>
                <c:pt idx="13">
                  <c:v>16.666157731457787</c:v>
                </c:pt>
                <c:pt idx="14">
                  <c:v>19.314878846195473</c:v>
                </c:pt>
                <c:pt idx="15">
                  <c:v>22.385925953013096</c:v>
                </c:pt>
                <c:pt idx="16">
                  <c:v>25.946840945811488</c:v>
                </c:pt>
                <c:pt idx="17">
                  <c:v>30.07599787199096</c:v>
                </c:pt>
                <c:pt idx="18">
                  <c:v>34.864344642284394</c:v>
                </c:pt>
                <c:pt idx="19">
                  <c:v>40.417425453185118</c:v>
                </c:pt>
                <c:pt idx="20">
                  <c:v>46.85772926204951</c:v>
                </c:pt>
                <c:pt idx="21">
                  <c:v>53.349300230420219</c:v>
                </c:pt>
                <c:pt idx="22">
                  <c:v>59.820043288621314</c:v>
                </c:pt>
                <c:pt idx="23">
                  <c:v>66.272536635761469</c:v>
                </c:pt>
                <c:pt idx="24">
                  <c:v>72.708812992429259</c:v>
                </c:pt>
                <c:pt idx="25">
                  <c:v>79.130514295439681</c:v>
                </c:pt>
                <c:pt idx="26">
                  <c:v>86.819205269098731</c:v>
                </c:pt>
                <c:pt idx="27">
                  <c:v>94.490773445625265</c:v>
                </c:pt>
                <c:pt idx="28">
                  <c:v>102.14680795061109</c:v>
                </c:pt>
                <c:pt idx="29">
                  <c:v>109.78863954070187</c:v>
                </c:pt>
                <c:pt idx="30">
                  <c:v>117.41739809202979</c:v>
                </c:pt>
                <c:pt idx="31">
                  <c:v>125.03405430760159</c:v>
                </c:pt>
                <c:pt idx="32">
                  <c:v>132.63945069450935</c:v>
                </c:pt>
                <c:pt idx="33">
                  <c:v>140.23432504208844</c:v>
                </c:pt>
                <c:pt idx="34">
                  <c:v>147.81932853312981</c:v>
                </c:pt>
                <c:pt idx="35">
                  <c:v>155.39503993343254</c:v>
                </c:pt>
                <c:pt idx="36">
                  <c:v>127.99300373621668</c:v>
                </c:pt>
                <c:pt idx="37">
                  <c:v>136.4381605770578</c:v>
                </c:pt>
                <c:pt idx="38">
                  <c:v>144.87073948277092</c:v>
                </c:pt>
                <c:pt idx="39">
                  <c:v>153.29157689885758</c:v>
                </c:pt>
                <c:pt idx="40">
                  <c:v>161.70140970029556</c:v>
                </c:pt>
                <c:pt idx="41">
                  <c:v>169.68115418242931</c:v>
                </c:pt>
                <c:pt idx="42">
                  <c:v>177.65205947769599</c:v>
                </c:pt>
                <c:pt idx="43">
                  <c:v>185.6145786783502</c:v>
                </c:pt>
                <c:pt idx="44">
                  <c:v>193.56912276774736</c:v>
                </c:pt>
                <c:pt idx="45">
                  <c:v>201.51606614204607</c:v>
                </c:pt>
                <c:pt idx="46">
                  <c:v>171.77959852127819</c:v>
                </c:pt>
                <c:pt idx="47">
                  <c:v>179.7482548480051</c:v>
                </c:pt>
                <c:pt idx="48">
                  <c:v>187.70863707245698</c:v>
                </c:pt>
                <c:pt idx="49">
                  <c:v>195.66114605562757</c:v>
                </c:pt>
                <c:pt idx="50">
                  <c:v>203.60614736350433</c:v>
                </c:pt>
                <c:pt idx="51">
                  <c:v>211.96156334030783</c:v>
                </c:pt>
                <c:pt idx="52">
                  <c:v>220.30938898976532</c:v>
                </c:pt>
                <c:pt idx="53">
                  <c:v>228.64995281860425</c:v>
                </c:pt>
                <c:pt idx="54">
                  <c:v>236.98355738084277</c:v>
                </c:pt>
                <c:pt idx="55">
                  <c:v>245.31048218883168</c:v>
                </c:pt>
                <c:pt idx="56">
                  <c:v>213.63172478455704</c:v>
                </c:pt>
                <c:pt idx="57">
                  <c:v>221.56092883337803</c:v>
                </c:pt>
                <c:pt idx="58">
                  <c:v>229.48362165810047</c:v>
                </c:pt>
                <c:pt idx="59">
                  <c:v>237.40006003332357</c:v>
                </c:pt>
                <c:pt idx="60">
                  <c:v>245.31048218883168</c:v>
                </c:pt>
                <c:pt idx="61">
                  <c:v>253.21510971702909</c:v>
                </c:pt>
                <c:pt idx="62">
                  <c:v>261.11414922946938</c:v>
                </c:pt>
                <c:pt idx="63">
                  <c:v>269.0077938022381</c:v>
                </c:pt>
                <c:pt idx="64">
                  <c:v>276.89622424264059</c:v>
                </c:pt>
                <c:pt idx="65">
                  <c:v>284.77961020385533</c:v>
                </c:pt>
                <c:pt idx="66">
                  <c:v>250.71952474895636</c:v>
                </c:pt>
                <c:pt idx="67">
                  <c:v>258.20461441214769</c:v>
                </c:pt>
                <c:pt idx="68">
                  <c:v>265.68479967259987</c:v>
                </c:pt>
                <c:pt idx="69">
                  <c:v>273.16023825041395</c:v>
                </c:pt>
                <c:pt idx="70">
                  <c:v>280.63107851839709</c:v>
                </c:pt>
                <c:pt idx="71">
                  <c:v>287.68277599708523</c:v>
                </c:pt>
                <c:pt idx="72">
                  <c:v>294.73060802032893</c:v>
                </c:pt>
                <c:pt idx="73">
                  <c:v>301.7746801674329</c:v>
                </c:pt>
                <c:pt idx="74">
                  <c:v>308.81509268095914</c:v>
                </c:pt>
                <c:pt idx="75">
                  <c:v>315.85194085471181</c:v>
                </c:pt>
                <c:pt idx="76">
                  <c:v>281.46089418692515</c:v>
                </c:pt>
                <c:pt idx="77">
                  <c:v>288.5121312426167</c:v>
                </c:pt>
                <c:pt idx="78">
                  <c:v>295.55951555452697</c:v>
                </c:pt>
                <c:pt idx="79">
                  <c:v>302.60315205267631</c:v>
                </c:pt>
                <c:pt idx="80">
                  <c:v>309.64314037802711</c:v>
                </c:pt>
                <c:pt idx="81">
                  <c:v>315.85194085471193</c:v>
                </c:pt>
                <c:pt idx="82">
                  <c:v>322.05803699935797</c:v>
                </c:pt>
                <c:pt idx="83">
                  <c:v>328.26148833919052</c:v>
                </c:pt>
                <c:pt idx="84">
                  <c:v>334.46235196533502</c:v>
                </c:pt>
                <c:pt idx="85">
                  <c:v>340.66068267684119</c:v>
                </c:pt>
                <c:pt idx="86">
                  <c:v>310.05714577566249</c:v>
                </c:pt>
                <c:pt idx="87">
                  <c:v>316.67957526595023</c:v>
                </c:pt>
                <c:pt idx="88">
                  <c:v>323.29893699066059</c:v>
                </c:pt>
                <c:pt idx="89">
                  <c:v>329.91530269151457</c:v>
                </c:pt>
                <c:pt idx="90">
                  <c:v>336.5287409947552</c:v>
                </c:pt>
                <c:pt idx="91">
                  <c:v>342.31314985114523</c:v>
                </c:pt>
                <c:pt idx="92">
                  <c:v>348.09541005573732</c:v>
                </c:pt>
                <c:pt idx="93">
                  <c:v>353.87556237718678</c:v>
                </c:pt>
                <c:pt idx="94">
                  <c:v>359.65364614215167</c:v>
                </c:pt>
                <c:pt idx="95">
                  <c:v>365.42969930916388</c:v>
                </c:pt>
                <c:pt idx="96">
                  <c:v>334.46235196533502</c:v>
                </c:pt>
                <c:pt idx="97">
                  <c:v>340.66068267684119</c:v>
                </c:pt>
                <c:pt idx="98">
                  <c:v>346.8565331136702</c:v>
                </c:pt>
                <c:pt idx="99">
                  <c:v>353.04995387967392</c:v>
                </c:pt>
                <c:pt idx="100">
                  <c:v>359.24099365648948</c:v>
                </c:pt>
                <c:pt idx="101">
                  <c:v>365.01719063545926</c:v>
                </c:pt>
                <c:pt idx="102">
                  <c:v>370.79139109899671</c:v>
                </c:pt>
                <c:pt idx="103">
                  <c:v>376.56363055787483</c:v>
                </c:pt>
                <c:pt idx="104">
                  <c:v>382.33394334423559</c:v>
                </c:pt>
                <c:pt idx="105">
                  <c:v>388.10236266830731</c:v>
                </c:pt>
                <c:pt idx="106">
                  <c:v>357.17757535606319</c:v>
                </c:pt>
                <c:pt idx="107">
                  <c:v>363.3670539509107</c:v>
                </c:pt>
                <c:pt idx="108">
                  <c:v>369.55422870449638</c:v>
                </c:pt>
                <c:pt idx="109">
                  <c:v>375.73914366877972</c:v>
                </c:pt>
                <c:pt idx="110">
                  <c:v>381.92184132571992</c:v>
                </c:pt>
                <c:pt idx="111">
                  <c:v>388.10236266830731</c:v>
                </c:pt>
                <c:pt idx="112">
                  <c:v>394.28074727616132</c:v>
                </c:pt>
                <c:pt idx="113">
                  <c:v>400.45703338613862</c:v>
                </c:pt>
                <c:pt idx="114">
                  <c:v>406.63125795835577</c:v>
                </c:pt>
                <c:pt idx="115">
                  <c:v>412.80345673799087</c:v>
                </c:pt>
                <c:pt idx="116">
                  <c:v>418.97366431319239</c:v>
                </c:pt>
                <c:pt idx="117">
                  <c:v>425.14191416939951</c:v>
                </c:pt>
                <c:pt idx="118">
                  <c:v>431.30823874034081</c:v>
                </c:pt>
                <c:pt idx="119">
                  <c:v>437.47266945596539</c:v>
                </c:pt>
                <c:pt idx="120">
                  <c:v>443.63523678752927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821296"/>
        <c:axId val="2064808240"/>
      </c:scatterChart>
      <c:valAx>
        <c:axId val="2064821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08240"/>
        <c:crosses val="autoZero"/>
        <c:crossBetween val="midCat"/>
      </c:valAx>
      <c:valAx>
        <c:axId val="206480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21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4814768"/>
        <c:axId val="2064818032"/>
      </c:scatterChart>
      <c:valAx>
        <c:axId val="20648147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18032"/>
        <c:crosses val="autoZero"/>
        <c:crossBetween val="midCat"/>
      </c:valAx>
      <c:valAx>
        <c:axId val="206481803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648147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topLeftCell="A13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89" t="s">
        <v>291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</row>
    <row r="13" spans="2:13" ht="15" customHeight="1" x14ac:dyDescent="0.3">
      <c r="B13" s="289"/>
      <c r="C13" s="289"/>
      <c r="D13" s="289"/>
      <c r="E13" s="289"/>
      <c r="F13" s="289"/>
      <c r="G13" s="289"/>
      <c r="H13" s="289"/>
      <c r="I13" s="289"/>
      <c r="J13" s="289"/>
      <c r="K13" s="289"/>
      <c r="L13" s="289"/>
      <c r="M13" s="289"/>
    </row>
    <row r="14" spans="2:13" ht="15" customHeight="1" x14ac:dyDescent="0.3">
      <c r="B14" s="289"/>
      <c r="C14" s="289"/>
      <c r="D14" s="289"/>
      <c r="E14" s="289"/>
      <c r="F14" s="289"/>
      <c r="G14" s="289"/>
      <c r="H14" s="289"/>
      <c r="I14" s="289"/>
      <c r="J14" s="289"/>
      <c r="K14" s="289"/>
      <c r="L14" s="289"/>
      <c r="M14" s="289"/>
    </row>
    <row r="15" spans="2:13" ht="18.75" customHeight="1" x14ac:dyDescent="0.3">
      <c r="B15" s="289"/>
      <c r="C15" s="289"/>
      <c r="D15" s="289"/>
      <c r="E15" s="289"/>
      <c r="F15" s="289"/>
      <c r="G15" s="289"/>
      <c r="H15" s="289"/>
      <c r="I15" s="289"/>
      <c r="J15" s="289"/>
      <c r="K15" s="289"/>
      <c r="L15" s="289"/>
      <c r="M15" s="289"/>
    </row>
    <row r="16" spans="2:13" ht="18.75" customHeight="1" x14ac:dyDescent="0.3">
      <c r="B16" s="289"/>
      <c r="C16" s="289"/>
      <c r="D16" s="289"/>
      <c r="E16" s="289"/>
      <c r="F16" s="289"/>
      <c r="G16" s="289"/>
      <c r="H16" s="289"/>
      <c r="I16" s="289"/>
      <c r="J16" s="289"/>
      <c r="K16" s="289"/>
      <c r="L16" s="289"/>
      <c r="M16" s="289"/>
    </row>
    <row r="18" spans="2:13" ht="12" customHeight="1" x14ac:dyDescent="0.3">
      <c r="B18" s="289" t="s">
        <v>292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</row>
    <row r="19" spans="2:13" ht="12" customHeight="1" x14ac:dyDescent="0.3">
      <c r="B19" s="289"/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</row>
    <row r="20" spans="2:13" ht="12" customHeight="1" x14ac:dyDescent="0.3">
      <c r="B20" s="289"/>
      <c r="C20" s="289"/>
      <c r="D20" s="289"/>
      <c r="E20" s="289"/>
      <c r="F20" s="289"/>
      <c r="G20" s="289"/>
      <c r="H20" s="289"/>
      <c r="I20" s="289"/>
      <c r="J20" s="289"/>
      <c r="K20" s="289"/>
      <c r="L20" s="289"/>
      <c r="M20" s="289"/>
    </row>
    <row r="21" spans="2:13" ht="12" customHeight="1" x14ac:dyDescent="0.3">
      <c r="B21" s="289"/>
      <c r="C21" s="289"/>
      <c r="D21" s="289"/>
      <c r="E21" s="289"/>
      <c r="F21" s="289"/>
      <c r="G21" s="289"/>
      <c r="H21" s="289"/>
      <c r="I21" s="289"/>
      <c r="J21" s="289"/>
      <c r="K21" s="289"/>
      <c r="L21" s="289"/>
      <c r="M21" s="289"/>
    </row>
    <row r="22" spans="2:13" ht="12" customHeight="1" x14ac:dyDescent="0.3">
      <c r="B22" s="289"/>
      <c r="C22" s="289"/>
      <c r="D22" s="289"/>
      <c r="E22" s="289"/>
      <c r="F22" s="289"/>
      <c r="G22" s="289"/>
      <c r="H22" s="289"/>
      <c r="I22" s="289"/>
      <c r="J22" s="289"/>
      <c r="K22" s="289"/>
      <c r="L22" s="289"/>
      <c r="M22" s="289"/>
    </row>
    <row r="23" spans="2:13" ht="12" customHeight="1" x14ac:dyDescent="0.3">
      <c r="B23" s="289"/>
      <c r="C23" s="289"/>
      <c r="D23" s="289"/>
      <c r="E23" s="289"/>
      <c r="F23" s="289"/>
      <c r="G23" s="289"/>
      <c r="H23" s="289"/>
      <c r="I23" s="289"/>
      <c r="J23" s="289"/>
      <c r="K23" s="289"/>
      <c r="L23" s="289"/>
      <c r="M23" s="289"/>
    </row>
    <row r="24" spans="2:13" ht="12" customHeight="1" x14ac:dyDescent="0.3">
      <c r="B24" s="289"/>
      <c r="C24" s="289"/>
      <c r="D24" s="289"/>
      <c r="E24" s="289"/>
      <c r="F24" s="289"/>
      <c r="G24" s="289"/>
      <c r="H24" s="289"/>
      <c r="I24" s="289"/>
      <c r="J24" s="289"/>
      <c r="K24" s="289"/>
      <c r="L24" s="289"/>
      <c r="M24" s="289"/>
    </row>
    <row r="25" spans="2:13" ht="12" customHeight="1" x14ac:dyDescent="0.3">
      <c r="B25" s="289"/>
      <c r="C25" s="289"/>
      <c r="D25" s="289"/>
      <c r="E25" s="289"/>
      <c r="F25" s="289"/>
      <c r="G25" s="289"/>
      <c r="H25" s="289"/>
      <c r="I25" s="289"/>
      <c r="J25" s="289"/>
      <c r="K25" s="289"/>
      <c r="L25" s="289"/>
      <c r="M25" s="289"/>
    </row>
    <row r="26" spans="2:13" ht="12" customHeight="1" x14ac:dyDescent="0.3">
      <c r="B26" s="289"/>
      <c r="C26" s="289"/>
      <c r="D26" s="289"/>
      <c r="E26" s="289"/>
      <c r="F26" s="289"/>
      <c r="G26" s="289"/>
      <c r="H26" s="289"/>
      <c r="I26" s="289"/>
      <c r="J26" s="289"/>
      <c r="K26" s="289"/>
      <c r="L26" s="289"/>
      <c r="M26" s="289"/>
    </row>
    <row r="27" spans="2:13" ht="12" customHeight="1" x14ac:dyDescent="0.3">
      <c r="B27" s="289"/>
      <c r="C27" s="289"/>
      <c r="D27" s="289"/>
      <c r="E27" s="289"/>
      <c r="F27" s="289"/>
      <c r="G27" s="289"/>
      <c r="H27" s="289"/>
      <c r="I27" s="289"/>
      <c r="J27" s="289"/>
      <c r="K27" s="289"/>
      <c r="L27" s="289"/>
      <c r="M27" s="289"/>
    </row>
    <row r="28" spans="2:13" ht="12" customHeight="1" x14ac:dyDescent="0.3"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</row>
    <row r="29" spans="2:13" ht="12" customHeight="1" x14ac:dyDescent="0.3">
      <c r="B29" s="289"/>
      <c r="C29" s="289"/>
      <c r="D29" s="289"/>
      <c r="E29" s="289"/>
      <c r="F29" s="289"/>
      <c r="G29" s="289"/>
      <c r="H29" s="289"/>
      <c r="I29" s="289"/>
      <c r="J29" s="289"/>
      <c r="K29" s="289"/>
      <c r="L29" s="289"/>
      <c r="M29" s="289"/>
    </row>
    <row r="30" spans="2:13" ht="12" customHeight="1" x14ac:dyDescent="0.3">
      <c r="B30" s="289"/>
      <c r="C30" s="289"/>
      <c r="D30" s="289"/>
      <c r="E30" s="289"/>
      <c r="F30" s="289"/>
      <c r="G30" s="289"/>
      <c r="H30" s="289"/>
      <c r="I30" s="289"/>
      <c r="J30" s="289"/>
      <c r="K30" s="289"/>
      <c r="L30" s="289"/>
      <c r="M30" s="289"/>
    </row>
    <row r="31" spans="2:13" ht="12" customHeight="1" x14ac:dyDescent="0.3">
      <c r="B31" s="289"/>
      <c r="C31" s="289"/>
      <c r="D31" s="289"/>
      <c r="E31" s="289"/>
      <c r="F31" s="289"/>
      <c r="G31" s="289"/>
      <c r="H31" s="289"/>
      <c r="I31" s="289"/>
      <c r="J31" s="289"/>
      <c r="K31" s="289"/>
      <c r="L31" s="289"/>
      <c r="M31" s="289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5" zoomScaleNormal="85" workbookViewId="0">
      <selection activeCell="E21" sqref="E21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5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5" t="s">
        <v>192</v>
      </c>
      <c r="C3" s="296"/>
      <c r="D3" s="296"/>
      <c r="E3" s="296"/>
      <c r="F3" s="297"/>
      <c r="G3" s="93"/>
      <c r="I3" s="225" t="s">
        <v>304</v>
      </c>
      <c r="J3" s="94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5"/>
      <c r="B4" s="95"/>
      <c r="C4" s="95"/>
      <c r="D4" s="95"/>
      <c r="E4" s="95"/>
      <c r="F4" s="95"/>
      <c r="G4" s="235"/>
      <c r="I4" s="225" t="s">
        <v>305</v>
      </c>
      <c r="J4" s="94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1" t="s">
        <v>231</v>
      </c>
      <c r="B5" s="301"/>
      <c r="C5" s="26">
        <v>11</v>
      </c>
      <c r="D5" s="302" t="s">
        <v>229</v>
      </c>
      <c r="E5" s="303"/>
      <c r="F5" s="95"/>
      <c r="G5" s="235"/>
      <c r="H5" s="236"/>
      <c r="I5" s="236"/>
      <c r="J5" s="244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6"/>
      <c r="B6" s="96"/>
      <c r="C6" s="97"/>
      <c r="D6" s="90"/>
      <c r="E6" s="90"/>
      <c r="F6" s="29"/>
      <c r="G6" s="237"/>
      <c r="H6" s="238"/>
      <c r="I6" s="238"/>
      <c r="J6" s="245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</row>
    <row r="7" spans="1:38" ht="25.8" x14ac:dyDescent="0.3">
      <c r="A7" s="299" t="s">
        <v>226</v>
      </c>
      <c r="B7" s="299"/>
      <c r="C7" s="95"/>
      <c r="D7" s="95"/>
      <c r="E7" s="5"/>
      <c r="F7" s="95"/>
      <c r="G7" s="235"/>
      <c r="H7" s="236"/>
      <c r="I7" s="236"/>
      <c r="J7" s="244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0"/>
      <c r="J8" s="244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112</v>
      </c>
      <c r="C9" s="35">
        <v>0.27</v>
      </c>
      <c r="D9" s="36">
        <f t="shared" ref="D9:D18" si="0">C9*$C$5</f>
        <v>2.97</v>
      </c>
      <c r="E9" s="37">
        <v>16</v>
      </c>
      <c r="F9" s="38" t="str">
        <f t="array" ref="F9">IF(E9="","",IF(INDEX(A:A,MAX(IF(ISNUMBER($A$36:$A$55),ROW($A$36:$A$55),"")))&lt;&gt;E9,"Corrigez : révolution incorrecte","OK"))</f>
        <v>OK</v>
      </c>
      <c r="G9" s="255" t="s">
        <v>306</v>
      </c>
      <c r="I9" s="251"/>
      <c r="J9" s="244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0.23</v>
      </c>
      <c r="D10" s="36">
        <f t="shared" si="0"/>
        <v>2.5300000000000002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1"/>
      <c r="J10" s="244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36</v>
      </c>
      <c r="C11" s="35">
        <v>0.17</v>
      </c>
      <c r="D11" s="36">
        <f t="shared" si="0"/>
        <v>1.87</v>
      </c>
      <c r="E11" s="37">
        <v>60</v>
      </c>
      <c r="F11" s="38" t="str">
        <f t="array" ref="F11">IF(E11="","",IF(INDEX(A:A,MAX(IF(ISNUMBER($A$88:$A$107),ROW($A$88:$A$107),"")))&lt;&gt;E11,"Corrigez : révolution incorrecte","OK"))</f>
        <v>OK</v>
      </c>
      <c r="H11" s="228"/>
      <c r="I11" s="251"/>
      <c r="J11" s="244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164</v>
      </c>
      <c r="C12" s="35">
        <v>0.09</v>
      </c>
      <c r="D12" s="36">
        <f t="shared" si="0"/>
        <v>0.99</v>
      </c>
      <c r="E12" s="37">
        <v>109</v>
      </c>
      <c r="F12" s="38" t="str">
        <f t="array" ref="F12">IF(E12="","",IF(INDEX(A:A,MAX(IF(ISNUMBER($A$114:$A$133),ROW($A$114:$A$133),"")))&lt;&gt;E12,"Corrigez : révolution incorrecte","OK"))</f>
        <v>OK</v>
      </c>
      <c r="H12" s="228"/>
      <c r="I12" s="251"/>
      <c r="J12" s="244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14</v>
      </c>
      <c r="C13" s="35">
        <v>0.09</v>
      </c>
      <c r="D13" s="36">
        <f t="shared" si="0"/>
        <v>0.99</v>
      </c>
      <c r="E13" s="37">
        <v>150</v>
      </c>
      <c r="F13" s="38" t="str">
        <f t="array" ref="F13">IF(E13="","",IF(INDEX(A:A,MAX(IF(ISNUMBER($A$140:$A$159),ROW($A$140:$A$159),"")))&lt;&gt;E13,"Corrigez : révolution incorrecte","OK"))</f>
        <v>OK</v>
      </c>
      <c r="H13" s="228"/>
      <c r="I13" s="251"/>
      <c r="J13" s="244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9</v>
      </c>
      <c r="C14" s="35">
        <v>7.0000000000000007E-2</v>
      </c>
      <c r="D14" s="36">
        <f t="shared" si="0"/>
        <v>0.77</v>
      </c>
      <c r="E14" s="37">
        <v>130</v>
      </c>
      <c r="F14" s="38" t="str">
        <f t="array" ref="F14">IF(E14="","",IF(INDEX(A:A,MAX(IF(ISNUMBER($A$166:$A$185),ROW($A$166:$A$185),"")))&lt;&gt;E14,"Corrigez : révolution incorrecte","OK"))</f>
        <v>OK</v>
      </c>
      <c r="H14" s="228"/>
      <c r="I14" s="251"/>
      <c r="J14" s="244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</v>
      </c>
      <c r="C15" s="35">
        <v>0.04</v>
      </c>
      <c r="D15" s="36">
        <f t="shared" si="0"/>
        <v>0.44</v>
      </c>
      <c r="E15" s="37">
        <v>90</v>
      </c>
      <c r="F15" s="38" t="str">
        <f t="array" ref="F15">IF(E15="","",IF(INDEX(A:A,MAX(IF(ISNUMBER($A$192:$A$211),ROW($A$192:$A$211),"")))&lt;&gt;E15,"Corrigez : révolution incorrecte","OK"))</f>
        <v>OK</v>
      </c>
      <c r="H15" s="228"/>
      <c r="I15" s="251"/>
      <c r="J15" s="244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 t="s">
        <v>1</v>
      </c>
      <c r="C16" s="35">
        <v>0.02</v>
      </c>
      <c r="D16" s="36">
        <f t="shared" si="0"/>
        <v>0.22</v>
      </c>
      <c r="E16" s="37">
        <v>120</v>
      </c>
      <c r="F16" s="38" t="str">
        <f t="array" ref="F16">IF(E16="","",IF(INDEX(A:A,MAX(IF(ISNUMBER($A$218:$A$237),ROW($A$218:$A$237),"")))&lt;&gt;E16,"Corrigez : révolution incorrecte","OK"))</f>
        <v>OK</v>
      </c>
      <c r="H16" s="228"/>
      <c r="I16" s="251"/>
      <c r="J16" s="244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28"/>
      <c r="I17" s="251"/>
      <c r="J17" s="24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28"/>
      <c r="I18" s="251"/>
      <c r="J18" s="244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98"/>
      <c r="B19" s="39" t="s">
        <v>175</v>
      </c>
      <c r="C19" s="40">
        <f>SUM(C9:C18)</f>
        <v>0.98</v>
      </c>
      <c r="D19" s="41">
        <f>SUM(D9:D18)</f>
        <v>10.78</v>
      </c>
      <c r="E19" s="5"/>
      <c r="F19" s="99"/>
      <c r="G19" s="239"/>
      <c r="H19" s="240"/>
      <c r="I19" s="239"/>
      <c r="J19" s="244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98"/>
      <c r="B20" s="42" t="s">
        <v>230</v>
      </c>
      <c r="C20" s="43" t="str">
        <f>IF(C19&gt;100%,"Erreur : corrigez","OK")</f>
        <v>OK</v>
      </c>
      <c r="D20" s="246"/>
      <c r="F20" s="238"/>
      <c r="G20" s="238"/>
      <c r="H20" s="240"/>
      <c r="I20" s="239"/>
      <c r="J20" s="244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1"/>
      <c r="I21" s="252"/>
      <c r="J21" s="244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298" t="s">
        <v>232</v>
      </c>
      <c r="B22" s="298"/>
      <c r="C22" s="97"/>
      <c r="H22" s="227"/>
      <c r="I22" s="245"/>
      <c r="J22" s="245"/>
      <c r="P22" s="97"/>
      <c r="Q22" s="97"/>
      <c r="R22" s="97"/>
      <c r="S22" s="97"/>
      <c r="T22" s="97"/>
      <c r="U22" s="97"/>
      <c r="V22" s="97"/>
      <c r="W22" s="97"/>
      <c r="X22" s="97"/>
      <c r="Y22" s="97"/>
      <c r="Z22" s="97"/>
      <c r="AA22" s="97"/>
      <c r="AB22" s="97"/>
      <c r="AC22" s="97"/>
      <c r="AD22" s="97"/>
      <c r="AE22" s="97"/>
      <c r="AF22" s="97"/>
      <c r="AG22" s="97"/>
      <c r="AH22" s="97"/>
      <c r="AI22" s="97"/>
      <c r="AJ22" s="97"/>
      <c r="AK22" s="97"/>
      <c r="AL22" s="97"/>
      <c r="AM22" s="97"/>
    </row>
    <row r="23" spans="1:45" x14ac:dyDescent="0.3">
      <c r="A23" s="5"/>
      <c r="B23" s="5"/>
      <c r="C23" s="5"/>
      <c r="H23" s="218"/>
      <c r="I23" s="244"/>
      <c r="J23" s="244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0"/>
      <c r="F24" s="100"/>
      <c r="G24" s="242"/>
      <c r="H24" s="228"/>
      <c r="I24" s="242"/>
      <c r="J24" s="243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1"/>
      <c r="E25" s="5"/>
      <c r="F25" s="101"/>
      <c r="G25" s="243"/>
      <c r="H25" s="228"/>
      <c r="I25" s="243"/>
      <c r="J25" s="243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0"/>
      <c r="F26" s="100"/>
      <c r="G26" s="242"/>
      <c r="I26" s="242"/>
      <c r="J26" s="242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0"/>
      <c r="F27" s="100"/>
      <c r="G27" s="242"/>
      <c r="I27" s="242"/>
      <c r="J27" s="242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4"/>
      <c r="I28" s="244"/>
      <c r="J28" s="244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4"/>
      <c r="I29" s="244"/>
      <c r="J29" s="244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0" t="s">
        <v>227</v>
      </c>
      <c r="B30" s="300"/>
      <c r="D30" s="247"/>
      <c r="H30" s="245"/>
      <c r="I30" s="245"/>
      <c r="J30" s="245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97"/>
      <c r="AQ30" s="97"/>
      <c r="AR30" s="97"/>
      <c r="AS30" s="97"/>
    </row>
    <row r="31" spans="1:45" x14ac:dyDescent="0.3">
      <c r="A31" s="5"/>
      <c r="B31" s="5"/>
      <c r="H31" s="244"/>
      <c r="I31" s="244"/>
      <c r="J31" s="244"/>
      <c r="K31" s="247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Peuplier Koster</v>
      </c>
      <c r="D32" s="256" t="s">
        <v>307</v>
      </c>
      <c r="K32" s="247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47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89" t="s">
        <v>185</v>
      </c>
      <c r="C34" s="290" t="s">
        <v>186</v>
      </c>
      <c r="D34" s="290"/>
      <c r="E34" s="291" t="s">
        <v>187</v>
      </c>
      <c r="F34" s="292"/>
      <c r="G34" s="292"/>
      <c r="H34" s="293"/>
      <c r="I34" s="102"/>
      <c r="J34" s="248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49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8</v>
      </c>
      <c r="B36" s="61">
        <v>12.24</v>
      </c>
      <c r="C36" s="53"/>
      <c r="D36" s="61"/>
      <c r="E36" s="54"/>
      <c r="F36" s="54"/>
      <c r="G36" s="54"/>
      <c r="H36" s="54"/>
      <c r="I36" s="52">
        <f>IFERROR(B36/A36,"")</f>
        <v>1.53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9</v>
      </c>
      <c r="B37" s="61">
        <v>28.56</v>
      </c>
      <c r="C37" s="53"/>
      <c r="D37" s="61"/>
      <c r="E37" s="54"/>
      <c r="F37" s="54"/>
      <c r="G37" s="54"/>
      <c r="H37" s="54"/>
      <c r="I37" s="56">
        <f t="shared" ref="I37:I55" si="1">IF(A37&lt;&gt;0,(B37-(B36-D36))/(A37-A36),"")</f>
        <v>16.32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10</v>
      </c>
      <c r="B38" s="61">
        <v>48.96</v>
      </c>
      <c r="C38" s="53"/>
      <c r="D38" s="61"/>
      <c r="E38" s="54"/>
      <c r="F38" s="54"/>
      <c r="G38" s="54"/>
      <c r="H38" s="54"/>
      <c r="I38" s="56">
        <f t="shared" si="1"/>
        <v>20.400000000000002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11</v>
      </c>
      <c r="B39" s="61">
        <v>67.319999999999993</v>
      </c>
      <c r="C39" s="53"/>
      <c r="D39" s="61"/>
      <c r="E39" s="54"/>
      <c r="F39" s="54"/>
      <c r="G39" s="54"/>
      <c r="H39" s="54"/>
      <c r="I39" s="52">
        <f t="shared" si="1"/>
        <v>18.359999999999992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12</v>
      </c>
      <c r="B40" s="61">
        <v>87.72</v>
      </c>
      <c r="C40" s="53"/>
      <c r="D40" s="61"/>
      <c r="E40" s="54"/>
      <c r="F40" s="54"/>
      <c r="G40" s="54"/>
      <c r="H40" s="54"/>
      <c r="I40" s="52">
        <f t="shared" si="1"/>
        <v>20.400000000000006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13</v>
      </c>
      <c r="B41" s="61">
        <v>108.12</v>
      </c>
      <c r="C41" s="53"/>
      <c r="D41" s="61"/>
      <c r="E41" s="54"/>
      <c r="F41" s="54"/>
      <c r="G41" s="54"/>
      <c r="H41" s="54"/>
      <c r="I41" s="56">
        <f t="shared" si="1"/>
        <v>20.400000000000006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14</v>
      </c>
      <c r="B42" s="61">
        <v>126.48</v>
      </c>
      <c r="C42" s="53"/>
      <c r="D42" s="61"/>
      <c r="E42" s="54"/>
      <c r="F42" s="54"/>
      <c r="G42" s="54"/>
      <c r="H42" s="54"/>
      <c r="I42" s="56">
        <f t="shared" si="1"/>
        <v>18.36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8">
        <v>15</v>
      </c>
      <c r="B43" s="61">
        <v>144.84</v>
      </c>
      <c r="C43" s="58"/>
      <c r="D43" s="61"/>
      <c r="E43" s="64"/>
      <c r="F43" s="64"/>
      <c r="G43" s="64"/>
      <c r="H43" s="64"/>
      <c r="I43" s="52">
        <f t="shared" si="1"/>
        <v>18.36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8">
        <v>16</v>
      </c>
      <c r="B44" s="61">
        <v>161.16</v>
      </c>
      <c r="C44" s="58">
        <v>1</v>
      </c>
      <c r="D44" s="61">
        <f>B44</f>
        <v>161.16</v>
      </c>
      <c r="E44" s="54">
        <v>0.78</v>
      </c>
      <c r="F44" s="54"/>
      <c r="G44" s="54">
        <v>0.1</v>
      </c>
      <c r="H44" s="54">
        <v>0.12</v>
      </c>
      <c r="I44" s="52">
        <f t="shared" si="1"/>
        <v>16.319999999999993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8"/>
      <c r="B45" s="58"/>
      <c r="C45" s="58"/>
      <c r="D45" s="61"/>
      <c r="E45" s="64"/>
      <c r="F45" s="64"/>
      <c r="G45" s="64"/>
      <c r="H45" s="6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8"/>
      <c r="B46" s="58"/>
      <c r="C46" s="58"/>
      <c r="D46" s="58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/>
      <c r="B47" s="61"/>
      <c r="C47" s="61"/>
      <c r="D47" s="61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/>
      <c r="B48" s="61"/>
      <c r="C48" s="61"/>
      <c r="D48" s="61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/>
      <c r="B49" s="61"/>
      <c r="C49" s="61"/>
      <c r="D49" s="61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53"/>
      <c r="B50" s="61"/>
      <c r="C50" s="61"/>
      <c r="D50" s="61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61"/>
      <c r="C51" s="61"/>
      <c r="D51" s="61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53"/>
      <c r="B52" s="61"/>
      <c r="C52" s="61"/>
      <c r="D52" s="61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61"/>
      <c r="C53" s="61"/>
      <c r="D53" s="61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53"/>
      <c r="B54" s="61"/>
      <c r="C54" s="61"/>
      <c r="D54" s="61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53"/>
      <c r="B55" s="61"/>
      <c r="C55" s="61"/>
      <c r="D55" s="61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6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3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89" t="s">
        <v>185</v>
      </c>
      <c r="C60" s="290" t="s">
        <v>186</v>
      </c>
      <c r="D60" s="290"/>
      <c r="E60" s="291" t="s">
        <v>187</v>
      </c>
      <c r="F60" s="292"/>
      <c r="G60" s="292"/>
      <c r="H60" s="293"/>
      <c r="I60" s="102"/>
      <c r="J60" s="248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49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1">
        <v>42</v>
      </c>
      <c r="C62" s="61"/>
      <c r="D62" s="61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1">
        <f>62+8</f>
        <v>70</v>
      </c>
      <c r="C63" s="61"/>
      <c r="D63" s="61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1">
        <f>76+8+21</f>
        <v>105</v>
      </c>
      <c r="C64" s="61">
        <v>1</v>
      </c>
      <c r="D64" s="61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1">
        <f>95+21</f>
        <v>116</v>
      </c>
      <c r="C65" s="61"/>
      <c r="D65" s="61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1">
        <f>116+21+21</f>
        <v>158</v>
      </c>
      <c r="C66" s="61">
        <v>2</v>
      </c>
      <c r="D66" s="61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1">
        <f>137+21</f>
        <v>158</v>
      </c>
      <c r="C67" s="61"/>
      <c r="D67" s="61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1">
        <f>157+21+21</f>
        <v>199</v>
      </c>
      <c r="C68" s="61">
        <v>3</v>
      </c>
      <c r="D68" s="61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61">
        <f>176+21</f>
        <v>197</v>
      </c>
      <c r="C69" s="61"/>
      <c r="D69" s="61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61">
        <v>235</v>
      </c>
      <c r="C70" s="61">
        <v>4</v>
      </c>
      <c r="D70" s="61"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61">
        <v>229</v>
      </c>
      <c r="C71" s="61"/>
      <c r="D71" s="61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61">
        <v>263</v>
      </c>
      <c r="C72" s="61">
        <v>5</v>
      </c>
      <c r="D72" s="61"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61">
        <v>252</v>
      </c>
      <c r="C73" s="61"/>
      <c r="D73" s="61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61">
        <v>282</v>
      </c>
      <c r="C74" s="61">
        <v>6</v>
      </c>
      <c r="D74" s="61"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90</v>
      </c>
      <c r="B75" s="61">
        <v>296</v>
      </c>
      <c r="C75" s="61">
        <v>7</v>
      </c>
      <c r="D75" s="61"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100</v>
      </c>
      <c r="B76" s="61">
        <v>303</v>
      </c>
      <c r="C76" s="61">
        <v>8</v>
      </c>
      <c r="D76" s="61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110</v>
      </c>
      <c r="B77" s="61">
        <v>305</v>
      </c>
      <c r="C77" s="61">
        <v>9</v>
      </c>
      <c r="D77" s="61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120</v>
      </c>
      <c r="B78" s="61">
        <v>303</v>
      </c>
      <c r="C78" s="61">
        <v>10</v>
      </c>
      <c r="D78" s="61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130</v>
      </c>
      <c r="B79" s="61">
        <v>300</v>
      </c>
      <c r="C79" s="61">
        <v>11</v>
      </c>
      <c r="D79" s="61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140</v>
      </c>
      <c r="B80" s="61">
        <v>296</v>
      </c>
      <c r="C80" s="61">
        <v>12</v>
      </c>
      <c r="D80" s="61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150</v>
      </c>
      <c r="B81" s="61">
        <v>293</v>
      </c>
      <c r="C81" s="61">
        <v>13</v>
      </c>
      <c r="D81" s="61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Pin maritime</v>
      </c>
      <c r="D84" s="256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3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89" t="s">
        <v>185</v>
      </c>
      <c r="C86" s="290" t="s">
        <v>186</v>
      </c>
      <c r="D86" s="290"/>
      <c r="E86" s="291" t="s">
        <v>187</v>
      </c>
      <c r="F86" s="292"/>
      <c r="G86" s="292"/>
      <c r="H86" s="293"/>
      <c r="I86" s="102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17</v>
      </c>
      <c r="B88" s="61">
        <f>164.23/1.3</f>
        <v>126.33076923076922</v>
      </c>
      <c r="C88" s="61">
        <v>1</v>
      </c>
      <c r="D88" s="61">
        <f>(164.23-109.52)/1.3</f>
        <v>42.084615384615375</v>
      </c>
      <c r="E88" s="54"/>
      <c r="F88" s="54">
        <v>0.5</v>
      </c>
      <c r="G88" s="54">
        <v>0.5</v>
      </c>
      <c r="H88" s="54"/>
      <c r="I88" s="56">
        <f>IFERROR(B88/A88,"")</f>
        <v>7.4312217194570129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23</v>
      </c>
      <c r="B89" s="61">
        <f>225.95/1.3</f>
        <v>173.80769230769229</v>
      </c>
      <c r="C89" s="61">
        <v>2</v>
      </c>
      <c r="D89" s="61">
        <f>(225.95-155.62)/1.3</f>
        <v>54.099999999999987</v>
      </c>
      <c r="E89" s="54"/>
      <c r="F89" s="54">
        <v>0.5</v>
      </c>
      <c r="G89" s="54">
        <v>0.5</v>
      </c>
      <c r="H89" s="54"/>
      <c r="I89" s="56">
        <f t="shared" ref="I89:I107" si="3">IF(A89&lt;&gt;0,(B89-(B88-D88))/(A89-A88),"")</f>
        <v>14.926923076923075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29</v>
      </c>
      <c r="B90" s="61">
        <f>273.19/1.3</f>
        <v>210.14615384615385</v>
      </c>
      <c r="C90" s="61">
        <v>3</v>
      </c>
      <c r="D90" s="61">
        <f>(273.19-211.23)/1.3</f>
        <v>47.661538461538463</v>
      </c>
      <c r="E90" s="54">
        <v>0.6</v>
      </c>
      <c r="F90" s="54">
        <v>0.2</v>
      </c>
      <c r="G90" s="54">
        <v>0.2</v>
      </c>
      <c r="H90" s="54"/>
      <c r="I90" s="56">
        <f t="shared" si="3"/>
        <v>15.073076923076925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36</v>
      </c>
      <c r="B91" s="61">
        <f>341.35/1.3</f>
        <v>262.57692307692309</v>
      </c>
      <c r="C91" s="61">
        <v>4</v>
      </c>
      <c r="D91" s="61">
        <f>(341.35-257.43)/1.3</f>
        <v>64.553846153846166</v>
      </c>
      <c r="E91" s="54"/>
      <c r="F91" s="54"/>
      <c r="G91" s="54"/>
      <c r="H91" s="54"/>
      <c r="I91" s="56">
        <f t="shared" si="3"/>
        <v>14.298901098901101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44</v>
      </c>
      <c r="B92" s="61">
        <f>394.1/1.3</f>
        <v>303.15384615384619</v>
      </c>
      <c r="C92" s="61">
        <v>5</v>
      </c>
      <c r="D92" s="61">
        <f>(394.1-310.28)/1.3</f>
        <v>64.476923076923114</v>
      </c>
      <c r="E92" s="54"/>
      <c r="F92" s="54"/>
      <c r="G92" s="54"/>
      <c r="H92" s="54"/>
      <c r="I92" s="56">
        <f t="shared" si="3"/>
        <v>13.141346153846158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52</v>
      </c>
      <c r="B93" s="61">
        <f>431.04/1.3</f>
        <v>331.56923076923078</v>
      </c>
      <c r="C93" s="61">
        <v>6</v>
      </c>
      <c r="D93" s="61">
        <f>(431.36-351.04)/1.3</f>
        <v>61.784615384615378</v>
      </c>
      <c r="E93" s="54"/>
      <c r="F93" s="54"/>
      <c r="G93" s="54"/>
      <c r="H93" s="54"/>
      <c r="I93" s="56">
        <f t="shared" si="3"/>
        <v>11.611538461538466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>
        <v>60</v>
      </c>
      <c r="B94" s="61">
        <f>459.55/1.3</f>
        <v>353.5</v>
      </c>
      <c r="C94" s="61">
        <v>7</v>
      </c>
      <c r="D94" s="61">
        <f>B94</f>
        <v>353.5</v>
      </c>
      <c r="E94" s="54"/>
      <c r="F94" s="54"/>
      <c r="G94" s="54"/>
      <c r="H94" s="54"/>
      <c r="I94" s="56">
        <f t="shared" si="3"/>
        <v>10.464423076923076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53"/>
      <c r="B95" s="61"/>
      <c r="C95" s="61"/>
      <c r="D95" s="61"/>
      <c r="E95" s="54"/>
      <c r="F95" s="54"/>
      <c r="G95" s="54"/>
      <c r="H95" s="54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53"/>
      <c r="B96" s="61"/>
      <c r="C96" s="61"/>
      <c r="D96" s="61"/>
      <c r="E96" s="54"/>
      <c r="F96" s="54"/>
      <c r="G96" s="54"/>
      <c r="H96" s="54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53"/>
      <c r="B97" s="61"/>
      <c r="C97" s="61"/>
      <c r="D97" s="61"/>
      <c r="E97" s="54"/>
      <c r="F97" s="54"/>
      <c r="G97" s="54"/>
      <c r="H97" s="54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53"/>
      <c r="B98" s="61"/>
      <c r="C98" s="61"/>
      <c r="D98" s="61"/>
      <c r="E98" s="54"/>
      <c r="F98" s="54"/>
      <c r="G98" s="54"/>
      <c r="H98" s="54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53"/>
      <c r="B99" s="61"/>
      <c r="C99" s="61"/>
      <c r="D99" s="61"/>
      <c r="E99" s="54"/>
      <c r="F99" s="54"/>
      <c r="G99" s="54"/>
      <c r="H99" s="54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53"/>
      <c r="B100" s="61"/>
      <c r="C100" s="61"/>
      <c r="D100" s="61"/>
      <c r="E100" s="54"/>
      <c r="F100" s="54"/>
      <c r="G100" s="54"/>
      <c r="H100" s="54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53"/>
      <c r="B101" s="61"/>
      <c r="C101" s="61"/>
      <c r="D101" s="61"/>
      <c r="E101" s="54"/>
      <c r="F101" s="54"/>
      <c r="G101" s="54"/>
      <c r="H101" s="54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53"/>
      <c r="B102" s="61"/>
      <c r="C102" s="61"/>
      <c r="D102" s="61"/>
      <c r="E102" s="54"/>
      <c r="F102" s="54"/>
      <c r="G102" s="54"/>
      <c r="H102" s="54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53"/>
      <c r="B103" s="61"/>
      <c r="C103" s="61"/>
      <c r="D103" s="61"/>
      <c r="E103" s="54"/>
      <c r="F103" s="54"/>
      <c r="G103" s="54"/>
      <c r="H103" s="54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53"/>
      <c r="B104" s="61"/>
      <c r="C104" s="61"/>
      <c r="D104" s="61"/>
      <c r="E104" s="54"/>
      <c r="F104" s="54"/>
      <c r="G104" s="54"/>
      <c r="H104" s="54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61"/>
      <c r="C105" s="61"/>
      <c r="D105" s="61"/>
      <c r="E105" s="54"/>
      <c r="F105" s="54"/>
      <c r="G105" s="54"/>
      <c r="H105" s="54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61"/>
      <c r="C106" s="61"/>
      <c r="D106" s="61"/>
      <c r="E106" s="54"/>
      <c r="F106" s="54"/>
      <c r="G106" s="54"/>
      <c r="H106" s="54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61"/>
      <c r="C107" s="61"/>
      <c r="D107" s="61"/>
      <c r="E107" s="54"/>
      <c r="F107" s="54"/>
      <c r="G107" s="54"/>
      <c r="H107" s="54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Cèdre de l'Atlas</v>
      </c>
      <c r="D110" s="256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3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89" t="s">
        <v>185</v>
      </c>
      <c r="C112" s="290" t="s">
        <v>186</v>
      </c>
      <c r="D112" s="290"/>
      <c r="E112" s="291" t="s">
        <v>187</v>
      </c>
      <c r="F112" s="292"/>
      <c r="G112" s="292"/>
      <c r="H112" s="293"/>
      <c r="I112" s="102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30</v>
      </c>
      <c r="B114" s="61">
        <f>134.26/1.3</f>
        <v>103.27692307692307</v>
      </c>
      <c r="C114" s="53"/>
      <c r="D114" s="61"/>
      <c r="E114" s="54"/>
      <c r="F114" s="54"/>
      <c r="G114" s="54"/>
      <c r="H114" s="54"/>
      <c r="I114" s="56">
        <f>IFERROR(B114/A114,"")</f>
        <v>3.4425641025641025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51</v>
      </c>
      <c r="B115" s="61">
        <f>(418.39/1.3)</f>
        <v>321.8384615384615</v>
      </c>
      <c r="C115" s="53">
        <v>1</v>
      </c>
      <c r="D115" s="61">
        <f>(130.4/1.3)</f>
        <v>100.30769230769231</v>
      </c>
      <c r="E115" s="54"/>
      <c r="F115" s="54"/>
      <c r="G115" s="54"/>
      <c r="H115" s="54"/>
      <c r="I115" s="56">
        <f t="shared" ref="I115:I133" si="4">IF(A115&lt;&gt;0,(B115-(B114-D114))/(A115-A114),"")</f>
        <v>10.407692307692306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63</v>
      </c>
      <c r="B116" s="61">
        <f>455.9/1.3</f>
        <v>350.69230769230768</v>
      </c>
      <c r="C116" s="53">
        <v>2</v>
      </c>
      <c r="D116" s="61">
        <f>(140.51/1.3)</f>
        <v>108.08461538461538</v>
      </c>
      <c r="E116" s="54"/>
      <c r="F116" s="54"/>
      <c r="G116" s="54"/>
      <c r="H116" s="54"/>
      <c r="I116" s="56">
        <f t="shared" si="4"/>
        <v>10.763461538461542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75</v>
      </c>
      <c r="B117" s="61">
        <f>468.62/1.3</f>
        <v>360.47692307692307</v>
      </c>
      <c r="C117" s="53">
        <v>3</v>
      </c>
      <c r="D117" s="61">
        <f>(110.97/1.3)</f>
        <v>85.361538461538458</v>
      </c>
      <c r="E117" s="54"/>
      <c r="F117" s="54"/>
      <c r="G117" s="54"/>
      <c r="H117" s="54"/>
      <c r="I117" s="56">
        <f t="shared" si="4"/>
        <v>9.8224358974358967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87</v>
      </c>
      <c r="B118" s="61">
        <f>498.08/1.3</f>
        <v>383.13846153846151</v>
      </c>
      <c r="C118" s="53">
        <v>4</v>
      </c>
      <c r="D118" s="61">
        <f>(107.82/1.3)</f>
        <v>82.938461538461524</v>
      </c>
      <c r="E118" s="54"/>
      <c r="F118" s="54"/>
      <c r="G118" s="54"/>
      <c r="H118" s="54"/>
      <c r="I118" s="56">
        <f t="shared" si="4"/>
        <v>9.001923076923072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99</v>
      </c>
      <c r="B119" s="61">
        <f>517.23/1.3</f>
        <v>397.8692307692308</v>
      </c>
      <c r="C119" s="53">
        <v>5</v>
      </c>
      <c r="D119" s="61">
        <f>(257.82/1.3)</f>
        <v>198.32307692307691</v>
      </c>
      <c r="E119" s="54"/>
      <c r="F119" s="54"/>
      <c r="G119" s="54"/>
      <c r="H119" s="54"/>
      <c r="I119" s="56">
        <f t="shared" si="4"/>
        <v>8.1391025641025667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109</v>
      </c>
      <c r="B120" s="61">
        <f>332.92/1.3</f>
        <v>256.09230769230771</v>
      </c>
      <c r="C120" s="53">
        <v>6</v>
      </c>
      <c r="D120" s="61">
        <f>(332.92/1.3)</f>
        <v>256.09230769230771</v>
      </c>
      <c r="E120" s="54"/>
      <c r="F120" s="54"/>
      <c r="G120" s="54"/>
      <c r="H120" s="54"/>
      <c r="I120" s="56">
        <f t="shared" si="4"/>
        <v>5.6546153846153828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8"/>
      <c r="B121" s="61"/>
      <c r="C121" s="58"/>
      <c r="D121" s="61"/>
      <c r="E121" s="64"/>
      <c r="F121" s="64"/>
      <c r="G121" s="64"/>
      <c r="H121" s="64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8"/>
      <c r="B122" s="61"/>
      <c r="C122" s="58"/>
      <c r="D122" s="61"/>
      <c r="E122" s="64"/>
      <c r="F122" s="64"/>
      <c r="G122" s="64"/>
      <c r="H122" s="64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/>
      <c r="B123" s="61"/>
      <c r="C123" s="61"/>
      <c r="D123" s="61"/>
      <c r="E123" s="54"/>
      <c r="F123" s="54"/>
      <c r="G123" s="54"/>
      <c r="H123" s="5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/>
      <c r="B124" s="61"/>
      <c r="C124" s="61"/>
      <c r="D124" s="61"/>
      <c r="E124" s="54"/>
      <c r="F124" s="54"/>
      <c r="G124" s="54"/>
      <c r="H124" s="5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/>
      <c r="B125" s="61"/>
      <c r="C125" s="61"/>
      <c r="D125" s="61"/>
      <c r="E125" s="54"/>
      <c r="F125" s="54"/>
      <c r="G125" s="54"/>
      <c r="H125" s="5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/>
      <c r="B126" s="61"/>
      <c r="C126" s="61"/>
      <c r="D126" s="61"/>
      <c r="E126" s="54"/>
      <c r="F126" s="54"/>
      <c r="G126" s="54"/>
      <c r="H126" s="54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/>
      <c r="B127" s="61"/>
      <c r="C127" s="61"/>
      <c r="D127" s="61"/>
      <c r="E127" s="54"/>
      <c r="F127" s="54"/>
      <c r="G127" s="54"/>
      <c r="H127" s="54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61"/>
      <c r="C128" s="61"/>
      <c r="D128" s="61"/>
      <c r="E128" s="54"/>
      <c r="F128" s="54"/>
      <c r="G128" s="54"/>
      <c r="H128" s="54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61"/>
      <c r="C129" s="61"/>
      <c r="D129" s="61"/>
      <c r="E129" s="54"/>
      <c r="F129" s="54"/>
      <c r="G129" s="54"/>
      <c r="H129" s="54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61"/>
      <c r="C130" s="61"/>
      <c r="D130" s="61"/>
      <c r="E130" s="54"/>
      <c r="F130" s="54"/>
      <c r="G130" s="54"/>
      <c r="H130" s="54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61"/>
      <c r="C131" s="61"/>
      <c r="D131" s="61"/>
      <c r="E131" s="54"/>
      <c r="F131" s="54"/>
      <c r="G131" s="54"/>
      <c r="H131" s="54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61"/>
      <c r="C132" s="61"/>
      <c r="D132" s="61"/>
      <c r="E132" s="54"/>
      <c r="F132" s="54"/>
      <c r="G132" s="54"/>
      <c r="H132" s="54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61"/>
      <c r="C133" s="61"/>
      <c r="D133" s="61"/>
      <c r="E133" s="54"/>
      <c r="F133" s="54"/>
      <c r="G133" s="54"/>
      <c r="H133" s="54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Chêne sessile</v>
      </c>
      <c r="D136" s="256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3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89" t="s">
        <v>185</v>
      </c>
      <c r="C138" s="290" t="s">
        <v>186</v>
      </c>
      <c r="D138" s="290"/>
      <c r="E138" s="291" t="s">
        <v>187</v>
      </c>
      <c r="F138" s="292"/>
      <c r="G138" s="292"/>
      <c r="H138" s="293"/>
      <c r="I138" s="102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20</v>
      </c>
      <c r="B140" s="61">
        <v>42</v>
      </c>
      <c r="C140" s="61"/>
      <c r="D140" s="61"/>
      <c r="E140" s="54"/>
      <c r="F140" s="54"/>
      <c r="G140" s="54"/>
      <c r="H140" s="54"/>
      <c r="I140" s="59">
        <f>IFERROR(B140/A140,"")</f>
        <v>2.1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25</v>
      </c>
      <c r="B141" s="61">
        <f>62+8</f>
        <v>70</v>
      </c>
      <c r="C141" s="61"/>
      <c r="D141" s="61"/>
      <c r="E141" s="54"/>
      <c r="F141" s="54"/>
      <c r="G141" s="54"/>
      <c r="H141" s="54"/>
      <c r="I141" s="59">
        <f t="shared" ref="I141:I159" si="5">IF(A141&lt;&gt;0,(B141-(B140-D140))/(A141-A140),"")</f>
        <v>5.6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30</v>
      </c>
      <c r="B142" s="61">
        <f>76+8+21</f>
        <v>105</v>
      </c>
      <c r="C142" s="61">
        <v>1</v>
      </c>
      <c r="D142" s="61">
        <f>8+21</f>
        <v>29</v>
      </c>
      <c r="E142" s="54"/>
      <c r="F142" s="54"/>
      <c r="G142" s="54"/>
      <c r="H142" s="54">
        <v>1</v>
      </c>
      <c r="I142" s="59">
        <f t="shared" si="5"/>
        <v>7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35</v>
      </c>
      <c r="B143" s="61">
        <f>95+21</f>
        <v>116</v>
      </c>
      <c r="C143" s="61"/>
      <c r="D143" s="61"/>
      <c r="E143" s="54"/>
      <c r="F143" s="54"/>
      <c r="G143" s="54"/>
      <c r="H143" s="54"/>
      <c r="I143" s="59">
        <f t="shared" si="5"/>
        <v>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40</v>
      </c>
      <c r="B144" s="61">
        <f>116+21+21</f>
        <v>158</v>
      </c>
      <c r="C144" s="61">
        <v>2</v>
      </c>
      <c r="D144" s="61">
        <f>21+21</f>
        <v>42</v>
      </c>
      <c r="E144" s="54"/>
      <c r="F144" s="54"/>
      <c r="G144" s="54"/>
      <c r="H144" s="54"/>
      <c r="I144" s="59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45</v>
      </c>
      <c r="B145" s="61">
        <f>137+21</f>
        <v>158</v>
      </c>
      <c r="C145" s="61"/>
      <c r="D145" s="61"/>
      <c r="E145" s="54"/>
      <c r="F145" s="54"/>
      <c r="G145" s="54"/>
      <c r="H145" s="54"/>
      <c r="I145" s="59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50</v>
      </c>
      <c r="B146" s="61">
        <f>157+21+21</f>
        <v>199</v>
      </c>
      <c r="C146" s="61">
        <v>3</v>
      </c>
      <c r="D146" s="61">
        <f>21+21</f>
        <v>42</v>
      </c>
      <c r="E146" s="54"/>
      <c r="F146" s="54"/>
      <c r="G146" s="54"/>
      <c r="H146" s="54"/>
      <c r="I146" s="59">
        <f t="shared" si="5"/>
        <v>8.1999999999999993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55</v>
      </c>
      <c r="B147" s="61">
        <f>176+21</f>
        <v>197</v>
      </c>
      <c r="C147" s="61"/>
      <c r="D147" s="61"/>
      <c r="E147" s="54"/>
      <c r="F147" s="54"/>
      <c r="G147" s="54"/>
      <c r="H147" s="54"/>
      <c r="I147" s="59">
        <f>IF(A147&lt;&gt;0,(B147-(B146-D146))/(A147-A146),"")</f>
        <v>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60</v>
      </c>
      <c r="B148" s="61">
        <v>235</v>
      </c>
      <c r="C148" s="61">
        <v>4</v>
      </c>
      <c r="D148" s="61">
        <v>42</v>
      </c>
      <c r="E148" s="54"/>
      <c r="F148" s="54"/>
      <c r="G148" s="54"/>
      <c r="H148" s="54"/>
      <c r="I148" s="59">
        <f t="shared" si="5"/>
        <v>7.6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65</v>
      </c>
      <c r="B149" s="61">
        <v>229</v>
      </c>
      <c r="C149" s="61"/>
      <c r="D149" s="61"/>
      <c r="E149" s="54"/>
      <c r="F149" s="54"/>
      <c r="G149" s="54"/>
      <c r="H149" s="54"/>
      <c r="I149" s="59">
        <f t="shared" si="5"/>
        <v>7.2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70</v>
      </c>
      <c r="B150" s="61">
        <v>263</v>
      </c>
      <c r="C150" s="61">
        <v>5</v>
      </c>
      <c r="D150" s="61">
        <v>42</v>
      </c>
      <c r="E150" s="54"/>
      <c r="F150" s="54"/>
      <c r="G150" s="54"/>
      <c r="H150" s="54"/>
      <c r="I150" s="59">
        <f t="shared" si="5"/>
        <v>6.8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75</v>
      </c>
      <c r="B151" s="61">
        <v>252</v>
      </c>
      <c r="C151" s="61"/>
      <c r="D151" s="61"/>
      <c r="E151" s="54"/>
      <c r="F151" s="54"/>
      <c r="G151" s="54"/>
      <c r="H151" s="54"/>
      <c r="I151" s="59">
        <f t="shared" si="5"/>
        <v>6.2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80</v>
      </c>
      <c r="B152" s="61">
        <v>282</v>
      </c>
      <c r="C152" s="61">
        <v>6</v>
      </c>
      <c r="D152" s="61">
        <v>42</v>
      </c>
      <c r="E152" s="54"/>
      <c r="F152" s="54"/>
      <c r="G152" s="54"/>
      <c r="H152" s="54"/>
      <c r="I152" s="59">
        <f t="shared" si="5"/>
        <v>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90</v>
      </c>
      <c r="B153" s="61">
        <v>296</v>
      </c>
      <c r="C153" s="61">
        <v>7</v>
      </c>
      <c r="D153" s="61">
        <v>42</v>
      </c>
      <c r="E153" s="54"/>
      <c r="F153" s="54"/>
      <c r="G153" s="54"/>
      <c r="H153" s="54"/>
      <c r="I153" s="59">
        <f t="shared" si="5"/>
        <v>5.6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100</v>
      </c>
      <c r="B154" s="61">
        <v>303</v>
      </c>
      <c r="C154" s="61">
        <v>8</v>
      </c>
      <c r="D154" s="61">
        <v>42</v>
      </c>
      <c r="E154" s="54"/>
      <c r="F154" s="54"/>
      <c r="G154" s="54"/>
      <c r="H154" s="54"/>
      <c r="I154" s="59">
        <f t="shared" si="5"/>
        <v>4.9000000000000004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110</v>
      </c>
      <c r="B155" s="61">
        <v>305</v>
      </c>
      <c r="C155" s="61">
        <v>9</v>
      </c>
      <c r="D155" s="61">
        <v>39</v>
      </c>
      <c r="E155" s="54"/>
      <c r="F155" s="54"/>
      <c r="G155" s="54"/>
      <c r="H155" s="54"/>
      <c r="I155" s="59">
        <f t="shared" si="5"/>
        <v>4.4000000000000004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120</v>
      </c>
      <c r="B156" s="61">
        <v>303</v>
      </c>
      <c r="C156" s="61">
        <v>10</v>
      </c>
      <c r="D156" s="61">
        <v>35</v>
      </c>
      <c r="E156" s="54"/>
      <c r="F156" s="54"/>
      <c r="G156" s="54"/>
      <c r="H156" s="54"/>
      <c r="I156" s="59">
        <f t="shared" si="5"/>
        <v>3.7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130</v>
      </c>
      <c r="B157" s="61">
        <v>300</v>
      </c>
      <c r="C157" s="61">
        <v>11</v>
      </c>
      <c r="D157" s="61">
        <v>31</v>
      </c>
      <c r="E157" s="54"/>
      <c r="F157" s="54"/>
      <c r="G157" s="54"/>
      <c r="H157" s="54"/>
      <c r="I157" s="59">
        <f t="shared" si="5"/>
        <v>3.2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3">
        <v>140</v>
      </c>
      <c r="B158" s="61">
        <v>296</v>
      </c>
      <c r="C158" s="61">
        <v>12</v>
      </c>
      <c r="D158" s="61">
        <v>27</v>
      </c>
      <c r="E158" s="54"/>
      <c r="F158" s="54"/>
      <c r="G158" s="54"/>
      <c r="H158" s="54"/>
      <c r="I158" s="59">
        <f t="shared" si="5"/>
        <v>2.7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3">
        <v>150</v>
      </c>
      <c r="B159" s="61">
        <v>293</v>
      </c>
      <c r="C159" s="61">
        <v>13</v>
      </c>
      <c r="D159" s="61">
        <v>293</v>
      </c>
      <c r="E159" s="54"/>
      <c r="F159" s="54"/>
      <c r="G159" s="54"/>
      <c r="H159" s="54"/>
      <c r="I159" s="59">
        <f t="shared" si="5"/>
        <v>2.4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Chêne chevelu</v>
      </c>
      <c r="D162" s="256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3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89" t="s">
        <v>185</v>
      </c>
      <c r="C164" s="290" t="s">
        <v>186</v>
      </c>
      <c r="D164" s="290"/>
      <c r="E164" s="291" t="s">
        <v>187</v>
      </c>
      <c r="F164" s="292"/>
      <c r="G164" s="292"/>
      <c r="H164" s="293"/>
      <c r="I164" s="102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1">
        <f>(47)/1.56</f>
        <v>30.128205128205128</v>
      </c>
      <c r="C166" s="54"/>
      <c r="D166" s="61"/>
      <c r="E166" s="61"/>
      <c r="F166" s="54"/>
      <c r="G166" s="54"/>
      <c r="H166" s="54"/>
      <c r="I166" s="52">
        <f>IFERROR(B166/A166,"")</f>
        <v>2.0085470085470085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1">
        <f>(86+6)/1.56</f>
        <v>58.974358974358971</v>
      </c>
      <c r="C167" s="61"/>
      <c r="D167" s="61"/>
      <c r="E167" s="61"/>
      <c r="F167" s="54"/>
      <c r="G167" s="54"/>
      <c r="H167" s="54"/>
      <c r="I167" s="52">
        <f t="shared" ref="I167:I185" si="6">IF(A167&lt;&gt;0,(B167-(B166-D166))/(A167-A166),"")</f>
        <v>5.7692307692307683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1">
        <f>(127+6+10)/1.56</f>
        <v>91.666666666666657</v>
      </c>
      <c r="C168" s="61"/>
      <c r="D168" s="61"/>
      <c r="E168" s="61"/>
      <c r="F168" s="54"/>
      <c r="G168" s="54"/>
      <c r="H168" s="54"/>
      <c r="I168" s="52">
        <f t="shared" si="6"/>
        <v>6.5384615384615374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1">
        <f>(167+6+10+13)/1.56</f>
        <v>125.64102564102564</v>
      </c>
      <c r="C169" s="61">
        <v>1</v>
      </c>
      <c r="D169" s="61">
        <f>(6+10+13+15)/1.56</f>
        <v>28.205128205128204</v>
      </c>
      <c r="E169" s="61"/>
      <c r="F169" s="54"/>
      <c r="G169" s="54"/>
      <c r="H169" s="54">
        <v>1</v>
      </c>
      <c r="I169" s="52">
        <f t="shared" si="6"/>
        <v>6.7948717948717956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1">
        <f>(205)/1.56</f>
        <v>131.41025641025641</v>
      </c>
      <c r="C170" s="61"/>
      <c r="D170" s="61"/>
      <c r="E170" s="61"/>
      <c r="F170" s="54"/>
      <c r="G170" s="54"/>
      <c r="H170" s="54"/>
      <c r="I170" s="52">
        <f t="shared" si="6"/>
        <v>6.7948717948717956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1">
        <f>(239+17)/1.56</f>
        <v>164.10256410256409</v>
      </c>
      <c r="C171" s="61">
        <v>2</v>
      </c>
      <c r="D171" s="61">
        <f>(17+18)/1.56</f>
        <v>22.435897435897434</v>
      </c>
      <c r="E171" s="61"/>
      <c r="F171" s="54"/>
      <c r="G171" s="54"/>
      <c r="H171" s="54"/>
      <c r="I171" s="52">
        <f t="shared" si="6"/>
        <v>6.5384615384615357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1">
        <f>(270)/1.56</f>
        <v>173.07692307692307</v>
      </c>
      <c r="C172" s="61"/>
      <c r="D172" s="61"/>
      <c r="E172" s="61"/>
      <c r="F172" s="54"/>
      <c r="G172" s="54"/>
      <c r="H172" s="54"/>
      <c r="I172" s="52">
        <f t="shared" si="6"/>
        <v>6.2820512820512819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280">
        <v>50</v>
      </c>
      <c r="B173" s="61">
        <f>(298+19)/1.56</f>
        <v>203.2051282051282</v>
      </c>
      <c r="C173" s="61">
        <v>3</v>
      </c>
      <c r="D173" s="61">
        <f>(19+19)/1.56</f>
        <v>24.358974358974358</v>
      </c>
      <c r="E173" s="61"/>
      <c r="F173" s="54"/>
      <c r="G173" s="54"/>
      <c r="H173" s="54"/>
      <c r="I173" s="52">
        <f t="shared" si="6"/>
        <v>6.0256410256410273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280">
        <v>55</v>
      </c>
      <c r="B174" s="61">
        <f>(323)/1.56</f>
        <v>207.05128205128204</v>
      </c>
      <c r="C174" s="61"/>
      <c r="D174" s="61"/>
      <c r="E174" s="61"/>
      <c r="F174" s="54"/>
      <c r="G174" s="54"/>
      <c r="H174" s="54"/>
      <c r="I174" s="52">
        <f t="shared" si="6"/>
        <v>5.6410256410256405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280">
        <v>60</v>
      </c>
      <c r="B175" s="61">
        <f>(345+19)/1.56</f>
        <v>233.33333333333331</v>
      </c>
      <c r="C175" s="61">
        <v>4</v>
      </c>
      <c r="D175" s="61">
        <f>(19+19)/1.56</f>
        <v>24.358974358974358</v>
      </c>
      <c r="E175" s="61"/>
      <c r="F175" s="54"/>
      <c r="G175" s="54"/>
      <c r="H175" s="54"/>
      <c r="I175" s="52">
        <f t="shared" si="6"/>
        <v>5.2564102564102537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280">
        <v>65</v>
      </c>
      <c r="B176" s="61">
        <f>(365)/1.56</f>
        <v>233.97435897435898</v>
      </c>
      <c r="C176" s="61"/>
      <c r="D176" s="61"/>
      <c r="E176" s="61"/>
      <c r="F176" s="54"/>
      <c r="G176" s="54"/>
      <c r="H176" s="54"/>
      <c r="I176" s="52">
        <f t="shared" si="6"/>
        <v>5.0000000000000053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280">
        <v>70</v>
      </c>
      <c r="B177" s="61">
        <f>(385+18)/1.56</f>
        <v>258.33333333333331</v>
      </c>
      <c r="C177" s="61">
        <v>5</v>
      </c>
      <c r="D177" s="61">
        <f>(18+18)/1.56</f>
        <v>23.076923076923077</v>
      </c>
      <c r="E177" s="61"/>
      <c r="F177" s="54"/>
      <c r="G177" s="54"/>
      <c r="H177" s="54"/>
      <c r="I177" s="52">
        <f t="shared" si="6"/>
        <v>4.8717948717948669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280">
        <v>75</v>
      </c>
      <c r="B178" s="61">
        <f>(402)/1.56</f>
        <v>257.69230769230768</v>
      </c>
      <c r="C178" s="61"/>
      <c r="D178" s="61"/>
      <c r="E178" s="61"/>
      <c r="F178" s="54"/>
      <c r="G178" s="54"/>
      <c r="H178" s="54"/>
      <c r="I178" s="52">
        <f t="shared" si="6"/>
        <v>4.4871794871794863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280">
        <v>80</v>
      </c>
      <c r="B179" s="61">
        <f>(418+18)/1.56</f>
        <v>279.4871794871795</v>
      </c>
      <c r="C179" s="61">
        <v>6</v>
      </c>
      <c r="D179" s="61">
        <f>(18+17)/1.56</f>
        <v>22.435897435897434</v>
      </c>
      <c r="E179" s="61"/>
      <c r="F179" s="54"/>
      <c r="G179" s="54"/>
      <c r="H179" s="54"/>
      <c r="I179" s="52">
        <f t="shared" si="6"/>
        <v>4.3589743589743648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280">
        <v>85</v>
      </c>
      <c r="B180" s="61">
        <f>(432)/1.56</f>
        <v>276.92307692307691</v>
      </c>
      <c r="C180" s="53"/>
      <c r="D180" s="61"/>
      <c r="E180" s="61"/>
      <c r="F180" s="54"/>
      <c r="G180" s="54"/>
      <c r="H180" s="54"/>
      <c r="I180" s="52">
        <f t="shared" si="6"/>
        <v>3.9743589743589722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280">
        <v>90</v>
      </c>
      <c r="B181" s="61">
        <f>(445+17)/1.56</f>
        <v>296.15384615384613</v>
      </c>
      <c r="C181" s="53">
        <v>7</v>
      </c>
      <c r="D181" s="61">
        <f>(17+16)/1.56</f>
        <v>21.153846153846153</v>
      </c>
      <c r="E181" s="61"/>
      <c r="F181" s="54"/>
      <c r="G181" s="54"/>
      <c r="H181" s="54"/>
      <c r="I181" s="52">
        <f t="shared" si="6"/>
        <v>3.8461538461538454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280">
        <v>100</v>
      </c>
      <c r="B182" s="61">
        <f>(467+16)/1.56</f>
        <v>309.61538461538458</v>
      </c>
      <c r="C182" s="53">
        <v>8</v>
      </c>
      <c r="D182" s="61">
        <f>(16+16)/1.56</f>
        <v>20.512820512820511</v>
      </c>
      <c r="E182" s="61"/>
      <c r="F182" s="54"/>
      <c r="G182" s="54"/>
      <c r="H182" s="54"/>
      <c r="I182" s="52">
        <f t="shared" si="6"/>
        <v>3.4615384615384586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280">
        <v>110</v>
      </c>
      <c r="B183" s="61">
        <f>(486+15)/1.56</f>
        <v>321.15384615384613</v>
      </c>
      <c r="C183" s="53">
        <v>9</v>
      </c>
      <c r="D183" s="61">
        <f>(15+15)/1.56</f>
        <v>19.23076923076923</v>
      </c>
      <c r="E183" s="61"/>
      <c r="F183" s="54"/>
      <c r="G183" s="54"/>
      <c r="H183" s="54"/>
      <c r="I183" s="52">
        <f t="shared" si="6"/>
        <v>3.2051282051282044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280">
        <v>120</v>
      </c>
      <c r="B184" s="61">
        <f>(502+14)/1.56</f>
        <v>330.76923076923077</v>
      </c>
      <c r="C184" s="53">
        <v>10</v>
      </c>
      <c r="D184" s="61">
        <f>(14+14)/1.56</f>
        <v>17.948717948717949</v>
      </c>
      <c r="E184" s="61"/>
      <c r="F184" s="54"/>
      <c r="G184" s="54"/>
      <c r="H184" s="54"/>
      <c r="I184" s="52">
        <f t="shared" si="6"/>
        <v>2.8846153846153868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280">
        <v>130</v>
      </c>
      <c r="B185" s="61">
        <f>(516+13)/1.56</f>
        <v>339.10256410256409</v>
      </c>
      <c r="C185" s="53">
        <v>11</v>
      </c>
      <c r="D185" s="61">
        <f>B185</f>
        <v>339.10256410256409</v>
      </c>
      <c r="E185" s="61"/>
      <c r="F185" s="54"/>
      <c r="G185" s="54"/>
      <c r="H185" s="54"/>
      <c r="I185" s="52">
        <f t="shared" si="6"/>
        <v>2.6282051282051269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Bouleau verruqueux</v>
      </c>
      <c r="D188" s="256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3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89" t="s">
        <v>185</v>
      </c>
      <c r="C190" s="290" t="s">
        <v>186</v>
      </c>
      <c r="D190" s="290"/>
      <c r="E190" s="291" t="s">
        <v>187</v>
      </c>
      <c r="F190" s="292"/>
      <c r="G190" s="292"/>
      <c r="H190" s="293"/>
      <c r="I190" s="102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15</v>
      </c>
      <c r="B192" s="61">
        <f>32+0</f>
        <v>32</v>
      </c>
      <c r="C192" s="61"/>
      <c r="D192" s="61"/>
      <c r="E192" s="54"/>
      <c r="F192" s="54"/>
      <c r="G192" s="54"/>
      <c r="H192" s="54"/>
      <c r="I192" s="52">
        <f>IFERROR(B192/A192,"")</f>
        <v>2.1333333333333333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20</v>
      </c>
      <c r="B193" s="61">
        <f>45+0+9</f>
        <v>54</v>
      </c>
      <c r="C193" s="61"/>
      <c r="D193" s="61"/>
      <c r="E193" s="54"/>
      <c r="F193" s="54"/>
      <c r="G193" s="54"/>
      <c r="H193" s="54"/>
      <c r="I193" s="52">
        <f t="shared" ref="I193:I211" si="7">IF(A193&lt;&gt;0,(B193-(B192-D192))/(A193-A192),"")</f>
        <v>4.4000000000000004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25</v>
      </c>
      <c r="B194" s="61">
        <f>60+0+9+8</f>
        <v>77</v>
      </c>
      <c r="C194" s="61">
        <v>1</v>
      </c>
      <c r="D194" s="61">
        <f>9+3+1</f>
        <v>13</v>
      </c>
      <c r="E194" s="54"/>
      <c r="F194" s="54"/>
      <c r="G194" s="54"/>
      <c r="H194" s="54">
        <v>1</v>
      </c>
      <c r="I194" s="52">
        <f t="shared" si="7"/>
        <v>4.5999999999999996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30</v>
      </c>
      <c r="B195" s="61">
        <f>75+9</f>
        <v>84</v>
      </c>
      <c r="C195" s="61"/>
      <c r="D195" s="61"/>
      <c r="E195" s="54"/>
      <c r="F195" s="54"/>
      <c r="G195" s="54"/>
      <c r="H195" s="54"/>
      <c r="I195" s="52">
        <f t="shared" si="7"/>
        <v>4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35</v>
      </c>
      <c r="B196" s="61">
        <f>89+9+10</f>
        <v>108</v>
      </c>
      <c r="C196" s="61">
        <v>2</v>
      </c>
      <c r="D196" s="61">
        <f>9+10</f>
        <v>19</v>
      </c>
      <c r="E196" s="54"/>
      <c r="F196" s="54"/>
      <c r="G196" s="54"/>
      <c r="H196" s="54"/>
      <c r="I196" s="52">
        <f t="shared" si="7"/>
        <v>4.8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40</v>
      </c>
      <c r="B197" s="61">
        <f>103+10</f>
        <v>113</v>
      </c>
      <c r="C197" s="61"/>
      <c r="D197" s="61"/>
      <c r="E197" s="54"/>
      <c r="F197" s="54"/>
      <c r="G197" s="54"/>
      <c r="H197" s="54"/>
      <c r="I197" s="52">
        <f t="shared" si="7"/>
        <v>4.8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61">
        <v>45</v>
      </c>
      <c r="B198" s="61">
        <f>116+10+11</f>
        <v>137</v>
      </c>
      <c r="C198" s="61">
        <v>3</v>
      </c>
      <c r="D198" s="61">
        <f>10+11</f>
        <v>21</v>
      </c>
      <c r="E198" s="91"/>
      <c r="F198" s="91"/>
      <c r="G198" s="91"/>
      <c r="H198" s="91"/>
      <c r="I198" s="52">
        <f t="shared" si="7"/>
        <v>4.8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61">
        <v>50</v>
      </c>
      <c r="B199" s="61">
        <f>128+11</f>
        <v>139</v>
      </c>
      <c r="C199" s="61"/>
      <c r="D199" s="61"/>
      <c r="E199" s="91"/>
      <c r="F199" s="91"/>
      <c r="G199" s="91"/>
      <c r="H199" s="91"/>
      <c r="I199" s="52">
        <f t="shared" si="7"/>
        <v>4.5999999999999996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61">
        <v>55</v>
      </c>
      <c r="B200" s="61">
        <f>139+11+11</f>
        <v>161</v>
      </c>
      <c r="C200" s="61">
        <v>4</v>
      </c>
      <c r="D200" s="61">
        <f>11+11</f>
        <v>22</v>
      </c>
      <c r="E200" s="91"/>
      <c r="F200" s="91"/>
      <c r="G200" s="91"/>
      <c r="H200" s="91"/>
      <c r="I200" s="52">
        <f t="shared" si="7"/>
        <v>4.4000000000000004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61">
        <v>60</v>
      </c>
      <c r="B201" s="61">
        <f>149+11</f>
        <v>160</v>
      </c>
      <c r="C201" s="61"/>
      <c r="D201" s="61"/>
      <c r="E201" s="91"/>
      <c r="F201" s="91"/>
      <c r="G201" s="91"/>
      <c r="H201" s="91"/>
      <c r="I201" s="52">
        <f t="shared" si="7"/>
        <v>4.2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61">
        <v>65</v>
      </c>
      <c r="B202" s="61">
        <f>158+11+11</f>
        <v>180</v>
      </c>
      <c r="C202" s="61">
        <v>5</v>
      </c>
      <c r="D202" s="61">
        <f>11+11</f>
        <v>22</v>
      </c>
      <c r="E202" s="91"/>
      <c r="F202" s="91"/>
      <c r="G202" s="91"/>
      <c r="H202" s="91"/>
      <c r="I202" s="52">
        <f t="shared" si="7"/>
        <v>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61">
        <v>70</v>
      </c>
      <c r="B203" s="61">
        <f>167+11</f>
        <v>178</v>
      </c>
      <c r="C203" s="61"/>
      <c r="D203" s="61"/>
      <c r="E203" s="91"/>
      <c r="F203" s="91"/>
      <c r="G203" s="91"/>
      <c r="H203" s="91"/>
      <c r="I203" s="52">
        <f t="shared" si="7"/>
        <v>4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61">
        <v>75</v>
      </c>
      <c r="B204" s="61">
        <f>174+11+11</f>
        <v>196</v>
      </c>
      <c r="C204" s="61">
        <v>6</v>
      </c>
      <c r="D204" s="61">
        <f>11+11</f>
        <v>22</v>
      </c>
      <c r="E204" s="66"/>
      <c r="F204" s="66"/>
      <c r="G204" s="66"/>
      <c r="H204" s="66"/>
      <c r="I204" s="52">
        <f t="shared" si="7"/>
        <v>3.6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61">
        <v>80</v>
      </c>
      <c r="B205" s="61">
        <f>181+11</f>
        <v>192</v>
      </c>
      <c r="C205" s="61"/>
      <c r="D205" s="61"/>
      <c r="E205" s="66"/>
      <c r="F205" s="66"/>
      <c r="G205" s="66"/>
      <c r="H205" s="66"/>
      <c r="I205" s="52">
        <f t="shared" si="7"/>
        <v>3.6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>
        <v>85</v>
      </c>
      <c r="B206" s="61">
        <f>187+11+10</f>
        <v>208</v>
      </c>
      <c r="C206" s="61">
        <v>7</v>
      </c>
      <c r="D206" s="61">
        <f>11+10</f>
        <v>21</v>
      </c>
      <c r="E206" s="57"/>
      <c r="F206" s="57"/>
      <c r="G206" s="57"/>
      <c r="H206" s="57"/>
      <c r="I206" s="52">
        <f t="shared" si="7"/>
        <v>3.2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>
        <v>90</v>
      </c>
      <c r="B207" s="61">
        <f>192+10</f>
        <v>202</v>
      </c>
      <c r="C207" s="61">
        <v>8</v>
      </c>
      <c r="D207" s="61">
        <f>B207</f>
        <v>202</v>
      </c>
      <c r="E207" s="57"/>
      <c r="F207" s="57"/>
      <c r="G207" s="57"/>
      <c r="H207" s="57"/>
      <c r="I207" s="52">
        <f t="shared" si="7"/>
        <v>3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61"/>
      <c r="C208" s="61"/>
      <c r="D208" s="61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61"/>
      <c r="C209" s="61"/>
      <c r="D209" s="61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61"/>
      <c r="C210" s="61"/>
      <c r="D210" s="61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61"/>
      <c r="C211" s="61"/>
      <c r="D211" s="61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>Alisier torminal</v>
      </c>
      <c r="D214" s="256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3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89" t="s">
        <v>185</v>
      </c>
      <c r="C216" s="290" t="s">
        <v>186</v>
      </c>
      <c r="D216" s="290"/>
      <c r="E216" s="291" t="s">
        <v>187</v>
      </c>
      <c r="F216" s="292"/>
      <c r="G216" s="292"/>
      <c r="H216" s="293"/>
      <c r="I216" s="102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>
        <v>20</v>
      </c>
      <c r="B218" s="61">
        <f>21+0</f>
        <v>21</v>
      </c>
      <c r="C218" s="61"/>
      <c r="D218" s="61"/>
      <c r="E218" s="54"/>
      <c r="F218" s="54"/>
      <c r="G218" s="54"/>
      <c r="H218" s="54"/>
      <c r="I218" s="56">
        <f>IFERROR(B218/A218,"")</f>
        <v>1.05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>
        <v>25</v>
      </c>
      <c r="B219" s="61">
        <f>36+0+0</f>
        <v>36</v>
      </c>
      <c r="C219" s="61"/>
      <c r="D219" s="61"/>
      <c r="E219" s="54"/>
      <c r="F219" s="54"/>
      <c r="G219" s="54"/>
      <c r="H219" s="54"/>
      <c r="I219" s="56">
        <f t="shared" ref="I219:I237" si="8">IF(A219&lt;&gt;0,(B219-(B218-D218))/(A219-A218),"")</f>
        <v>3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>
        <v>30</v>
      </c>
      <c r="B220" s="61">
        <f>45+0+0+9</f>
        <v>54</v>
      </c>
      <c r="C220" s="61"/>
      <c r="D220" s="61"/>
      <c r="E220" s="54"/>
      <c r="F220" s="54"/>
      <c r="G220" s="54"/>
      <c r="H220" s="54"/>
      <c r="I220" s="56">
        <f t="shared" si="8"/>
        <v>3.6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3">
        <v>35</v>
      </c>
      <c r="B221" s="61">
        <f>55+9+8</f>
        <v>72</v>
      </c>
      <c r="C221" s="61">
        <v>1</v>
      </c>
      <c r="D221" s="61">
        <f>9+8</f>
        <v>17</v>
      </c>
      <c r="E221" s="54"/>
      <c r="F221" s="54"/>
      <c r="G221" s="54"/>
      <c r="H221" s="54"/>
      <c r="I221" s="56">
        <f t="shared" si="8"/>
        <v>3.6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3">
        <v>40</v>
      </c>
      <c r="B222" s="61">
        <f>66+9</f>
        <v>75</v>
      </c>
      <c r="C222" s="61"/>
      <c r="D222" s="61"/>
      <c r="E222" s="54"/>
      <c r="F222" s="54"/>
      <c r="G222" s="54"/>
      <c r="H222" s="54"/>
      <c r="I222" s="56">
        <f t="shared" si="8"/>
        <v>4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3">
        <v>45</v>
      </c>
      <c r="B223" s="61">
        <f>76+9+9</f>
        <v>94</v>
      </c>
      <c r="C223" s="61">
        <v>2</v>
      </c>
      <c r="D223" s="61">
        <f>9+9</f>
        <v>18</v>
      </c>
      <c r="E223" s="54"/>
      <c r="F223" s="54"/>
      <c r="G223" s="54"/>
      <c r="H223" s="54"/>
      <c r="I223" s="56">
        <f t="shared" si="8"/>
        <v>3.8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3">
        <v>50</v>
      </c>
      <c r="B224" s="61">
        <f>86+9</f>
        <v>95</v>
      </c>
      <c r="C224" s="61"/>
      <c r="D224" s="61"/>
      <c r="E224" s="54"/>
      <c r="F224" s="54"/>
      <c r="G224" s="54"/>
      <c r="H224" s="54"/>
      <c r="I224" s="56">
        <f t="shared" si="8"/>
        <v>3.8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3">
        <v>55</v>
      </c>
      <c r="B225" s="61">
        <f>96+9+10</f>
        <v>115</v>
      </c>
      <c r="C225" s="61">
        <v>3</v>
      </c>
      <c r="D225" s="61">
        <f>9+10</f>
        <v>19</v>
      </c>
      <c r="E225" s="54"/>
      <c r="F225" s="54"/>
      <c r="G225" s="54"/>
      <c r="H225" s="54"/>
      <c r="I225" s="56">
        <f t="shared" si="8"/>
        <v>4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3">
        <v>60</v>
      </c>
      <c r="B226" s="61">
        <f>105+10</f>
        <v>115</v>
      </c>
      <c r="C226" s="61"/>
      <c r="D226" s="61"/>
      <c r="E226" s="54"/>
      <c r="F226" s="54"/>
      <c r="G226" s="54"/>
      <c r="H226" s="54"/>
      <c r="I226" s="56">
        <f t="shared" si="8"/>
        <v>3.8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3">
        <v>65</v>
      </c>
      <c r="B227" s="61">
        <f>114+10+10</f>
        <v>134</v>
      </c>
      <c r="C227" s="61">
        <v>4</v>
      </c>
      <c r="D227" s="61">
        <f>10+10</f>
        <v>20</v>
      </c>
      <c r="E227" s="54"/>
      <c r="F227" s="54"/>
      <c r="G227" s="54"/>
      <c r="H227" s="54"/>
      <c r="I227" s="56">
        <f t="shared" si="8"/>
        <v>3.8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3">
        <v>70</v>
      </c>
      <c r="B228" s="61">
        <f>122+10</f>
        <v>132</v>
      </c>
      <c r="C228" s="61"/>
      <c r="D228" s="61"/>
      <c r="E228" s="54"/>
      <c r="F228" s="54"/>
      <c r="G228" s="54"/>
      <c r="H228" s="54"/>
      <c r="I228" s="56">
        <f t="shared" si="8"/>
        <v>3.6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3">
        <v>75</v>
      </c>
      <c r="B229" s="61">
        <f>129+10+10</f>
        <v>149</v>
      </c>
      <c r="C229" s="61">
        <v>5</v>
      </c>
      <c r="D229" s="61">
        <f>10+10</f>
        <v>20</v>
      </c>
      <c r="E229" s="54"/>
      <c r="F229" s="54"/>
      <c r="G229" s="54"/>
      <c r="H229" s="54"/>
      <c r="I229" s="56">
        <f t="shared" si="8"/>
        <v>3.4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3">
        <v>80</v>
      </c>
      <c r="B230" s="61">
        <f>137+9</f>
        <v>146</v>
      </c>
      <c r="C230" s="61"/>
      <c r="D230" s="61"/>
      <c r="E230" s="54"/>
      <c r="F230" s="54"/>
      <c r="G230" s="54"/>
      <c r="H230" s="54"/>
      <c r="I230" s="56">
        <f t="shared" si="8"/>
        <v>3.4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53">
        <v>85</v>
      </c>
      <c r="B231" s="61">
        <f>143+9+9</f>
        <v>161</v>
      </c>
      <c r="C231" s="61">
        <v>6</v>
      </c>
      <c r="D231" s="61">
        <f>9+9</f>
        <v>18</v>
      </c>
      <c r="E231" s="54"/>
      <c r="F231" s="54"/>
      <c r="G231" s="54"/>
      <c r="H231" s="54"/>
      <c r="I231" s="56">
        <f t="shared" si="8"/>
        <v>3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>
        <v>90</v>
      </c>
      <c r="B232" s="61">
        <f>150+9</f>
        <v>159</v>
      </c>
      <c r="C232" s="61"/>
      <c r="D232" s="61"/>
      <c r="E232" s="54"/>
      <c r="F232" s="54"/>
      <c r="G232" s="54"/>
      <c r="H232" s="54"/>
      <c r="I232" s="56">
        <f t="shared" si="8"/>
        <v>3.2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>
        <v>95</v>
      </c>
      <c r="B233" s="61">
        <f>155+9+9</f>
        <v>173</v>
      </c>
      <c r="C233" s="61">
        <v>7</v>
      </c>
      <c r="D233" s="61">
        <f>9+9</f>
        <v>18</v>
      </c>
      <c r="E233" s="54"/>
      <c r="F233" s="54"/>
      <c r="G233" s="54"/>
      <c r="H233" s="54"/>
      <c r="I233" s="56">
        <f t="shared" si="8"/>
        <v>2.8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>
        <v>100</v>
      </c>
      <c r="B234" s="61">
        <f>161+9</f>
        <v>170</v>
      </c>
      <c r="C234" s="61"/>
      <c r="D234" s="61"/>
      <c r="E234" s="54"/>
      <c r="F234" s="54"/>
      <c r="G234" s="54"/>
      <c r="H234" s="54"/>
      <c r="I234" s="56">
        <f t="shared" si="8"/>
        <v>3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>
        <v>105</v>
      </c>
      <c r="B235" s="61">
        <f>166+9+9</f>
        <v>184</v>
      </c>
      <c r="C235" s="61">
        <v>8</v>
      </c>
      <c r="D235" s="61">
        <f>9+9</f>
        <v>18</v>
      </c>
      <c r="E235" s="54"/>
      <c r="F235" s="54"/>
      <c r="G235" s="54"/>
      <c r="H235" s="54"/>
      <c r="I235" s="56">
        <f t="shared" si="8"/>
        <v>2.8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>
        <v>110</v>
      </c>
      <c r="B236" s="61">
        <f>171+10</f>
        <v>181</v>
      </c>
      <c r="C236" s="61"/>
      <c r="D236" s="61"/>
      <c r="E236" s="54"/>
      <c r="F236" s="54"/>
      <c r="G236" s="54"/>
      <c r="H236" s="54"/>
      <c r="I236" s="56">
        <f t="shared" si="8"/>
        <v>3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>
        <v>120</v>
      </c>
      <c r="B237" s="61">
        <f>181+10+10+10</f>
        <v>211</v>
      </c>
      <c r="C237" s="61">
        <v>9</v>
      </c>
      <c r="D237" s="61">
        <f>B237</f>
        <v>211</v>
      </c>
      <c r="E237" s="54"/>
      <c r="F237" s="54"/>
      <c r="G237" s="54"/>
      <c r="H237" s="54"/>
      <c r="I237" s="56">
        <f t="shared" si="8"/>
        <v>3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6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3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89" t="s">
        <v>185</v>
      </c>
      <c r="C242" s="290" t="s">
        <v>186</v>
      </c>
      <c r="D242" s="290"/>
      <c r="E242" s="291" t="s">
        <v>187</v>
      </c>
      <c r="F242" s="292"/>
      <c r="G242" s="292"/>
      <c r="H242" s="293"/>
      <c r="I242" s="102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1"/>
      <c r="C244" s="61"/>
      <c r="D244" s="61"/>
      <c r="E244" s="54"/>
      <c r="F244" s="54"/>
      <c r="G244" s="54"/>
      <c r="H244" s="91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1"/>
      <c r="C245" s="61"/>
      <c r="D245" s="61"/>
      <c r="E245" s="54"/>
      <c r="F245" s="54"/>
      <c r="G245" s="54"/>
      <c r="H245" s="91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1"/>
      <c r="C246" s="61"/>
      <c r="D246" s="61"/>
      <c r="E246" s="91"/>
      <c r="F246" s="91"/>
      <c r="G246" s="91"/>
      <c r="H246" s="91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1"/>
      <c r="C247" s="61"/>
      <c r="D247" s="61"/>
      <c r="E247" s="91"/>
      <c r="F247" s="91"/>
      <c r="G247" s="91"/>
      <c r="H247" s="91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1"/>
      <c r="C248" s="61"/>
      <c r="D248" s="61"/>
      <c r="E248" s="91"/>
      <c r="F248" s="91"/>
      <c r="G248" s="91"/>
      <c r="H248" s="91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1"/>
      <c r="C249" s="61"/>
      <c r="D249" s="61"/>
      <c r="E249" s="91"/>
      <c r="F249" s="91"/>
      <c r="G249" s="91"/>
      <c r="H249" s="91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1"/>
      <c r="C250" s="61"/>
      <c r="D250" s="61"/>
      <c r="E250" s="91"/>
      <c r="F250" s="91"/>
      <c r="G250" s="91"/>
      <c r="H250" s="91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61"/>
      <c r="B251" s="61"/>
      <c r="C251" s="61"/>
      <c r="D251" s="61"/>
      <c r="E251" s="91"/>
      <c r="F251" s="91"/>
      <c r="G251" s="91"/>
      <c r="H251" s="91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61"/>
      <c r="B252" s="61"/>
      <c r="C252" s="61"/>
      <c r="D252" s="61"/>
      <c r="E252" s="91"/>
      <c r="F252" s="91"/>
      <c r="G252" s="91"/>
      <c r="H252" s="91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61"/>
      <c r="B253" s="61"/>
      <c r="C253" s="61"/>
      <c r="D253" s="61"/>
      <c r="E253" s="91"/>
      <c r="F253" s="91"/>
      <c r="G253" s="91"/>
      <c r="H253" s="91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61"/>
      <c r="B254" s="61"/>
      <c r="C254" s="61"/>
      <c r="D254" s="61"/>
      <c r="E254" s="91"/>
      <c r="F254" s="91"/>
      <c r="G254" s="91"/>
      <c r="H254" s="91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61"/>
      <c r="B255" s="61"/>
      <c r="C255" s="61"/>
      <c r="D255" s="61"/>
      <c r="E255" s="91"/>
      <c r="F255" s="91"/>
      <c r="G255" s="91"/>
      <c r="H255" s="91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61"/>
      <c r="B256" s="61"/>
      <c r="C256" s="61"/>
      <c r="D256" s="61"/>
      <c r="E256" s="66"/>
      <c r="F256" s="66"/>
      <c r="G256" s="66"/>
      <c r="H256" s="66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61"/>
      <c r="B257" s="61"/>
      <c r="C257" s="61"/>
      <c r="D257" s="61"/>
      <c r="E257" s="66"/>
      <c r="F257" s="66"/>
      <c r="G257" s="66"/>
      <c r="H257" s="66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61"/>
      <c r="B258" s="53"/>
      <c r="C258" s="61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6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3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89" t="s">
        <v>185</v>
      </c>
      <c r="C268" s="290" t="s">
        <v>186</v>
      </c>
      <c r="D268" s="290"/>
      <c r="E268" s="291" t="s">
        <v>187</v>
      </c>
      <c r="F268" s="292"/>
      <c r="G268" s="292"/>
      <c r="H268" s="293"/>
      <c r="I268" s="102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1"/>
      <c r="C270" s="53"/>
      <c r="D270" s="61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1"/>
      <c r="C271" s="53"/>
      <c r="D271" s="61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1"/>
      <c r="C272" s="53"/>
      <c r="D272" s="61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1"/>
      <c r="C273" s="53"/>
      <c r="D273" s="61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1"/>
      <c r="C274" s="53"/>
      <c r="D274" s="61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1"/>
      <c r="C275" s="53"/>
      <c r="D275" s="61"/>
      <c r="E275" s="54"/>
      <c r="F275" s="54"/>
      <c r="G275" s="54"/>
      <c r="H275" s="54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1"/>
      <c r="C276" s="53"/>
      <c r="D276" s="61"/>
      <c r="E276" s="54"/>
      <c r="F276" s="54"/>
      <c r="G276" s="54"/>
      <c r="H276" s="54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61"/>
      <c r="C277" s="58"/>
      <c r="D277" s="61"/>
      <c r="E277" s="64"/>
      <c r="F277" s="64"/>
      <c r="G277" s="64"/>
      <c r="H277" s="64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61"/>
      <c r="C278" s="58"/>
      <c r="D278" s="61"/>
      <c r="E278" s="64"/>
      <c r="F278" s="64"/>
      <c r="G278" s="64"/>
      <c r="H278" s="64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61"/>
      <c r="E279" s="64"/>
      <c r="F279" s="64"/>
      <c r="G279" s="64"/>
      <c r="H279" s="64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54"/>
      <c r="F280" s="54"/>
      <c r="G280" s="54"/>
      <c r="H280" s="54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4"/>
      <c r="F281" s="64"/>
      <c r="G281" s="64"/>
      <c r="H281" s="64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5"/>
      <c r="F282" s="65"/>
      <c r="G282" s="65"/>
      <c r="H282" s="65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2"/>
      <c r="B283" s="61"/>
      <c r="C283" s="92"/>
      <c r="D283" s="61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C20" sqref="C20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4"/>
      <c r="K1" s="104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5" t="s">
        <v>191</v>
      </c>
      <c r="C2" s="306"/>
      <c r="D2" s="306"/>
      <c r="E2" s="306"/>
      <c r="F2" s="306"/>
      <c r="G2" s="307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4"/>
      <c r="C4" s="304"/>
      <c r="D4" s="304"/>
      <c r="E4" s="304"/>
      <c r="F4" s="304"/>
      <c r="G4" s="304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5" t="s">
        <v>296</v>
      </c>
      <c r="C5" s="105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4"/>
      <c r="C6" s="234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6"/>
      <c r="B7" s="29" t="s">
        <v>295</v>
      </c>
      <c r="C7" s="107" t="s">
        <v>214</v>
      </c>
      <c r="D7" s="232"/>
      <c r="E7" s="108"/>
      <c r="F7" s="29" t="s">
        <v>295</v>
      </c>
      <c r="G7" s="107" t="s">
        <v>215</v>
      </c>
      <c r="H7" s="233"/>
      <c r="I7" s="233"/>
      <c r="J7" s="233"/>
      <c r="K7" s="233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ht="17.25" customHeight="1" x14ac:dyDescent="0.3">
      <c r="A8" s="112">
        <v>1</v>
      </c>
      <c r="B8" s="62">
        <v>1</v>
      </c>
      <c r="C8" s="52" t="s">
        <v>177</v>
      </c>
      <c r="D8" s="25"/>
      <c r="E8" s="112">
        <v>4</v>
      </c>
      <c r="F8" s="62">
        <v>0</v>
      </c>
      <c r="G8" s="109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2">
        <v>2</v>
      </c>
      <c r="B9" s="62">
        <v>0</v>
      </c>
      <c r="C9" s="115" t="s">
        <v>216</v>
      </c>
      <c r="D9" s="25"/>
      <c r="E9" s="112">
        <v>5</v>
      </c>
      <c r="F9" s="62">
        <v>0</v>
      </c>
      <c r="G9" s="110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2">
        <v>3</v>
      </c>
      <c r="B10" s="62">
        <v>0</v>
      </c>
      <c r="C10" s="116" t="s">
        <v>217</v>
      </c>
      <c r="D10" s="25"/>
      <c r="E10" s="5"/>
      <c r="F10" s="113">
        <f>SUM(F7:F9)</f>
        <v>0</v>
      </c>
      <c r="G10" s="111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3">
        <v>0</v>
      </c>
      <c r="C11" s="111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3"/>
      <c r="B13" s="114"/>
      <c r="C13" s="105" t="s">
        <v>273</v>
      </c>
      <c r="D13" s="233"/>
      <c r="E13" s="106"/>
      <c r="F13" s="114"/>
      <c r="G13" s="105" t="s">
        <v>301</v>
      </c>
      <c r="H13" s="233"/>
      <c r="I13" s="233"/>
      <c r="J13" s="233"/>
      <c r="K13" s="233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</row>
    <row r="14" spans="1:38" s="4" customFormat="1" ht="21" customHeight="1" x14ac:dyDescent="0.3">
      <c r="A14" s="233"/>
      <c r="B14" s="114"/>
      <c r="C14" s="105" t="s">
        <v>309</v>
      </c>
      <c r="D14" s="233"/>
      <c r="E14" s="106"/>
      <c r="F14" s="114"/>
      <c r="G14" s="105" t="s">
        <v>294</v>
      </c>
      <c r="H14" s="233"/>
      <c r="I14" s="233"/>
      <c r="J14" s="233"/>
      <c r="K14" s="233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2">
        <v>0</v>
      </c>
      <c r="C16" s="117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2">
        <v>1</v>
      </c>
      <c r="C17" s="117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2">
        <v>0</v>
      </c>
      <c r="C18" s="117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3">
        <f>SUM(B16:B18)</f>
        <v>1</v>
      </c>
      <c r="C19" s="111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7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7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69" bestFit="1" customWidth="1"/>
    <col min="2" max="4" width="11.44140625" style="69"/>
    <col min="5" max="5" width="9.5546875" style="69" customWidth="1"/>
    <col min="6" max="7" width="11.44140625" style="69"/>
    <col min="8" max="8" width="10.6640625" style="69" customWidth="1"/>
    <col min="9" max="9" width="9.44140625" style="69" customWidth="1"/>
    <col min="10" max="11" width="10.5546875" style="69" bestFit="1" customWidth="1"/>
    <col min="12" max="12" width="14" style="69" bestFit="1" customWidth="1"/>
    <col min="13" max="13" width="14" style="69" customWidth="1"/>
    <col min="14" max="23" width="11.44140625" style="69"/>
    <col min="24" max="24" width="11.6640625" style="69" bestFit="1" customWidth="1"/>
    <col min="25" max="25" width="14.5546875" style="69" bestFit="1" customWidth="1"/>
    <col min="26" max="26" width="12.44140625" style="69" bestFit="1" customWidth="1"/>
    <col min="27" max="27" width="9.6640625" style="69" bestFit="1" customWidth="1"/>
    <col min="28" max="28" width="11" style="69" bestFit="1" customWidth="1"/>
    <col min="29" max="29" width="9.44140625" style="69" bestFit="1" customWidth="1"/>
    <col min="30" max="31" width="9.44140625" style="69" customWidth="1"/>
    <col min="32" max="32" width="11.44140625" style="69"/>
    <col min="33" max="34" width="14" style="69" bestFit="1" customWidth="1"/>
    <col min="35" max="35" width="10.5546875" style="69" bestFit="1" customWidth="1"/>
    <col min="36" max="36" width="9.44140625" style="69" bestFit="1" customWidth="1"/>
    <col min="37" max="38" width="10.5546875" style="69" bestFit="1" customWidth="1"/>
    <col min="39" max="41" width="10.5546875" style="69" customWidth="1"/>
    <col min="42" max="42" width="9" style="69" bestFit="1" customWidth="1"/>
    <col min="43" max="43" width="10.5546875" style="69" bestFit="1" customWidth="1"/>
    <col min="44" max="44" width="9.33203125" style="69" bestFit="1" customWidth="1"/>
    <col min="45" max="45" width="11.6640625" style="69" bestFit="1" customWidth="1"/>
    <col min="46" max="46" width="8.44140625" style="69" bestFit="1" customWidth="1"/>
    <col min="47" max="47" width="9.44140625" style="69" bestFit="1" customWidth="1"/>
    <col min="48" max="48" width="9.6640625" style="69" bestFit="1" customWidth="1"/>
    <col min="49" max="49" width="11" style="69" bestFit="1" customWidth="1"/>
    <col min="50" max="50" width="9.44140625" style="69" bestFit="1" customWidth="1"/>
    <col min="51" max="52" width="9.44140625" style="69" customWidth="1"/>
    <col min="53" max="53" width="10.5546875" style="69" bestFit="1" customWidth="1"/>
    <col min="54" max="54" width="14.33203125" style="69" customWidth="1"/>
    <col min="55" max="55" width="14" style="69" customWidth="1"/>
    <col min="56" max="56" width="10.5546875" style="69" bestFit="1" customWidth="1"/>
    <col min="57" max="57" width="9.44140625" style="69" bestFit="1" customWidth="1"/>
    <col min="58" max="59" width="10.5546875" style="69" bestFit="1" customWidth="1"/>
    <col min="60" max="62" width="10.5546875" style="69" customWidth="1"/>
    <col min="63" max="63" width="9" style="69" bestFit="1" customWidth="1"/>
    <col min="64" max="64" width="10.5546875" style="69" bestFit="1" customWidth="1"/>
    <col min="65" max="65" width="9.33203125" style="69" bestFit="1" customWidth="1"/>
    <col min="66" max="66" width="11.6640625" style="69" bestFit="1" customWidth="1"/>
    <col min="67" max="67" width="8.44140625" style="69" bestFit="1" customWidth="1"/>
    <col min="68" max="68" width="9.44140625" style="69" bestFit="1" customWidth="1"/>
    <col min="69" max="69" width="9.6640625" style="69" bestFit="1" customWidth="1"/>
    <col min="70" max="70" width="11" style="69" bestFit="1" customWidth="1"/>
    <col min="71" max="71" width="9.44140625" style="69" bestFit="1" customWidth="1"/>
    <col min="72" max="73" width="9.44140625" style="69" customWidth="1"/>
    <col min="74" max="74" width="10.5546875" style="69" bestFit="1" customWidth="1"/>
    <col min="75" max="75" width="14" style="69" bestFit="1" customWidth="1"/>
    <col min="76" max="76" width="13.88671875" style="69" customWidth="1"/>
    <col min="77" max="77" width="10.5546875" style="69" bestFit="1" customWidth="1"/>
    <col min="78" max="78" width="9.44140625" style="69" bestFit="1" customWidth="1"/>
    <col min="79" max="80" width="10.5546875" style="69" bestFit="1" customWidth="1"/>
    <col min="81" max="83" width="10.5546875" style="69" customWidth="1"/>
    <col min="84" max="84" width="11.44140625" style="69"/>
    <col min="85" max="85" width="10.5546875" style="69" bestFit="1" customWidth="1"/>
    <col min="86" max="86" width="9.33203125" style="69" bestFit="1" customWidth="1"/>
    <col min="87" max="87" width="11.6640625" style="69" bestFit="1" customWidth="1"/>
    <col min="88" max="88" width="8.44140625" style="69" bestFit="1" customWidth="1"/>
    <col min="89" max="89" width="9.44140625" style="69" bestFit="1" customWidth="1"/>
    <col min="90" max="90" width="9.6640625" style="69" bestFit="1" customWidth="1"/>
    <col min="91" max="91" width="11" style="69" bestFit="1" customWidth="1"/>
    <col min="92" max="92" width="9.44140625" style="69" bestFit="1" customWidth="1"/>
    <col min="93" max="94" width="9.44140625" style="69" customWidth="1"/>
    <col min="95" max="95" width="11.44140625" style="69"/>
    <col min="96" max="97" width="14" style="69" customWidth="1"/>
    <col min="98" max="98" width="10.5546875" style="69" bestFit="1" customWidth="1"/>
    <col min="99" max="99" width="9.44140625" style="69" bestFit="1" customWidth="1"/>
    <col min="100" max="101" width="10.5546875" style="69" bestFit="1" customWidth="1"/>
    <col min="102" max="104" width="10.5546875" style="69" customWidth="1"/>
    <col min="105" max="105" width="9" style="69" bestFit="1" customWidth="1"/>
    <col min="106" max="106" width="10.5546875" style="69" bestFit="1" customWidth="1"/>
    <col min="107" max="107" width="9.33203125" style="69" bestFit="1" customWidth="1"/>
    <col min="108" max="108" width="11.6640625" style="69" bestFit="1" customWidth="1"/>
    <col min="109" max="109" width="8.44140625" style="69" bestFit="1" customWidth="1"/>
    <col min="110" max="110" width="9.44140625" style="69" bestFit="1" customWidth="1"/>
    <col min="111" max="111" width="9.6640625" style="69" bestFit="1" customWidth="1"/>
    <col min="112" max="112" width="11" style="69" bestFit="1" customWidth="1"/>
    <col min="113" max="113" width="9.44140625" style="69" bestFit="1" customWidth="1"/>
    <col min="114" max="115" width="9.44140625" style="69" customWidth="1"/>
    <col min="116" max="116" width="10.5546875" style="69" bestFit="1" customWidth="1"/>
    <col min="117" max="117" width="14.33203125" style="69" customWidth="1"/>
    <col min="118" max="118" width="14" style="69" bestFit="1" customWidth="1"/>
    <col min="119" max="119" width="10.5546875" style="69" bestFit="1" customWidth="1"/>
    <col min="120" max="120" width="9.44140625" style="69" bestFit="1" customWidth="1"/>
    <col min="121" max="122" width="10.5546875" style="69" bestFit="1" customWidth="1"/>
    <col min="123" max="125" width="10.5546875" style="69" customWidth="1"/>
    <col min="126" max="126" width="9" style="69" bestFit="1" customWidth="1"/>
    <col min="127" max="127" width="10.5546875" style="69" bestFit="1" customWidth="1"/>
    <col min="128" max="128" width="9.33203125" style="69" bestFit="1" customWidth="1"/>
    <col min="129" max="129" width="11.6640625" style="69" bestFit="1" customWidth="1"/>
    <col min="130" max="130" width="8.44140625" style="69" bestFit="1" customWidth="1"/>
    <col min="131" max="131" width="9.44140625" style="69" bestFit="1" customWidth="1"/>
    <col min="132" max="132" width="9.6640625" style="69" bestFit="1" customWidth="1"/>
    <col min="133" max="133" width="11" style="69" bestFit="1" customWidth="1"/>
    <col min="134" max="134" width="9.44140625" style="69" bestFit="1" customWidth="1"/>
    <col min="135" max="136" width="9.44140625" style="69" customWidth="1"/>
    <col min="137" max="137" width="10.5546875" style="69" bestFit="1" customWidth="1"/>
    <col min="138" max="139" width="14" style="69" customWidth="1"/>
    <col min="140" max="140" width="10.5546875" style="69" bestFit="1" customWidth="1"/>
    <col min="141" max="141" width="9.44140625" style="69" bestFit="1" customWidth="1"/>
    <col min="142" max="143" width="10.5546875" style="69" bestFit="1" customWidth="1"/>
    <col min="144" max="146" width="10.5546875" style="69" customWidth="1"/>
    <col min="147" max="147" width="9" style="69" bestFit="1" customWidth="1"/>
    <col min="148" max="148" width="10.5546875" style="69" bestFit="1" customWidth="1"/>
    <col min="149" max="149" width="9.33203125" style="69" bestFit="1" customWidth="1"/>
    <col min="150" max="150" width="11.6640625" style="69" bestFit="1" customWidth="1"/>
    <col min="151" max="151" width="8.44140625" style="69" bestFit="1" customWidth="1"/>
    <col min="152" max="152" width="9.44140625" style="69" bestFit="1" customWidth="1"/>
    <col min="153" max="153" width="9.6640625" style="69" bestFit="1" customWidth="1"/>
    <col min="154" max="154" width="11" style="69" bestFit="1" customWidth="1"/>
    <col min="155" max="155" width="9.44140625" style="69" bestFit="1" customWidth="1"/>
    <col min="156" max="157" width="9.44140625" style="69" customWidth="1"/>
    <col min="158" max="158" width="11.44140625" style="69"/>
    <col min="159" max="160" width="14" style="69" bestFit="1" customWidth="1"/>
    <col min="161" max="161" width="10.5546875" style="69" bestFit="1" customWidth="1"/>
    <col min="162" max="162" width="9.44140625" style="69" bestFit="1" customWidth="1"/>
    <col min="163" max="164" width="10.5546875" style="69" bestFit="1" customWidth="1"/>
    <col min="165" max="167" width="10.5546875" style="69" customWidth="1"/>
    <col min="168" max="168" width="9" style="69" bestFit="1" customWidth="1"/>
    <col min="169" max="169" width="10.5546875" style="69" bestFit="1" customWidth="1"/>
    <col min="170" max="170" width="9.33203125" style="69" bestFit="1" customWidth="1"/>
    <col min="171" max="171" width="11.6640625" style="69" bestFit="1" customWidth="1"/>
    <col min="172" max="172" width="8.109375" style="69" bestFit="1" customWidth="1"/>
    <col min="173" max="173" width="9.44140625" style="69" bestFit="1" customWidth="1"/>
    <col min="174" max="174" width="9.6640625" style="69" bestFit="1" customWidth="1"/>
    <col min="175" max="175" width="11" style="69" bestFit="1" customWidth="1"/>
    <col min="176" max="176" width="9.44140625" style="69" bestFit="1" customWidth="1"/>
    <col min="177" max="178" width="9.44140625" style="69" customWidth="1"/>
    <col min="179" max="179" width="10.5546875" style="69" bestFit="1" customWidth="1"/>
    <col min="180" max="181" width="14" style="69" bestFit="1" customWidth="1"/>
    <col min="182" max="182" width="10.5546875" style="69" bestFit="1" customWidth="1"/>
    <col min="183" max="183" width="9.44140625" style="69" bestFit="1" customWidth="1"/>
    <col min="184" max="185" width="10.5546875" style="69" bestFit="1" customWidth="1"/>
    <col min="186" max="188" width="10.5546875" style="69" customWidth="1"/>
    <col min="189" max="189" width="9" style="69" bestFit="1" customWidth="1"/>
    <col min="190" max="190" width="10.5546875" style="69" bestFit="1" customWidth="1"/>
    <col min="191" max="191" width="9.33203125" style="69" bestFit="1" customWidth="1"/>
    <col min="192" max="192" width="11.44140625" style="69"/>
    <col min="193" max="193" width="8.44140625" style="69" bestFit="1" customWidth="1"/>
    <col min="194" max="194" width="9.44140625" style="69" bestFit="1" customWidth="1"/>
    <col min="195" max="195" width="9.6640625" style="69" bestFit="1" customWidth="1"/>
    <col min="196" max="196" width="11" style="69" bestFit="1" customWidth="1"/>
    <col min="197" max="197" width="9.44140625" style="69" bestFit="1" customWidth="1"/>
    <col min="198" max="199" width="9.44140625" style="69" customWidth="1"/>
    <col min="200" max="200" width="10.5546875" style="69" bestFit="1" customWidth="1"/>
    <col min="201" max="201" width="14" style="69" customWidth="1"/>
    <col min="202" max="202" width="14.33203125" style="69" customWidth="1"/>
    <col min="203" max="203" width="10.5546875" style="69" bestFit="1" customWidth="1"/>
    <col min="204" max="204" width="9.44140625" style="69" bestFit="1" customWidth="1"/>
    <col min="205" max="206" width="10.5546875" style="69" bestFit="1" customWidth="1"/>
    <col min="207" max="209" width="10.5546875" style="69" customWidth="1"/>
    <col min="210" max="210" width="9" style="69" bestFit="1" customWidth="1"/>
    <col min="211" max="211" width="10.5546875" style="69" bestFit="1" customWidth="1"/>
    <col min="212" max="212" width="9.33203125" style="69" bestFit="1" customWidth="1"/>
    <col min="213" max="213" width="11.6640625" style="69" bestFit="1" customWidth="1"/>
    <col min="214" max="214" width="8.44140625" style="69" bestFit="1" customWidth="1"/>
    <col min="215" max="215" width="9.44140625" style="69" bestFit="1" customWidth="1"/>
    <col min="216" max="216" width="9.6640625" style="69" bestFit="1" customWidth="1"/>
    <col min="217" max="217" width="11" style="69" bestFit="1" customWidth="1"/>
    <col min="218" max="218" width="9.44140625" style="69" bestFit="1" customWidth="1"/>
    <col min="219" max="16384" width="11.44140625" style="69"/>
  </cols>
  <sheetData>
    <row r="1" spans="1:218" s="5" customFormat="1" ht="26.4" thickBot="1" x14ac:dyDescent="0.55000000000000004">
      <c r="B1" s="311" t="s">
        <v>176</v>
      </c>
      <c r="C1" s="312"/>
      <c r="D1" s="312"/>
      <c r="E1" s="312"/>
      <c r="F1" s="312"/>
      <c r="G1" s="312"/>
      <c r="H1" s="313"/>
      <c r="I1" s="308" t="str">
        <f>IF('Données projet'!$B$9="","",'Données projet'!$B$9)</f>
        <v>Peuplier Koster</v>
      </c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10"/>
      <c r="AD1" s="309" t="str">
        <f>IF('Données projet'!$B$10="","",'Données projet'!$B$10)</f>
        <v>Chêne pubescent</v>
      </c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10"/>
      <c r="AY1" s="308" t="str">
        <f>IF('Données projet'!$B$11="","",'Données projet'!$B$11)</f>
        <v>Pin maritime</v>
      </c>
      <c r="AZ1" s="309"/>
      <c r="BA1" s="309"/>
      <c r="BB1" s="309"/>
      <c r="BC1" s="309"/>
      <c r="BD1" s="309"/>
      <c r="BE1" s="309"/>
      <c r="BF1" s="309"/>
      <c r="BG1" s="309"/>
      <c r="BH1" s="309"/>
      <c r="BI1" s="309"/>
      <c r="BJ1" s="309"/>
      <c r="BK1" s="309"/>
      <c r="BL1" s="309"/>
      <c r="BM1" s="309"/>
      <c r="BN1" s="309"/>
      <c r="BO1" s="309"/>
      <c r="BP1" s="309"/>
      <c r="BQ1" s="309"/>
      <c r="BR1" s="309"/>
      <c r="BS1" s="310"/>
      <c r="BT1" s="308" t="str">
        <f>IF('Données projet'!$B$12="","",'Données projet'!$B$12)</f>
        <v>Cèdre de l'Atlas</v>
      </c>
      <c r="BU1" s="309"/>
      <c r="BV1" s="309"/>
      <c r="BW1" s="309"/>
      <c r="BX1" s="309"/>
      <c r="BY1" s="309"/>
      <c r="BZ1" s="309"/>
      <c r="CA1" s="309"/>
      <c r="CB1" s="309"/>
      <c r="CC1" s="309"/>
      <c r="CD1" s="309"/>
      <c r="CE1" s="309"/>
      <c r="CF1" s="309"/>
      <c r="CG1" s="309"/>
      <c r="CH1" s="309"/>
      <c r="CI1" s="309"/>
      <c r="CJ1" s="309"/>
      <c r="CK1" s="309"/>
      <c r="CL1" s="309"/>
      <c r="CM1" s="309"/>
      <c r="CN1" s="310"/>
      <c r="CO1" s="308" t="str">
        <f>IF('Données projet'!$B$13="","",'Données projet'!$B$13)</f>
        <v>Chêne sessile</v>
      </c>
      <c r="CP1" s="309"/>
      <c r="CQ1" s="309"/>
      <c r="CR1" s="309"/>
      <c r="CS1" s="309"/>
      <c r="CT1" s="309"/>
      <c r="CU1" s="309"/>
      <c r="CV1" s="309"/>
      <c r="CW1" s="309"/>
      <c r="CX1" s="309"/>
      <c r="CY1" s="309"/>
      <c r="CZ1" s="309"/>
      <c r="DA1" s="309"/>
      <c r="DB1" s="309"/>
      <c r="DC1" s="309"/>
      <c r="DD1" s="309"/>
      <c r="DE1" s="309"/>
      <c r="DF1" s="309"/>
      <c r="DG1" s="309"/>
      <c r="DH1" s="309"/>
      <c r="DI1" s="310"/>
      <c r="DJ1" s="308" t="str">
        <f>IF('Données projet'!$B$14="","",'Données projet'!$B$14)</f>
        <v>Chêne chevelu</v>
      </c>
      <c r="DK1" s="309"/>
      <c r="DL1" s="309"/>
      <c r="DM1" s="309"/>
      <c r="DN1" s="309"/>
      <c r="DO1" s="309"/>
      <c r="DP1" s="309"/>
      <c r="DQ1" s="309"/>
      <c r="DR1" s="309"/>
      <c r="DS1" s="309"/>
      <c r="DT1" s="309"/>
      <c r="DU1" s="309"/>
      <c r="DV1" s="309"/>
      <c r="DW1" s="309"/>
      <c r="DX1" s="309"/>
      <c r="DY1" s="309"/>
      <c r="DZ1" s="309"/>
      <c r="EA1" s="309"/>
      <c r="EB1" s="309"/>
      <c r="EC1" s="309"/>
      <c r="ED1" s="310"/>
      <c r="EE1" s="308" t="str">
        <f>IF('Données projet'!$B$15="","",'Données projet'!$B$15)</f>
        <v>Bouleau verruqueux</v>
      </c>
      <c r="EF1" s="309"/>
      <c r="EG1" s="309"/>
      <c r="EH1" s="309"/>
      <c r="EI1" s="309"/>
      <c r="EJ1" s="309"/>
      <c r="EK1" s="309"/>
      <c r="EL1" s="309"/>
      <c r="EM1" s="309"/>
      <c r="EN1" s="309"/>
      <c r="EO1" s="309"/>
      <c r="EP1" s="309"/>
      <c r="EQ1" s="309"/>
      <c r="ER1" s="309"/>
      <c r="ES1" s="309"/>
      <c r="ET1" s="309"/>
      <c r="EU1" s="309"/>
      <c r="EV1" s="309"/>
      <c r="EW1" s="309"/>
      <c r="EX1" s="309"/>
      <c r="EY1" s="310"/>
      <c r="EZ1" s="308" t="str">
        <f>IF('Données projet'!$B$16="","",'Données projet'!$B$16)</f>
        <v>Alisier torminal</v>
      </c>
      <c r="FA1" s="309"/>
      <c r="FB1" s="309"/>
      <c r="FC1" s="309"/>
      <c r="FD1" s="309"/>
      <c r="FE1" s="309"/>
      <c r="FF1" s="309"/>
      <c r="FG1" s="309"/>
      <c r="FH1" s="309"/>
      <c r="FI1" s="309"/>
      <c r="FJ1" s="309"/>
      <c r="FK1" s="309"/>
      <c r="FL1" s="309"/>
      <c r="FM1" s="309"/>
      <c r="FN1" s="309"/>
      <c r="FO1" s="309"/>
      <c r="FP1" s="309"/>
      <c r="FQ1" s="309"/>
      <c r="FR1" s="309"/>
      <c r="FS1" s="309"/>
      <c r="FT1" s="310"/>
      <c r="FU1" s="308" t="str">
        <f>IF('Données projet'!$B$17="","",'Données projet'!$B$17)</f>
        <v/>
      </c>
      <c r="FV1" s="309"/>
      <c r="FW1" s="309"/>
      <c r="FX1" s="309"/>
      <c r="FY1" s="309"/>
      <c r="FZ1" s="309"/>
      <c r="GA1" s="309"/>
      <c r="GB1" s="309"/>
      <c r="GC1" s="309"/>
      <c r="GD1" s="309"/>
      <c r="GE1" s="309"/>
      <c r="GF1" s="309"/>
      <c r="GG1" s="309"/>
      <c r="GH1" s="309"/>
      <c r="GI1" s="309"/>
      <c r="GJ1" s="309"/>
      <c r="GK1" s="309"/>
      <c r="GL1" s="309"/>
      <c r="GM1" s="309"/>
      <c r="GN1" s="309"/>
      <c r="GO1" s="310"/>
      <c r="GP1" s="308" t="str">
        <f>IF('Données projet'!$B$18="","",'Données projet'!$B$18)</f>
        <v/>
      </c>
      <c r="GQ1" s="309"/>
      <c r="GR1" s="309"/>
      <c r="GS1" s="309"/>
      <c r="GT1" s="309"/>
      <c r="GU1" s="309"/>
      <c r="GV1" s="309"/>
      <c r="GW1" s="309"/>
      <c r="GX1" s="309"/>
      <c r="GY1" s="309"/>
      <c r="GZ1" s="309"/>
      <c r="HA1" s="309"/>
      <c r="HB1" s="309"/>
      <c r="HC1" s="309"/>
      <c r="HD1" s="309"/>
      <c r="HE1" s="309"/>
      <c r="HF1" s="309"/>
      <c r="HG1" s="309"/>
      <c r="HH1" s="309"/>
      <c r="HI1" s="309"/>
      <c r="HJ1" s="310"/>
    </row>
    <row r="2" spans="1:218" s="5" customFormat="1" ht="58.2" thickBot="1" x14ac:dyDescent="0.35">
      <c r="A2" s="73" t="s">
        <v>178</v>
      </c>
      <c r="B2" s="74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7" t="s">
        <v>299</v>
      </c>
      <c r="I2" s="70" t="s">
        <v>298</v>
      </c>
      <c r="J2" s="71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1" t="s">
        <v>298</v>
      </c>
      <c r="AE2" s="71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0" t="s">
        <v>298</v>
      </c>
      <c r="AZ2" s="71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0" t="s">
        <v>298</v>
      </c>
      <c r="BU2" s="71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0" t="s">
        <v>298</v>
      </c>
      <c r="CP2" s="71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0" t="s">
        <v>298</v>
      </c>
      <c r="DK2" s="71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0" t="s">
        <v>298</v>
      </c>
      <c r="EF2" s="71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0" t="s">
        <v>298</v>
      </c>
      <c r="FA2" s="71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0" t="s">
        <v>298</v>
      </c>
      <c r="FV2" s="71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0" t="s">
        <v>298</v>
      </c>
      <c r="GQ2" s="71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5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8">
        <f>(B3+E3+F3)*44/12+(C3+D3)*0.475*44/12</f>
        <v>256.66666666666669</v>
      </c>
      <c r="I3" s="7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0">
        <f t="shared" ref="R3:R66" si="0">Q3+(I3+J3)*44/12</f>
        <v>256.66666666666669</v>
      </c>
      <c r="S3" s="60">
        <f ca="1">AVERAGE(OFFSET($R$3,0,0,'Données projet'!$E$9+1,1))-AVERAGE(OFFSET($H$3,0,0,'Données projet'!$E$9+1,1))</f>
        <v>64.775385872852041</v>
      </c>
      <c r="T3" s="60">
        <f>IF('Données projet'!E9&gt;30,$R$33-$H$33,LOOKUP('Données projet'!$E$9,$A$3:$A$203,R3:R203)-LOOKUP('Données projet'!$E$9,$A$3:$A$203,$H$3:$H$203))</f>
        <v>201.69061202990468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0">
        <f>AL3+(AD3+AE3)*44/12</f>
        <v>256.66666666666669</v>
      </c>
      <c r="AN3" s="60">
        <f ca="1">AVERAGE(OFFSET($AM$3,0,0,'Données projet'!$E$10+1,1))-AVERAGE(OFFSET($H$3,0,0,'Données projet'!$E$10+1,1))</f>
        <v>475.47920969424894</v>
      </c>
      <c r="AO3" s="60">
        <f>IF('Données projet'!E10&gt;30,$AM$33-$H$33,LOOKUP('Données projet'!$E$10,$A$3:$A$203,AM3:AM203)-LOOKUP('Données projet'!$E$10,$A$3:$A$203,$H$3:$H$203))</f>
        <v>271.73544012419364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7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0">
        <f>BG3+(AY3+AZ3)*44/12</f>
        <v>256.66666666666669</v>
      </c>
      <c r="BI3" s="60">
        <f ca="1">AVERAGE(OFFSET($BH$3,0,0,'Données projet'!$E$11+1,1))-AVERAGE(OFFSET($H$3,0,0,'Données projet'!$E$11+1,1))</f>
        <v>260.02504691866199</v>
      </c>
      <c r="BJ3" s="60">
        <f>IF('Données projet'!E11&gt;30,$BH$33-$H$33,LOOKUP('Données projet'!$E$11,$A$3:$A$203,BH3:BH203)-LOOKUP('Données projet'!$E$11,$A$3:$A$203,$H$3:$H$203))</f>
        <v>270.11268336406368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0">
        <f>CB3+(BT3+BU3)*44/12</f>
        <v>256.66666666666669</v>
      </c>
      <c r="CD3" s="60">
        <f ca="1">AVERAGE(OFFSET($CC$3,0,0,'Données projet'!$E$12+1,1))-AVERAGE(OFFSET($H$3,0,0,'Données projet'!$E$12+1,1))</f>
        <v>246.72166704460847</v>
      </c>
      <c r="CE3" s="60">
        <f>IF('Données projet'!E12&gt;30,$CC$33-$H$33,LOOKUP('Données projet'!$E$12,$A$3:$A$203,CC3:CC203)-LOOKUP('Données projet'!$E$12,$A$3:$A$203,$H$3:$H$203))</f>
        <v>145.54897745089966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0">
        <f>CW3+(CO3+CP3)*44/12</f>
        <v>256.66666666666669</v>
      </c>
      <c r="CY3" s="60">
        <f ca="1">AVERAGE(OFFSET($CX$3,0,0,'Données projet'!$E$13+1,1))-AVERAGE(OFFSET($H$3,0,0,'Données projet'!$E$13+1,1))</f>
        <v>428.8489304403459</v>
      </c>
      <c r="CZ3" s="60">
        <f>IF('Données projet'!E13&gt;30,$CX$33-$H$33,LOOKUP('Données projet'!$E$13,$A$3:$A$203,CX3:CX203)-LOOKUP('Données projet'!$E$13,$A$3:$A$203,$H$3:$H$203))</f>
        <v>247.01165577562966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0">
        <f>DR3+(DJ3+DK3)*44/12</f>
        <v>256.66666666666669</v>
      </c>
      <c r="DT3" s="60">
        <f ca="1">AVERAGE(OFFSET($DS$3,0,0,'Données projet'!$E$14+1,1))-AVERAGE(OFFSET($H$3,0,0,'Données projet'!$E$14+1,1))</f>
        <v>493.70175665335978</v>
      </c>
      <c r="DU3" s="60">
        <f>IF('Données projet'!E14&gt;30,$DS$33-$H$33,LOOKUP('Données projet'!$E$14,$A$3:$A$203,DS3:DS203)-LOOKUP('Données projet'!$E$14,$A$3:$A$203,$H$3:$H$203))</f>
        <v>325.12357781685949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0">
        <f>EM3+(EE3+EF3)*44/12</f>
        <v>256.66666666666669</v>
      </c>
      <c r="EO3" s="60">
        <f ca="1">AVERAGE(OFFSET($EN$3,0,0,'Données projet'!$E$15+1,1))-AVERAGE(OFFSET($H$3,0,0,'Données projet'!$E$15+1,1))</f>
        <v>236.22643401787644</v>
      </c>
      <c r="EP3" s="60">
        <f>IF('Données projet'!E15&gt;30,$EN$33-$H$33,LOOKUP('Données projet'!$E$15,$A$3:$A$203,EN3:EN203)-LOOKUP('Données projet'!$E$15,$A$3:$A$203,$H$3:$H$203))</f>
        <v>188.80444043778022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0">
        <f>FH3+(EZ3+FA3)*44/12</f>
        <v>256.66666666666669</v>
      </c>
      <c r="FJ3" s="60">
        <f ca="1">AVERAGE(OFFSET($FI$3,0,0,'Données projet'!$E$16+1,1))-AVERAGE(OFFSET($H$3,0,0,'Données projet'!$E$16+1,1))</f>
        <v>255.59755832175625</v>
      </c>
      <c r="FK3" s="60">
        <f>IF('Données projet'!E16&gt;30,$FI$33-$H$33,LOOKUP('Données projet'!$E$16,$A$3:$A$203,FI3:FI203)-LOOKUP('Données projet'!$E$16,$A$3:$A$203,$H$3:$H$203))</f>
        <v>154.0840647586964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0" t="e">
        <f>GC3+(FU3+FV3)*44/12</f>
        <v>#N/A</v>
      </c>
      <c r="GE3" s="60" t="e">
        <f ca="1">AVERAGE(OFFSET($GD$3,0,0,'Données projet'!$E$17+1,1))-AVERAGE(OFFSET($H$3,0,0,'Données projet'!$E$17+1,1))</f>
        <v>#N/A</v>
      </c>
      <c r="GF3" s="60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7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0" t="e">
        <f>GX3+(GP3+GQ3)*44/12</f>
        <v>#N/A</v>
      </c>
      <c r="GZ3" s="60" t="e">
        <f ca="1">AVERAGE(OFFSET($GY$3,0,0,'Données projet'!$E$18+1,1))-AVERAGE(OFFSET($H$3,0,0,'Données projet'!$E$18+1,1))</f>
        <v>#N/A</v>
      </c>
      <c r="HA3" s="60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5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68">
        <f t="shared" ref="H4:H67" si="1">(B4+E4+F4)*44/12+(C4+D4)*0.475*44/12</f>
        <v>256.66666666666669</v>
      </c>
      <c r="I4" s="7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1.53</v>
      </c>
      <c r="N4" s="14">
        <f>IF('Données projet'!$A$36&gt;35,N3+M4-V3,IF(A4&lt;'Données projet'!$A$36,$K$205^A4,IF(A4='Données projet'!$A$36,'Données projet'!$B$36,N3+M4-V3)))</f>
        <v>1.3676427803629969</v>
      </c>
      <c r="O4" s="14">
        <f>N4*VLOOKUP('Données projet'!$B$9,Paramètres!$A$1:$I$89,3,0)*VLOOKUP('Données projet'!$B$9,Paramètres!$A$1:$I$89,5,0)</f>
        <v>0.69552841238140573</v>
      </c>
      <c r="P4" s="14">
        <f>EXP(-1.0587+0.8836*LN(O4)+0.284)</f>
        <v>0.33436552204739078</v>
      </c>
      <c r="Q4" s="22">
        <f t="shared" ref="Q4:Q34" si="2">(O4+P4)*0.475*44/12</f>
        <v>1.7937319357968204</v>
      </c>
      <c r="R4" s="60">
        <f t="shared" si="0"/>
        <v>259.68262082468567</v>
      </c>
      <c r="S4" s="60">
        <f ca="1">AVERAGE(OFFSET($R$3,0,0,'Données projet'!$E$9+1,1))-AVERAGE(OFFSET($H$3,0,0,'Données projet'!$E$9+1,1))</f>
        <v>64.775385872852041</v>
      </c>
      <c r="T4" s="60">
        <f>$T$3</f>
        <v>201.69061202990468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1.2223636300497438</v>
      </c>
      <c r="AK4" s="14">
        <f>EXP(-1.0587+0.8836*LN(AJ4)+0.284)</f>
        <v>0.55030360208821416</v>
      </c>
      <c r="AL4" s="22">
        <f t="shared" ref="AL4:AL67" si="4">(AJ4+AK4)*0.475*44/12</f>
        <v>3.0873954293069432</v>
      </c>
      <c r="AM4" s="60">
        <f t="shared" ref="AM4:AM67" si="5">AL4+(AD4+AE4)*44/12</f>
        <v>260.97628431819578</v>
      </c>
      <c r="AN4" s="60">
        <f ca="1">AVERAGE(OFFSET($AM$3,0,0,'Données projet'!$E$10+1,1))-AVERAGE(OFFSET($H$3,0,0,'Données projet'!$E$10+1,1))</f>
        <v>475.47920969424894</v>
      </c>
      <c r="AO4" s="60">
        <f>$AO$3</f>
        <v>271.73544012419364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7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7.4312217194570129</v>
      </c>
      <c r="BD4" s="13">
        <f>IF('Données projet'!$A$88&gt;35,BD3+BC4-BL3,IF(A4&lt;'Données projet'!$A$88,$BA$205^A4,IF(A4='Données projet'!$A$88,'Données projet'!$B$88,BD3+BC4-BL3)))</f>
        <v>1.3292852468636394</v>
      </c>
      <c r="BE4" s="14">
        <f>BD4*VLOOKUP('Données projet'!$B$11,Paramètres!$A$1:$I$89,3,0)*VLOOKUP('Données projet'!$B$11,Paramètres!$A$1:$I$89,5,0)</f>
        <v>0.79491257762445644</v>
      </c>
      <c r="BF4" s="14">
        <f>EXP(-1.0587+0.8836*LN(BE4)+0.284)</f>
        <v>0.37624805113513943</v>
      </c>
      <c r="BG4" s="22">
        <f t="shared" ref="BG4:BG67" si="7">(BE4+BF4)*0.475*44/12</f>
        <v>2.0397714284229629</v>
      </c>
      <c r="BH4" s="60">
        <f t="shared" ref="BH4:BH67" si="8">BG4+(AY4+AZ4)*44/12</f>
        <v>259.92866031731182</v>
      </c>
      <c r="BI4" s="60">
        <f ca="1">AVERAGE(OFFSET($BH$3,0,0,'Données projet'!$E$11+1,1))-AVERAGE(OFFSET($H$3,0,0,'Données projet'!$E$11+1,1))</f>
        <v>260.02504691866199</v>
      </c>
      <c r="BJ4" s="60">
        <f>$BJ$3</f>
        <v>270.11268336406368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3.4425641025641025</v>
      </c>
      <c r="BY4" s="13">
        <f>IF('Données projet'!$A$114&gt;35,BY3+BX4-CG3,IF(A4&lt;'Données projet'!$A$114,$BV$205^A4,IF(A4='Données projet'!$A$114,'Données projet'!$B$114,BY3+BX4-CG3)))</f>
        <v>1.1671681906248585</v>
      </c>
      <c r="BZ4" s="14">
        <f>BY4*VLOOKUP('Données projet'!$B$12,Paramètres!$A$1:$I$89,3,0)*VLOOKUP('Données projet'!$B$12,Paramètres!$A$1:$I$89,5,0)</f>
        <v>0.54623471321243378</v>
      </c>
      <c r="CA4" s="14">
        <f>EXP(-1.0587+0.8836*LN(BZ4)+0.284)</f>
        <v>0.27008496636632595</v>
      </c>
      <c r="CB4" s="22">
        <f t="shared" ref="CB4:CB67" si="10">(BZ4+CA4)*0.475*44/12</f>
        <v>1.4217567752663396</v>
      </c>
      <c r="CC4" s="60">
        <f t="shared" ref="CC4:CC67" si="11">CB4+(BT4+BU4)*44/12</f>
        <v>259.31064566415517</v>
      </c>
      <c r="CD4" s="60">
        <f ca="1">AVERAGE(OFFSET($CC$3,0,0,'Données projet'!$E$12+1,1))-AVERAGE(OFFSET($H$3,0,0,'Données projet'!$E$12+1,1))</f>
        <v>246.72166704460847</v>
      </c>
      <c r="CE4" s="60">
        <f>$CE$3</f>
        <v>145.54897745089966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2.1</v>
      </c>
      <c r="CT4" s="13">
        <f>IF('Données projet'!$A$140&gt;35,CT3+CS4-DB3,IF(A4&lt;'Données projet'!$A$140,$CQ$205^A4,IF(A4='Données projet'!$A$140,'Données projet'!$B$140,CT3+CS4-DB3)))</f>
        <v>1.2054868146447177</v>
      </c>
      <c r="CU4" s="18">
        <f>CT4*VLOOKUP('Données projet'!$B$13,Paramètres!$A$1:$I$89,3,0)*VLOOKUP('Données projet'!$B$13,Paramètres!$A$1:$I$89,5,0)</f>
        <v>1.0907244698905405</v>
      </c>
      <c r="CV4" s="14">
        <f>EXP(-1.0587+0.8836*LN(CU4)+0.284)</f>
        <v>0.49759623852608204</v>
      </c>
      <c r="CW4" s="22">
        <f t="shared" ref="CW4:CW67" si="13">(CU4+CV4)*0.475*44/12</f>
        <v>2.7663252338256172</v>
      </c>
      <c r="CX4" s="60">
        <f t="shared" ref="CX4:CX67" si="14">CW4+(CO4+CP4)*44/12</f>
        <v>260.65521412271448</v>
      </c>
      <c r="CY4" s="60">
        <f ca="1">AVERAGE(OFFSET($CX$3,0,0,'Données projet'!$E$13+1,1))-AVERAGE(OFFSET($H$3,0,0,'Données projet'!$E$13+1,1))</f>
        <v>428.8489304403459</v>
      </c>
      <c r="CZ4" s="60">
        <f>$CZ$3</f>
        <v>247.01165577562966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2.0085470085470085</v>
      </c>
      <c r="DO4" s="13">
        <f>IF('Données projet'!$A$166&gt;35,DO3+DN4-DW3,IF(A4&lt;'Données projet'!$A$166,$DL$205^A4,IF(A4='Données projet'!$A$166,'Données projet'!$B$166,DO3+DN4-DW3)))</f>
        <v>1.2548684989282006</v>
      </c>
      <c r="DP4" s="18">
        <f>DO4*VLOOKUP('Données projet'!$B$14,Paramètres!$A$1:$I$89,3,0)*VLOOKUP('Données projet'!$B$14,Paramètres!$A$1:$I$89,5,0)</f>
        <v>1.3115885550797555</v>
      </c>
      <c r="DQ4" s="14">
        <f>EXP(-1.0587+0.8836*LN(DP4)+0.284)</f>
        <v>0.5856498554818651</v>
      </c>
      <c r="DR4" s="22">
        <f t="shared" ref="DR4:DR67" si="16">(DP4+DQ4)*0.475*44/12</f>
        <v>3.3043568983948219</v>
      </c>
      <c r="DS4" s="60">
        <f t="shared" ref="DS4:DS67" si="17">DR4+(DJ4+DK4)*44/12</f>
        <v>261.19324578728367</v>
      </c>
      <c r="DT4" s="60">
        <f ca="1">AVERAGE(OFFSET($DS$3,0,0,'Données projet'!$E$14+1,1))-AVERAGE(OFFSET($H$3,0,0,'Données projet'!$E$14+1,1))</f>
        <v>493.70175665335978</v>
      </c>
      <c r="DU4" s="60">
        <f>$DU$3</f>
        <v>325.12357781685949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2.1333333333333333</v>
      </c>
      <c r="EJ4" s="13">
        <f>IF('Données projet'!$A$192&gt;35,EJ3+EI4-ER3,IF(A4&lt;'Données projet'!$A$192,$EG$205^A4,IF(A4='Données projet'!$A$192,'Données projet'!$B$192,EJ3+EI4-ER3)))</f>
        <v>1.2599210498948732</v>
      </c>
      <c r="EK4" s="18">
        <f>EJ4*VLOOKUP('Données projet'!$B$15,Paramètres!$A$1:$I$89,3,0)*VLOOKUP('Données projet'!$B$15,Paramètres!$A$1:$I$89,5,0)</f>
        <v>1.0220479556747213</v>
      </c>
      <c r="EL4" s="14">
        <f>EXP(-1.0587+0.8836*LN(EK4)+0.284)</f>
        <v>0.4698085135128936</v>
      </c>
      <c r="EM4" s="22">
        <f t="shared" ref="EM4:EM67" si="19">(EK4+EL4)*0.475*44/12</f>
        <v>2.5983166838350953</v>
      </c>
      <c r="EN4" s="60">
        <f t="shared" ref="EN4:EN67" si="20">EM4+(EE4+EF4)*44/12</f>
        <v>260.48720557272395</v>
      </c>
      <c r="EO4" s="60">
        <f ca="1">AVERAGE(OFFSET($EN$3,0,0,'Données projet'!$E$15+1,1))-AVERAGE(OFFSET($H$3,0,0,'Données projet'!$E$15+1,1))</f>
        <v>236.22643401787644</v>
      </c>
      <c r="EP4" s="60">
        <f>$EP$3</f>
        <v>188.80444043778022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1.05</v>
      </c>
      <c r="FE4" s="13">
        <f>IF('Données projet'!$A$218&gt;35,FE3+FD4-FM3,IF(A4&lt;'Données projet'!$A$218,$FB$205^A4,IF(A4='Données projet'!$A$218,'Données projet'!$B$218,FE3+FD4-FM3)))</f>
        <v>1.1644235083052243</v>
      </c>
      <c r="FF4" s="18">
        <f>FE4*VLOOKUP('Données projet'!$B$16,Paramètres!$A$1:$I$89,3,0)*VLOOKUP('Données projet'!$B$16,Paramètres!$A$1:$I$89,5,0)</f>
        <v>1.126230417232813</v>
      </c>
      <c r="FG4" s="14">
        <f>EXP(-1.0587+0.8836*LN(FF4)+0.284)</f>
        <v>0.51188205554259503</v>
      </c>
      <c r="FH4" s="22">
        <f t="shared" ref="FH4:FH67" si="22">(FF4+FG4)*0.475*44/12</f>
        <v>2.8530458900838358</v>
      </c>
      <c r="FI4" s="60">
        <f t="shared" ref="FI4:FI67" si="23">FH4+(EZ4+FA4)*44/12</f>
        <v>260.74193477897268</v>
      </c>
      <c r="FJ4" s="60">
        <f ca="1">AVERAGE(OFFSET($FI$3,0,0,'Données projet'!$E$16+1,1))-AVERAGE(OFFSET($H$3,0,0,'Données projet'!$E$16+1,1))</f>
        <v>255.59755832175625</v>
      </c>
      <c r="FK4" s="60">
        <f>$FK$3</f>
        <v>154.0840647586964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0" t="e">
        <f t="shared" ref="GD4:GD67" si="26">GC4+(FU4+FV4)*44/12</f>
        <v>#N/A</v>
      </c>
      <c r="GE4" s="60" t="e">
        <f ca="1">AVERAGE(OFFSET($GD$3,0,0,'Données projet'!$E$17+1,1))-AVERAGE(OFFSET($H$3,0,0,'Données projet'!$E$17+1,1))</f>
        <v>#N/A</v>
      </c>
      <c r="GF4" s="60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7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0" t="e">
        <f t="shared" ref="GY4:GY67" si="29">GX4+(GP4+GQ4)*44/12</f>
        <v>#N/A</v>
      </c>
      <c r="GZ4" s="60" t="e">
        <f ca="1">AVERAGE(OFFSET($GY$3,0,0,'Données projet'!$E$18+1,1))-AVERAGE(OFFSET($H$3,0,0,'Données projet'!$E$18+1,1))</f>
        <v>#N/A</v>
      </c>
      <c r="HA4" s="60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5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68">
        <f t="shared" si="1"/>
        <v>256.66666666666669</v>
      </c>
      <c r="I5" s="7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1.53</v>
      </c>
      <c r="N5" s="14">
        <f>IF('Données projet'!$A$36&gt;35,N4+M5-V4,IF(A5&lt;'Données projet'!$A$36,$K$205^A5,IF(A5='Données projet'!$A$36,'Données projet'!$B$36,N4+M5-V4)))</f>
        <v>1.8704467746790285</v>
      </c>
      <c r="O5" s="14">
        <f>N5*VLOOKUP('Données projet'!$B$9,Paramètres!$A$1:$I$89,3,0)*VLOOKUP('Données projet'!$B$9,Paramètres!$A$1:$I$89,5,0)</f>
        <v>0.95123441173076684</v>
      </c>
      <c r="P5" s="14">
        <f t="shared" ref="P5:P68" si="33">EXP(-1.0587+0.8836*LN(O5)+0.284)</f>
        <v>0.4409272569541221</v>
      </c>
      <c r="Q5" s="22">
        <f t="shared" si="2"/>
        <v>2.4246815729595146</v>
      </c>
      <c r="R5" s="60">
        <f t="shared" si="0"/>
        <v>261.53579268407066</v>
      </c>
      <c r="S5" s="60">
        <f ca="1">AVERAGE(OFFSET($R$3,0,0,'Données projet'!$E$9+1,1))-AVERAGE(OFFSET($H$3,0,0,'Données projet'!$E$9+1,1))</f>
        <v>64.775385872852041</v>
      </c>
      <c r="T5" s="60">
        <f t="shared" ref="T5:T68" si="34">$T$3</f>
        <v>201.69061202990468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1.47354323872622</v>
      </c>
      <c r="AK5" s="14">
        <f t="shared" ref="AK5:AK68" si="35">EXP(-1.0587+0.8836*LN(AJ5)+0.284)</f>
        <v>0.64910881835703094</v>
      </c>
      <c r="AL5" s="22">
        <f t="shared" si="4"/>
        <v>3.6969523327533285</v>
      </c>
      <c r="AM5" s="60">
        <f t="shared" si="5"/>
        <v>262.80806344386446</v>
      </c>
      <c r="AN5" s="60">
        <f ca="1">AVERAGE(OFFSET($AM$3,0,0,'Données projet'!$E$10+1,1))-AVERAGE(OFFSET($H$3,0,0,'Données projet'!$E$10+1,1))</f>
        <v>475.47920969424894</v>
      </c>
      <c r="AO5" s="60">
        <f t="shared" ref="AO5:AO68" si="36">$AO$3</f>
        <v>271.73544012419364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7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7.4312217194570129</v>
      </c>
      <c r="BD5" s="13">
        <f>IF('Données projet'!$A$88&gt;35,BD4+BC5-BL4,IF(A5&lt;'Données projet'!$A$88,$BA$205^A5,IF(A5='Données projet'!$A$88,'Données projet'!$B$88,BD4+BC5-BL4)))</f>
        <v>1.7669992675293267</v>
      </c>
      <c r="BE5" s="14">
        <f>BD5*VLOOKUP('Données projet'!$B$11,Paramètres!$A$1:$I$89,3,0)*VLOOKUP('Données projet'!$B$11,Paramètres!$A$1:$I$89,5,0)</f>
        <v>1.0566655619825374</v>
      </c>
      <c r="BF5" s="14">
        <f t="shared" ref="BF5:BF68" si="37">EXP(-1.0587+0.8836*LN(BE5)+0.284)</f>
        <v>0.48384169076702271</v>
      </c>
      <c r="BG5" s="22">
        <f t="shared" si="7"/>
        <v>2.6830501318721502</v>
      </c>
      <c r="BH5" s="60">
        <f t="shared" si="8"/>
        <v>261.79416124298331</v>
      </c>
      <c r="BI5" s="60">
        <f ca="1">AVERAGE(OFFSET($BH$3,0,0,'Données projet'!$E$11+1,1))-AVERAGE(OFFSET($H$3,0,0,'Données projet'!$E$11+1,1))</f>
        <v>260.02504691866199</v>
      </c>
      <c r="BJ5" s="60">
        <f t="shared" ref="BJ5:BJ68" si="38">$BJ$3</f>
        <v>270.11268336406368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3.4425641025641025</v>
      </c>
      <c r="BY5" s="13">
        <f>IF('Données projet'!$A$114&gt;35,BY4+BX5-CG4,IF(A5&lt;'Données projet'!$A$114,$BV$205^A5,IF(A5='Données projet'!$A$114,'Données projet'!$B$114,BY4+BX5-CG4)))</f>
        <v>1.3622815852065062</v>
      </c>
      <c r="BZ5" s="14">
        <f>BY5*VLOOKUP('Données projet'!$B$12,Paramètres!$A$1:$I$89,3,0)*VLOOKUP('Données projet'!$B$12,Paramètres!$A$1:$I$89,5,0)</f>
        <v>0.63754778187664485</v>
      </c>
      <c r="CA5" s="14">
        <f t="shared" ref="CA5:CA68" si="39">EXP(-1.0587+0.8836*LN(BZ5)+0.284)</f>
        <v>0.30961323785545058</v>
      </c>
      <c r="CB5" s="22">
        <f t="shared" si="10"/>
        <v>1.6496387760333995</v>
      </c>
      <c r="CC5" s="60">
        <f t="shared" si="11"/>
        <v>260.76074988714453</v>
      </c>
      <c r="CD5" s="60">
        <f ca="1">AVERAGE(OFFSET($CC$3,0,0,'Données projet'!$E$12+1,1))-AVERAGE(OFFSET($H$3,0,0,'Données projet'!$E$12+1,1))</f>
        <v>246.72166704460847</v>
      </c>
      <c r="CE5" s="60">
        <f t="shared" ref="CE5:CE68" si="40">$CE$3</f>
        <v>145.54897745089966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2.1</v>
      </c>
      <c r="CT5" s="13">
        <f>IF('Données projet'!$A$140&gt;35,CT4+CS5-DB4,IF(A5&lt;'Données projet'!$A$140,$CQ$205^A5,IF(A5='Données projet'!$A$140,'Données projet'!$B$140,CT4+CS5-DB4)))</f>
        <v>1.4531984602822681</v>
      </c>
      <c r="CU5" s="18">
        <f>CT5*VLOOKUP('Données projet'!$B$13,Paramètres!$A$1:$I$89,3,0)*VLOOKUP('Données projet'!$B$13,Paramètres!$A$1:$I$89,5,0)</f>
        <v>1.3148539668633961</v>
      </c>
      <c r="CV5" s="14">
        <f t="shared" ref="CV5:CV68" si="41">EXP(-1.0587+0.8836*LN(CU5)+0.284)</f>
        <v>0.58693801963664449</v>
      </c>
      <c r="CW5" s="22">
        <f t="shared" si="13"/>
        <v>3.3122877098209038</v>
      </c>
      <c r="CX5" s="60">
        <f t="shared" si="14"/>
        <v>262.42339882093205</v>
      </c>
      <c r="CY5" s="60">
        <f ca="1">AVERAGE(OFFSET($CX$3,0,0,'Données projet'!$E$13+1,1))-AVERAGE(OFFSET($H$3,0,0,'Données projet'!$E$13+1,1))</f>
        <v>428.8489304403459</v>
      </c>
      <c r="CZ5" s="60">
        <f t="shared" ref="CZ5:CZ68" si="42">$CZ$3</f>
        <v>247.01165577562966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2.0085470085470085</v>
      </c>
      <c r="DO5" s="13">
        <f>IF('Données projet'!$A$166&gt;35,DO4+DN5-DW4,IF(A5&lt;'Données projet'!$A$166,$DL$205^A5,IF(A5='Données projet'!$A$166,'Données projet'!$B$166,DO4+DN5-DW4)))</f>
        <v>1.5746949496023155</v>
      </c>
      <c r="DP5" s="18">
        <f>DO5*VLOOKUP('Données projet'!$B$14,Paramètres!$A$1:$I$89,3,0)*VLOOKUP('Données projet'!$B$14,Paramètres!$A$1:$I$89,5,0)</f>
        <v>1.6458711613243404</v>
      </c>
      <c r="DQ5" s="14">
        <f t="shared" ref="DQ5:DQ68" si="43">EXP(-1.0587+0.8836*LN(DP5)+0.284)</f>
        <v>0.71574681686586372</v>
      </c>
      <c r="DR5" s="22">
        <f t="shared" si="16"/>
        <v>4.1131513120146055</v>
      </c>
      <c r="DS5" s="60">
        <f t="shared" si="17"/>
        <v>263.22426242312577</v>
      </c>
      <c r="DT5" s="60">
        <f ca="1">AVERAGE(OFFSET($DS$3,0,0,'Données projet'!$E$14+1,1))-AVERAGE(OFFSET($H$3,0,0,'Données projet'!$E$14+1,1))</f>
        <v>493.70175665335978</v>
      </c>
      <c r="DU5" s="60">
        <f t="shared" ref="DU5:DU68" si="44">$DU$3</f>
        <v>325.12357781685949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2.1333333333333333</v>
      </c>
      <c r="EJ5" s="13">
        <f>IF('Données projet'!$A$192&gt;35,EJ4+EI5-ER4,IF(A5&lt;'Données projet'!$A$192,$EG$205^A5,IF(A5='Données projet'!$A$192,'Données projet'!$B$192,EJ4+EI5-ER4)))</f>
        <v>1.5874010519681996</v>
      </c>
      <c r="EK5" s="18">
        <f>EJ5*VLOOKUP('Données projet'!$B$15,Paramètres!$A$1:$I$89,3,0)*VLOOKUP('Données projet'!$B$15,Paramètres!$A$1:$I$89,5,0)</f>
        <v>1.2876997333566036</v>
      </c>
      <c r="EL5" s="14">
        <f t="shared" ref="EL5:EL68" si="45">EXP(-1.0587+0.8836*LN(EK5)+0.284)</f>
        <v>0.57621458989117558</v>
      </c>
      <c r="EM5" s="22">
        <f t="shared" si="19"/>
        <v>3.2463174463232147</v>
      </c>
      <c r="EN5" s="60">
        <f t="shared" si="20"/>
        <v>262.35742855743433</v>
      </c>
      <c r="EO5" s="60">
        <f ca="1">AVERAGE(OFFSET($EN$3,0,0,'Données projet'!$E$15+1,1))-AVERAGE(OFFSET($H$3,0,0,'Données projet'!$E$15+1,1))</f>
        <v>236.22643401787644</v>
      </c>
      <c r="EP5" s="60">
        <f t="shared" ref="EP5:EP68" si="46">$EP$3</f>
        <v>188.80444043778022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1.05</v>
      </c>
      <c r="FE5" s="13">
        <f>IF('Données projet'!$A$218&gt;35,FE4+FD5-FM4,IF(A5&lt;'Données projet'!$A$218,$FB$205^A5,IF(A5='Données projet'!$A$218,'Données projet'!$B$218,FE4+FD5-FM4)))</f>
        <v>1.3558821066938469</v>
      </c>
      <c r="FF5" s="18">
        <f>FE5*VLOOKUP('Données projet'!$B$16,Paramètres!$A$1:$I$89,3,0)*VLOOKUP('Données projet'!$B$16,Paramètres!$A$1:$I$89,5,0)</f>
        <v>1.3114091735942888</v>
      </c>
      <c r="FG5" s="14">
        <f t="shared" ref="FG5:FG68" si="47">EXP(-1.0587+0.8836*LN(FF5)+0.284)</f>
        <v>0.58557908091788968</v>
      </c>
      <c r="FH5" s="22">
        <f t="shared" si="22"/>
        <v>3.3039212099420436</v>
      </c>
      <c r="FI5" s="60">
        <f t="shared" si="23"/>
        <v>262.41503232105316</v>
      </c>
      <c r="FJ5" s="60">
        <f ca="1">AVERAGE(OFFSET($FI$3,0,0,'Données projet'!$E$16+1,1))-AVERAGE(OFFSET($H$3,0,0,'Données projet'!$E$16+1,1))</f>
        <v>255.59755832175625</v>
      </c>
      <c r="FK5" s="60">
        <f t="shared" ref="FK5:FK68" si="48">$FK$3</f>
        <v>154.0840647586964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0" t="e">
        <f t="shared" si="26"/>
        <v>#N/A</v>
      </c>
      <c r="GE5" s="60" t="e">
        <f ca="1">AVERAGE(OFFSET($GD$3,0,0,'Données projet'!$E$17+1,1))-AVERAGE(OFFSET($H$3,0,0,'Données projet'!$E$17+1,1))</f>
        <v>#N/A</v>
      </c>
      <c r="GF5" s="60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7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0" t="e">
        <f t="shared" si="29"/>
        <v>#N/A</v>
      </c>
      <c r="GZ5" s="60" t="e">
        <f ca="1">AVERAGE(OFFSET($GY$3,0,0,'Données projet'!$E$18+1,1))-AVERAGE(OFFSET($H$3,0,0,'Données projet'!$E$18+1,1))</f>
        <v>#N/A</v>
      </c>
      <c r="HA5" s="60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5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68">
        <f t="shared" si="1"/>
        <v>256.66666666666669</v>
      </c>
      <c r="I6" s="7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1.53</v>
      </c>
      <c r="N6" s="14">
        <f>IF('Données projet'!$A$36&gt;35,N5+M6-V5,IF(A6&lt;'Données projet'!$A$36,$K$205^A6,IF(A6='Données projet'!$A$36,'Données projet'!$B$36,N5+M6-V5)))</f>
        <v>2.5581030274430265</v>
      </c>
      <c r="O6" s="14">
        <f>N6*VLOOKUP('Données projet'!$B$9,Paramètres!$A$1:$I$89,3,0)*VLOOKUP('Données projet'!$B$9,Paramètres!$A$1:$I$89,5,0)</f>
        <v>1.3009488756364258</v>
      </c>
      <c r="P6" s="14">
        <f t="shared" si="33"/>
        <v>0.58145003927029004</v>
      </c>
      <c r="Q6" s="22">
        <f t="shared" si="2"/>
        <v>3.2785114434625302</v>
      </c>
      <c r="R6" s="60">
        <f t="shared" si="0"/>
        <v>263.61184477679586</v>
      </c>
      <c r="S6" s="60">
        <f ca="1">AVERAGE(OFFSET($R$3,0,0,'Données projet'!$E$9+1,1))-AVERAGE(OFFSET($H$3,0,0,'Données projet'!$E$9+1,1))</f>
        <v>64.775385872852041</v>
      </c>
      <c r="T6" s="60">
        <f t="shared" si="34"/>
        <v>201.69061202990468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1.7763369450933317</v>
      </c>
      <c r="AK6" s="14">
        <f t="shared" si="35"/>
        <v>0.76565418883323866</v>
      </c>
      <c r="AL6" s="22">
        <f t="shared" si="4"/>
        <v>4.4273012249221102</v>
      </c>
      <c r="AM6" s="60">
        <f t="shared" si="5"/>
        <v>264.76063455825545</v>
      </c>
      <c r="AN6" s="60">
        <f ca="1">AVERAGE(OFFSET($AM$3,0,0,'Données projet'!$E$10+1,1))-AVERAGE(OFFSET($H$3,0,0,'Données projet'!$E$10+1,1))</f>
        <v>475.47920969424894</v>
      </c>
      <c r="AO6" s="60">
        <f t="shared" si="36"/>
        <v>271.73544012419364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7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7.4312217194570129</v>
      </c>
      <c r="BD6" s="13">
        <f>IF('Données projet'!$A$88&gt;35,BD5+BC6-BL5,IF(A6&lt;'Données projet'!$A$88,$BA$205^A6,IF(A6='Données projet'!$A$88,'Données projet'!$B$88,BD5+BC6-BL5)))</f>
        <v>2.3488460575455909</v>
      </c>
      <c r="BE6" s="14">
        <f>BD6*VLOOKUP('Données projet'!$B$11,Paramètres!$A$1:$I$89,3,0)*VLOOKUP('Données projet'!$B$11,Paramètres!$A$1:$I$89,5,0)</f>
        <v>1.4046099424122636</v>
      </c>
      <c r="BF6" s="14">
        <f t="shared" si="37"/>
        <v>0.62220330714804695</v>
      </c>
      <c r="BG6" s="22">
        <f t="shared" si="7"/>
        <v>3.5300330763175403</v>
      </c>
      <c r="BH6" s="60">
        <f t="shared" si="8"/>
        <v>263.86336640965084</v>
      </c>
      <c r="BI6" s="60">
        <f ca="1">AVERAGE(OFFSET($BH$3,0,0,'Données projet'!$E$11+1,1))-AVERAGE(OFFSET($H$3,0,0,'Données projet'!$E$11+1,1))</f>
        <v>260.02504691866199</v>
      </c>
      <c r="BJ6" s="60">
        <f t="shared" si="38"/>
        <v>270.11268336406368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3.4425641025641025</v>
      </c>
      <c r="BY6" s="13">
        <f>IF('Données projet'!$A$114&gt;35,BY5+BX6-CG5,IF(A6&lt;'Données projet'!$A$114,$BV$205^A6,IF(A6='Données projet'!$A$114,'Données projet'!$B$114,BY5+BX6-CG5)))</f>
        <v>1.590011732927042</v>
      </c>
      <c r="BZ6" s="14">
        <f>BY6*VLOOKUP('Données projet'!$B$12,Paramètres!$A$1:$I$89,3,0)*VLOOKUP('Données projet'!$B$12,Paramètres!$A$1:$I$89,5,0)</f>
        <v>0.7441254910098557</v>
      </c>
      <c r="CA6" s="14">
        <f t="shared" si="39"/>
        <v>0.35492666750402163</v>
      </c>
      <c r="CB6" s="22">
        <f t="shared" si="10"/>
        <v>1.9141825094116696</v>
      </c>
      <c r="CC6" s="60">
        <f t="shared" si="11"/>
        <v>262.24751584274497</v>
      </c>
      <c r="CD6" s="60">
        <f ca="1">AVERAGE(OFFSET($CC$3,0,0,'Données projet'!$E$12+1,1))-AVERAGE(OFFSET($H$3,0,0,'Données projet'!$E$12+1,1))</f>
        <v>246.72166704460847</v>
      </c>
      <c r="CE6" s="60">
        <f t="shared" si="40"/>
        <v>145.54897745089966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2.1</v>
      </c>
      <c r="CT6" s="13">
        <f>IF('Données projet'!$A$140&gt;35,CT5+CS6-DB5,IF(A6&lt;'Données projet'!$A$140,$CQ$205^A6,IF(A6='Données projet'!$A$140,'Données projet'!$B$140,CT5+CS6-DB5)))</f>
        <v>1.7518115829322798</v>
      </c>
      <c r="CU6" s="18">
        <f>CT6*VLOOKUP('Données projet'!$B$13,Paramètres!$A$1:$I$89,3,0)*VLOOKUP('Données projet'!$B$13,Paramètres!$A$1:$I$89,5,0)</f>
        <v>1.5850391202371266</v>
      </c>
      <c r="CV6" s="14">
        <f t="shared" si="41"/>
        <v>0.69232082604846479</v>
      </c>
      <c r="CW6" s="22">
        <f t="shared" si="13"/>
        <v>3.966401906447405</v>
      </c>
      <c r="CX6" s="60">
        <f t="shared" si="14"/>
        <v>264.29973523978072</v>
      </c>
      <c r="CY6" s="60">
        <f ca="1">AVERAGE(OFFSET($CX$3,0,0,'Données projet'!$E$13+1,1))-AVERAGE(OFFSET($H$3,0,0,'Données projet'!$E$13+1,1))</f>
        <v>428.8489304403459</v>
      </c>
      <c r="CZ6" s="60">
        <f t="shared" si="42"/>
        <v>247.01165577562966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2.0085470085470085</v>
      </c>
      <c r="DO6" s="13">
        <f>IF('Données projet'!$A$166&gt;35,DO5+DN6-DW5,IF(A6&lt;'Données projet'!$A$166,$DL$205^A6,IF(A6='Données projet'!$A$166,'Données projet'!$B$166,DO5+DN6-DW5)))</f>
        <v>1.9760350876772761</v>
      </c>
      <c r="DP6" s="18">
        <f>DO6*VLOOKUP('Données projet'!$B$14,Paramètres!$A$1:$I$89,3,0)*VLOOKUP('Données projet'!$B$14,Paramètres!$A$1:$I$89,5,0)</f>
        <v>2.0653518736402892</v>
      </c>
      <c r="DQ6" s="14">
        <f t="shared" si="43"/>
        <v>0.87474367330306557</v>
      </c>
      <c r="DR6" s="22">
        <f t="shared" si="16"/>
        <v>5.1206664109263427</v>
      </c>
      <c r="DS6" s="60">
        <f t="shared" si="17"/>
        <v>265.45399974425965</v>
      </c>
      <c r="DT6" s="60">
        <f ca="1">AVERAGE(OFFSET($DS$3,0,0,'Données projet'!$E$14+1,1))-AVERAGE(OFFSET($H$3,0,0,'Données projet'!$E$14+1,1))</f>
        <v>493.70175665335978</v>
      </c>
      <c r="DU6" s="60">
        <f t="shared" si="44"/>
        <v>325.12357781685949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2.1333333333333333</v>
      </c>
      <c r="EJ6" s="13">
        <f>IF('Données projet'!$A$192&gt;35,EJ5+EI6-ER5,IF(A6&lt;'Données projet'!$A$192,$EG$205^A6,IF(A6='Données projet'!$A$192,'Données projet'!$B$192,EJ5+EI6-ER5)))</f>
        <v>2</v>
      </c>
      <c r="EK6" s="18">
        <f>EJ6*VLOOKUP('Données projet'!$B$15,Paramètres!$A$1:$I$89,3,0)*VLOOKUP('Données projet'!$B$15,Paramètres!$A$1:$I$89,5,0)</f>
        <v>1.6224000000000001</v>
      </c>
      <c r="EL6" s="14">
        <f t="shared" si="45"/>
        <v>0.70672038512206192</v>
      </c>
      <c r="EM6" s="22">
        <f t="shared" si="19"/>
        <v>4.0565513374209239</v>
      </c>
      <c r="EN6" s="60">
        <f t="shared" si="20"/>
        <v>264.38988467075421</v>
      </c>
      <c r="EO6" s="60">
        <f ca="1">AVERAGE(OFFSET($EN$3,0,0,'Données projet'!$E$15+1,1))-AVERAGE(OFFSET($H$3,0,0,'Données projet'!$E$15+1,1))</f>
        <v>236.22643401787644</v>
      </c>
      <c r="EP6" s="60">
        <f t="shared" si="46"/>
        <v>188.80444043778022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1.05</v>
      </c>
      <c r="FE6" s="13">
        <f>IF('Données projet'!$A$218&gt;35,FE5+FD6-FM5,IF(A6&lt;'Données projet'!$A$218,$FB$205^A6,IF(A6='Données projet'!$A$218,'Données projet'!$B$218,FE5+FD6-FM5)))</f>
        <v>1.5788209995247278</v>
      </c>
      <c r="FF6" s="18">
        <f>FE6*VLOOKUP('Données projet'!$B$16,Paramètres!$A$1:$I$89,3,0)*VLOOKUP('Données projet'!$B$16,Paramètres!$A$1:$I$89,5,0)</f>
        <v>1.5270356707403168</v>
      </c>
      <c r="FG6" s="14">
        <f t="shared" si="47"/>
        <v>0.66988646367992577</v>
      </c>
      <c r="FH6" s="22">
        <f t="shared" si="22"/>
        <v>3.8263060507819229</v>
      </c>
      <c r="FI6" s="60">
        <f t="shared" si="23"/>
        <v>264.15963938411522</v>
      </c>
      <c r="FJ6" s="60">
        <f ca="1">AVERAGE(OFFSET($FI$3,0,0,'Données projet'!$E$16+1,1))-AVERAGE(OFFSET($H$3,0,0,'Données projet'!$E$16+1,1))</f>
        <v>255.59755832175625</v>
      </c>
      <c r="FK6" s="60">
        <f t="shared" si="48"/>
        <v>154.0840647586964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0" t="e">
        <f t="shared" si="26"/>
        <v>#N/A</v>
      </c>
      <c r="GE6" s="60" t="e">
        <f ca="1">AVERAGE(OFFSET($GD$3,0,0,'Données projet'!$E$17+1,1))-AVERAGE(OFFSET($H$3,0,0,'Données projet'!$E$17+1,1))</f>
        <v>#N/A</v>
      </c>
      <c r="GF6" s="60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7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0" t="e">
        <f t="shared" si="29"/>
        <v>#N/A</v>
      </c>
      <c r="GZ6" s="60" t="e">
        <f ca="1">AVERAGE(OFFSET($GY$3,0,0,'Données projet'!$E$18+1,1))-AVERAGE(OFFSET($H$3,0,0,'Données projet'!$E$18+1,1))</f>
        <v>#N/A</v>
      </c>
      <c r="HA6" s="60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5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68">
        <f t="shared" si="1"/>
        <v>256.66666666666669</v>
      </c>
      <c r="I7" s="7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1.53</v>
      </c>
      <c r="N7" s="14">
        <f>IF('Données projet'!$A$36&gt;35,N6+M7-V6,IF(A7&lt;'Données projet'!$A$36,$K$205^A7,IF(A7='Données projet'!$A$36,'Données projet'!$B$36,N6+M7-V6)))</f>
        <v>3.4985711369071804</v>
      </c>
      <c r="O7" s="14">
        <f>N7*VLOOKUP('Données projet'!$B$9,Paramètres!$A$1:$I$89,3,0)*VLOOKUP('Données projet'!$B$9,Paramètres!$A$1:$I$89,5,0)</f>
        <v>1.7792333373855156</v>
      </c>
      <c r="P7" s="14">
        <f t="shared" si="33"/>
        <v>0.76675719823462629</v>
      </c>
      <c r="Q7" s="22">
        <f t="shared" si="2"/>
        <v>4.4342668495384139</v>
      </c>
      <c r="R7" s="60">
        <f t="shared" si="0"/>
        <v>265.98982240509395</v>
      </c>
      <c r="S7" s="60">
        <f ca="1">AVERAGE(OFFSET($R$3,0,0,'Données projet'!$E$9+1,1))-AVERAGE(OFFSET($H$3,0,0,'Données projet'!$E$9+1,1))</f>
        <v>64.775385872852041</v>
      </c>
      <c r="T7" s="60">
        <f t="shared" si="34"/>
        <v>201.69061202990468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2.1413507656762891</v>
      </c>
      <c r="AK7" s="14">
        <f t="shared" si="35"/>
        <v>0.9031249003236328</v>
      </c>
      <c r="AL7" s="22">
        <f t="shared" si="4"/>
        <v>5.3024617849498643</v>
      </c>
      <c r="AM7" s="60">
        <f t="shared" si="5"/>
        <v>266.8580173405054</v>
      </c>
      <c r="AN7" s="60">
        <f ca="1">AVERAGE(OFFSET($AM$3,0,0,'Données projet'!$E$10+1,1))-AVERAGE(OFFSET($H$3,0,0,'Données projet'!$E$10+1,1))</f>
        <v>475.47920969424894</v>
      </c>
      <c r="AO7" s="60">
        <f t="shared" si="36"/>
        <v>271.73544012419364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7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7.4312217194570129</v>
      </c>
      <c r="BD7" s="13">
        <f>IF('Données projet'!$A$88&gt;35,BD6+BC7-BL6,IF(A7&lt;'Données projet'!$A$88,$BA$205^A7,IF(A7='Données projet'!$A$88,'Données projet'!$B$88,BD6+BC7-BL6)))</f>
        <v>3.1222864114491768</v>
      </c>
      <c r="BE7" s="14">
        <f>BD7*VLOOKUP('Données projet'!$B$11,Paramètres!$A$1:$I$89,3,0)*VLOOKUP('Données projet'!$B$11,Paramètres!$A$1:$I$89,5,0)</f>
        <v>1.8671272740466078</v>
      </c>
      <c r="BF7" s="14">
        <f t="shared" si="37"/>
        <v>0.80013145376589556</v>
      </c>
      <c r="BG7" s="22">
        <f t="shared" si="7"/>
        <v>4.6454756176067766</v>
      </c>
      <c r="BH7" s="60">
        <f t="shared" si="8"/>
        <v>266.20103117316233</v>
      </c>
      <c r="BI7" s="60">
        <f ca="1">AVERAGE(OFFSET($BH$3,0,0,'Données projet'!$E$11+1,1))-AVERAGE(OFFSET($H$3,0,0,'Données projet'!$E$11+1,1))</f>
        <v>260.02504691866199</v>
      </c>
      <c r="BJ7" s="60">
        <f t="shared" si="38"/>
        <v>270.11268336406368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3.4425641025641025</v>
      </c>
      <c r="BY7" s="13">
        <f>IF('Données projet'!$A$114&gt;35,BY6+BX7-CG6,IF(A7&lt;'Données projet'!$A$114,$BV$205^A7,IF(A7='Données projet'!$A$114,'Données projet'!$B$114,BY6+BX7-CG6)))</f>
        <v>1.8558111173927514</v>
      </c>
      <c r="BZ7" s="14">
        <f>BY7*VLOOKUP('Données projet'!$B$12,Paramètres!$A$1:$I$89,3,0)*VLOOKUP('Données projet'!$B$12,Paramètres!$A$1:$I$89,5,0)</f>
        <v>0.86851960293980757</v>
      </c>
      <c r="CA7" s="14">
        <f t="shared" si="39"/>
        <v>0.40687194183965542</v>
      </c>
      <c r="CB7" s="22">
        <f t="shared" si="10"/>
        <v>2.2213069404908978</v>
      </c>
      <c r="CC7" s="60">
        <f t="shared" si="11"/>
        <v>263.77686249604642</v>
      </c>
      <c r="CD7" s="60">
        <f ca="1">AVERAGE(OFFSET($CC$3,0,0,'Données projet'!$E$12+1,1))-AVERAGE(OFFSET($H$3,0,0,'Données projet'!$E$12+1,1))</f>
        <v>246.72166704460847</v>
      </c>
      <c r="CE7" s="60">
        <f t="shared" si="40"/>
        <v>145.54897745089966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2.1</v>
      </c>
      <c r="CT7" s="13">
        <f>IF('Données projet'!$A$140&gt;35,CT6+CS7-DB6,IF(A7&lt;'Données projet'!$A$140,$CQ$205^A7,IF(A7='Données projet'!$A$140,'Données projet'!$B$140,CT6+CS7-DB6)))</f>
        <v>2.1117857649667546</v>
      </c>
      <c r="CU7" s="18">
        <f>CT7*VLOOKUP('Données projet'!$B$13,Paramètres!$A$1:$I$89,3,0)*VLOOKUP('Données projet'!$B$13,Paramètres!$A$1:$I$89,5,0)</f>
        <v>1.9107437601419195</v>
      </c>
      <c r="CV7" s="14">
        <f t="shared" si="41"/>
        <v>0.81662477151702284</v>
      </c>
      <c r="CW7" s="22">
        <f t="shared" si="13"/>
        <v>4.7501668593059909</v>
      </c>
      <c r="CX7" s="60">
        <f t="shared" si="14"/>
        <v>266.30572241486152</v>
      </c>
      <c r="CY7" s="60">
        <f ca="1">AVERAGE(OFFSET($CX$3,0,0,'Données projet'!$E$13+1,1))-AVERAGE(OFFSET($H$3,0,0,'Données projet'!$E$13+1,1))</f>
        <v>428.8489304403459</v>
      </c>
      <c r="CZ7" s="60">
        <f t="shared" si="42"/>
        <v>247.01165577562966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2.0085470085470085</v>
      </c>
      <c r="DO7" s="13">
        <f>IF('Données projet'!$A$166&gt;35,DO6+DN7-DW6,IF(A7&lt;'Données projet'!$A$166,$DL$205^A7,IF(A7='Données projet'!$A$166,'Données projet'!$B$166,DO6+DN7-DW6)))</f>
        <v>2.4796641843030387</v>
      </c>
      <c r="DP7" s="18">
        <f>DO7*VLOOKUP('Données projet'!$B$14,Paramètres!$A$1:$I$89,3,0)*VLOOKUP('Données projet'!$B$14,Paramètres!$A$1:$I$89,5,0)</f>
        <v>2.5917450054335363</v>
      </c>
      <c r="DQ7" s="14">
        <f t="shared" si="43"/>
        <v>1.069060282146026</v>
      </c>
      <c r="DR7" s="22">
        <f t="shared" si="16"/>
        <v>6.375902542534404</v>
      </c>
      <c r="DS7" s="60">
        <f t="shared" si="17"/>
        <v>267.93145809808993</v>
      </c>
      <c r="DT7" s="60">
        <f ca="1">AVERAGE(OFFSET($DS$3,0,0,'Données projet'!$E$14+1,1))-AVERAGE(OFFSET($H$3,0,0,'Données projet'!$E$14+1,1))</f>
        <v>493.70175665335978</v>
      </c>
      <c r="DU7" s="60">
        <f t="shared" si="44"/>
        <v>325.12357781685949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2.1333333333333333</v>
      </c>
      <c r="EJ7" s="13">
        <f>IF('Données projet'!$A$192&gt;35,EJ6+EI7-ER6,IF(A7&lt;'Données projet'!$A$192,$EG$205^A7,IF(A7='Données projet'!$A$192,'Données projet'!$B$192,EJ6+EI7-ER6)))</f>
        <v>2.5198420997897468</v>
      </c>
      <c r="EK7" s="18">
        <f>EJ7*VLOOKUP('Données projet'!$B$15,Paramètres!$A$1:$I$89,3,0)*VLOOKUP('Données projet'!$B$15,Paramètres!$A$1:$I$89,5,0)</f>
        <v>2.0440959113494426</v>
      </c>
      <c r="EL7" s="14">
        <f t="shared" si="45"/>
        <v>0.86678420072876483</v>
      </c>
      <c r="EM7" s="22">
        <f t="shared" si="19"/>
        <v>5.0697828618695446</v>
      </c>
      <c r="EN7" s="60">
        <f t="shared" si="20"/>
        <v>266.6253384174251</v>
      </c>
      <c r="EO7" s="60">
        <f ca="1">AVERAGE(OFFSET($EN$3,0,0,'Données projet'!$E$15+1,1))-AVERAGE(OFFSET($H$3,0,0,'Données projet'!$E$15+1,1))</f>
        <v>236.22643401787644</v>
      </c>
      <c r="EP7" s="60">
        <f t="shared" si="46"/>
        <v>188.80444043778022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1.05</v>
      </c>
      <c r="FE7" s="13">
        <f>IF('Données projet'!$A$218&gt;35,FE6+FD7-FM6,IF(A7&lt;'Données projet'!$A$218,$FB$205^A7,IF(A7='Données projet'!$A$218,'Données projet'!$B$218,FE6+FD7-FM6)))</f>
        <v>1.8384162872525445</v>
      </c>
      <c r="FF7" s="18">
        <f>FE7*VLOOKUP('Données projet'!$B$16,Paramètres!$A$1:$I$89,3,0)*VLOOKUP('Données projet'!$B$16,Paramètres!$A$1:$I$89,5,0)</f>
        <v>1.778116233030661</v>
      </c>
      <c r="FG7" s="14">
        <f t="shared" si="47"/>
        <v>0.76633180529295619</v>
      </c>
      <c r="FH7" s="22">
        <f t="shared" si="22"/>
        <v>4.431580333413633</v>
      </c>
      <c r="FI7" s="60">
        <f t="shared" si="23"/>
        <v>265.98713588896919</v>
      </c>
      <c r="FJ7" s="60">
        <f ca="1">AVERAGE(OFFSET($FI$3,0,0,'Données projet'!$E$16+1,1))-AVERAGE(OFFSET($H$3,0,0,'Données projet'!$E$16+1,1))</f>
        <v>255.59755832175625</v>
      </c>
      <c r="FK7" s="60">
        <f t="shared" si="48"/>
        <v>154.0840647586964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0" t="e">
        <f t="shared" si="26"/>
        <v>#N/A</v>
      </c>
      <c r="GE7" s="60" t="e">
        <f ca="1">AVERAGE(OFFSET($GD$3,0,0,'Données projet'!$E$17+1,1))-AVERAGE(OFFSET($H$3,0,0,'Données projet'!$E$17+1,1))</f>
        <v>#N/A</v>
      </c>
      <c r="GF7" s="60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7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0" t="e">
        <f t="shared" si="29"/>
        <v>#N/A</v>
      </c>
      <c r="GZ7" s="60" t="e">
        <f ca="1">AVERAGE(OFFSET($GY$3,0,0,'Données projet'!$E$18+1,1))-AVERAGE(OFFSET($H$3,0,0,'Données projet'!$E$18+1,1))</f>
        <v>#N/A</v>
      </c>
      <c r="HA7" s="60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5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68">
        <f t="shared" si="1"/>
        <v>256.66666666666669</v>
      </c>
      <c r="I8" s="7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1.53</v>
      </c>
      <c r="N8" s="14">
        <f>IF('Données projet'!$A$36&gt;35,N7+M8-V7,IF(A8&lt;'Données projet'!$A$36,$K$205^A8,IF(A8='Données projet'!$A$36,'Données projet'!$B$36,N7+M8-V7)))</f>
        <v>4.7847955569774676</v>
      </c>
      <c r="O8" s="14">
        <f>N8*VLOOKUP('Données projet'!$B$9,Paramètres!$A$1:$I$89,3,0)*VLOOKUP('Données projet'!$B$9,Paramètres!$A$1:$I$89,5,0)</f>
        <v>2.4333556284564613</v>
      </c>
      <c r="P8" s="14">
        <f t="shared" si="33"/>
        <v>1.011121440085273</v>
      </c>
      <c r="Q8" s="22">
        <f t="shared" si="2"/>
        <v>5.9991308943768535</v>
      </c>
      <c r="R8" s="60">
        <f t="shared" si="0"/>
        <v>268.7769086721546</v>
      </c>
      <c r="S8" s="60">
        <f ca="1">AVERAGE(OFFSET($R$3,0,0,'Données projet'!$E$9+1,1))-AVERAGE(OFFSET($H$3,0,0,'Données projet'!$E$9+1,1))</f>
        <v>64.775385872852041</v>
      </c>
      <c r="T8" s="60">
        <f t="shared" si="34"/>
        <v>201.69061202990468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2.5813701135521372</v>
      </c>
      <c r="AK8" s="14">
        <f t="shared" si="35"/>
        <v>1.0652780295337991</v>
      </c>
      <c r="AL8" s="22">
        <f t="shared" si="4"/>
        <v>6.3512455158746723</v>
      </c>
      <c r="AM8" s="60">
        <f t="shared" si="5"/>
        <v>269.12902329365244</v>
      </c>
      <c r="AN8" s="60">
        <f ca="1">AVERAGE(OFFSET($AM$3,0,0,'Données projet'!$E$10+1,1))-AVERAGE(OFFSET($H$3,0,0,'Données projet'!$E$10+1,1))</f>
        <v>475.47920969424894</v>
      </c>
      <c r="AO8" s="60">
        <f t="shared" si="36"/>
        <v>271.73544012419364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7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7.4312217194570129</v>
      </c>
      <c r="BD8" s="13">
        <f>IF('Données projet'!$A$88&gt;35,BD7+BC8-BL7,IF(A8&lt;'Données projet'!$A$88,$BA$205^A8,IF(A8='Données projet'!$A$88,'Données projet'!$B$88,BD7+BC8-BL7)))</f>
        <v>4.1504092632222056</v>
      </c>
      <c r="BE8" s="14">
        <f>BD8*VLOOKUP('Données projet'!$B$11,Paramètres!$A$1:$I$89,3,0)*VLOOKUP('Données projet'!$B$11,Paramètres!$A$1:$I$89,5,0)</f>
        <v>2.4819447394068792</v>
      </c>
      <c r="BF8" s="14">
        <f t="shared" si="37"/>
        <v>1.0289407593154982</v>
      </c>
      <c r="BG8" s="22">
        <f t="shared" si="7"/>
        <v>6.1147922436081394</v>
      </c>
      <c r="BH8" s="60">
        <f t="shared" si="8"/>
        <v>268.89257002138589</v>
      </c>
      <c r="BI8" s="60">
        <f ca="1">AVERAGE(OFFSET($BH$3,0,0,'Données projet'!$E$11+1,1))-AVERAGE(OFFSET($H$3,0,0,'Données projet'!$E$11+1,1))</f>
        <v>260.02504691866199</v>
      </c>
      <c r="BJ8" s="60">
        <f t="shared" si="38"/>
        <v>270.11268336406368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3.4425641025641025</v>
      </c>
      <c r="BY8" s="13">
        <f>IF('Données projet'!$A$114&gt;35,BY7+BX8-CG7,IF(A8&lt;'Données projet'!$A$114,$BV$205^A8,IF(A8='Données projet'!$A$114,'Données projet'!$B$114,BY7+BX8-CG7)))</f>
        <v>2.1660437040287945</v>
      </c>
      <c r="BZ8" s="14">
        <f>BY8*VLOOKUP('Données projet'!$B$12,Paramètres!$A$1:$I$89,3,0)*VLOOKUP('Données projet'!$B$12,Paramètres!$A$1:$I$89,5,0)</f>
        <v>1.0137084534854759</v>
      </c>
      <c r="CA8" s="14">
        <f t="shared" si="39"/>
        <v>0.46641966415357117</v>
      </c>
      <c r="CB8" s="22">
        <f t="shared" si="10"/>
        <v>2.5778898048880068</v>
      </c>
      <c r="CC8" s="60">
        <f t="shared" si="11"/>
        <v>265.35566758266577</v>
      </c>
      <c r="CD8" s="60">
        <f ca="1">AVERAGE(OFFSET($CC$3,0,0,'Données projet'!$E$12+1,1))-AVERAGE(OFFSET($H$3,0,0,'Données projet'!$E$12+1,1))</f>
        <v>246.72166704460847</v>
      </c>
      <c r="CE8" s="60">
        <f t="shared" si="40"/>
        <v>145.54897745089966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2.1</v>
      </c>
      <c r="CT8" s="13">
        <f>IF('Données projet'!$A$140&gt;35,CT7+CS8-DB7,IF(A8&lt;'Données projet'!$A$140,$CQ$205^A8,IF(A8='Données projet'!$A$140,'Données projet'!$B$140,CT7+CS8-DB7)))</f>
        <v>2.5457298950218314</v>
      </c>
      <c r="CU8" s="18">
        <f>CT8*VLOOKUP('Données projet'!$B$13,Paramètres!$A$1:$I$89,3,0)*VLOOKUP('Données projet'!$B$13,Paramètres!$A$1:$I$89,5,0)</f>
        <v>2.3033764090157529</v>
      </c>
      <c r="CV8" s="14">
        <f t="shared" si="41"/>
        <v>0.96324708482559218</v>
      </c>
      <c r="CW8" s="22">
        <f t="shared" si="13"/>
        <v>5.6893692517736758</v>
      </c>
      <c r="CX8" s="60">
        <f t="shared" si="14"/>
        <v>268.46714702955143</v>
      </c>
      <c r="CY8" s="60">
        <f ca="1">AVERAGE(OFFSET($CX$3,0,0,'Données projet'!$E$13+1,1))-AVERAGE(OFFSET($H$3,0,0,'Données projet'!$E$13+1,1))</f>
        <v>428.8489304403459</v>
      </c>
      <c r="CZ8" s="60">
        <f t="shared" si="42"/>
        <v>247.01165577562966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2.0085470085470085</v>
      </c>
      <c r="DO8" s="13">
        <f>IF('Données projet'!$A$166&gt;35,DO7+DN8-DW7,IF(A8&lt;'Données projet'!$A$166,$DL$205^A8,IF(A8='Données projet'!$A$166,'Données projet'!$B$166,DO7+DN8-DW7)))</f>
        <v>3.1116524728023753</v>
      </c>
      <c r="DP8" s="18">
        <f>DO8*VLOOKUP('Données projet'!$B$14,Paramètres!$A$1:$I$89,3,0)*VLOOKUP('Données projet'!$B$14,Paramètres!$A$1:$I$89,5,0)</f>
        <v>3.2522991645730426</v>
      </c>
      <c r="DQ8" s="14">
        <f t="shared" si="43"/>
        <v>1.3065426155602187</v>
      </c>
      <c r="DR8" s="22">
        <f t="shared" si="16"/>
        <v>7.9399827670654304</v>
      </c>
      <c r="DS8" s="60">
        <f t="shared" si="17"/>
        <v>270.7177605448432</v>
      </c>
      <c r="DT8" s="60">
        <f ca="1">AVERAGE(OFFSET($DS$3,0,0,'Données projet'!$E$14+1,1))-AVERAGE(OFFSET($H$3,0,0,'Données projet'!$E$14+1,1))</f>
        <v>493.70175665335978</v>
      </c>
      <c r="DU8" s="60">
        <f t="shared" si="44"/>
        <v>325.12357781685949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2.1333333333333333</v>
      </c>
      <c r="EJ8" s="13">
        <f>IF('Données projet'!$A$192&gt;35,EJ7+EI8-ER7,IF(A8&lt;'Données projet'!$A$192,$EG$205^A8,IF(A8='Données projet'!$A$192,'Données projet'!$B$192,EJ7+EI8-ER7)))</f>
        <v>3.1748021039363996</v>
      </c>
      <c r="EK8" s="18">
        <f>EJ8*VLOOKUP('Données projet'!$B$15,Paramètres!$A$1:$I$89,3,0)*VLOOKUP('Données projet'!$B$15,Paramètres!$A$1:$I$89,5,0)</f>
        <v>2.5753994667132076</v>
      </c>
      <c r="EL8" s="14">
        <f t="shared" si="45"/>
        <v>1.0631005790263708</v>
      </c>
      <c r="EM8" s="22">
        <f t="shared" si="19"/>
        <v>6.3370542463297648</v>
      </c>
      <c r="EN8" s="60">
        <f t="shared" si="20"/>
        <v>269.11483202410756</v>
      </c>
      <c r="EO8" s="60">
        <f ca="1">AVERAGE(OFFSET($EN$3,0,0,'Données projet'!$E$15+1,1))-AVERAGE(OFFSET($H$3,0,0,'Données projet'!$E$15+1,1))</f>
        <v>236.22643401787644</v>
      </c>
      <c r="EP8" s="60">
        <f t="shared" si="46"/>
        <v>188.80444043778022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1.05</v>
      </c>
      <c r="FE8" s="13">
        <f>IF('Données projet'!$A$218&gt;35,FE7+FD8-FM7,IF(A8&lt;'Données projet'!$A$218,$FB$205^A8,IF(A8='Données projet'!$A$218,'Données projet'!$B$218,FE7+FD8-FM7)))</f>
        <v>2.1406951429280729</v>
      </c>
      <c r="FF8" s="18">
        <f>FE8*VLOOKUP('Données projet'!$B$16,Paramètres!$A$1:$I$89,3,0)*VLOOKUP('Données projet'!$B$16,Paramètres!$A$1:$I$89,5,0)</f>
        <v>2.0704803422400322</v>
      </c>
      <c r="FG8" s="14">
        <f t="shared" si="47"/>
        <v>0.87666264008009354</v>
      </c>
      <c r="FH8" s="22">
        <f t="shared" si="22"/>
        <v>5.1329406942075515</v>
      </c>
      <c r="FI8" s="60">
        <f t="shared" si="23"/>
        <v>267.91071847198532</v>
      </c>
      <c r="FJ8" s="60">
        <f ca="1">AVERAGE(OFFSET($FI$3,0,0,'Données projet'!$E$16+1,1))-AVERAGE(OFFSET($H$3,0,0,'Données projet'!$E$16+1,1))</f>
        <v>255.59755832175625</v>
      </c>
      <c r="FK8" s="60">
        <f t="shared" si="48"/>
        <v>154.0840647586964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0" t="e">
        <f t="shared" si="26"/>
        <v>#N/A</v>
      </c>
      <c r="GE8" s="60" t="e">
        <f ca="1">AVERAGE(OFFSET($GD$3,0,0,'Données projet'!$E$17+1,1))-AVERAGE(OFFSET($H$3,0,0,'Données projet'!$E$17+1,1))</f>
        <v>#N/A</v>
      </c>
      <c r="GF8" s="60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7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0" t="e">
        <f t="shared" si="29"/>
        <v>#N/A</v>
      </c>
      <c r="GZ8" s="60" t="e">
        <f ca="1">AVERAGE(OFFSET($GY$3,0,0,'Données projet'!$E$18+1,1))-AVERAGE(OFFSET($H$3,0,0,'Données projet'!$E$18+1,1))</f>
        <v>#N/A</v>
      </c>
      <c r="HA8" s="60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5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68">
        <f t="shared" si="1"/>
        <v>256.66666666666669</v>
      </c>
      <c r="I9" s="7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1.53</v>
      </c>
      <c r="N9" s="14">
        <f>IF('Données projet'!$A$36&gt;35,N8+M9-V8,IF(A9&lt;'Données projet'!$A$36,$K$205^A9,IF(A9='Données projet'!$A$36,'Données projet'!$B$36,N8+M9-V8)))</f>
        <v>6.5438910990131776</v>
      </c>
      <c r="O9" s="14">
        <f>N9*VLOOKUP('Données projet'!$B$9,Paramètres!$A$1:$I$89,3,0)*VLOOKUP('Données projet'!$B$9,Paramètres!$A$1:$I$89,5,0)</f>
        <v>3.3279612573141417</v>
      </c>
      <c r="P9" s="14">
        <f t="shared" si="33"/>
        <v>1.3333641587636893</v>
      </c>
      <c r="Q9" s="22">
        <f t="shared" si="2"/>
        <v>8.1184750996688884</v>
      </c>
      <c r="R9" s="60">
        <f t="shared" si="0"/>
        <v>272.1184750996689</v>
      </c>
      <c r="S9" s="60">
        <f ca="1">AVERAGE(OFFSET($R$3,0,0,'Données projet'!$E$9+1,1))-AVERAGE(OFFSET($H$3,0,0,'Données projet'!$E$9+1,1))</f>
        <v>64.775385872852041</v>
      </c>
      <c r="T9" s="60">
        <f t="shared" si="34"/>
        <v>201.69061202990468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3.111807635605039</v>
      </c>
      <c r="AK9" s="14">
        <f t="shared" si="35"/>
        <v>1.2565452240335246</v>
      </c>
      <c r="AL9" s="22">
        <f t="shared" si="4"/>
        <v>7.6082145638704972</v>
      </c>
      <c r="AM9" s="60">
        <f t="shared" si="5"/>
        <v>271.60821456387049</v>
      </c>
      <c r="AN9" s="60">
        <f ca="1">AVERAGE(OFFSET($AM$3,0,0,'Données projet'!$E$10+1,1))-AVERAGE(OFFSET($H$3,0,0,'Données projet'!$E$10+1,1))</f>
        <v>475.47920969424894</v>
      </c>
      <c r="AO9" s="60">
        <f t="shared" si="36"/>
        <v>271.73544012419364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7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7.4312217194570129</v>
      </c>
      <c r="BD9" s="13">
        <f>IF('Données projet'!$A$88&gt;35,BD8+BC9-BL8,IF(A9&lt;'Données projet'!$A$88,$BA$205^A9,IF(A9='Données projet'!$A$88,'Données projet'!$B$88,BD8+BC9-BL8)))</f>
        <v>5.5170778020474653</v>
      </c>
      <c r="BE9" s="14">
        <f>BD9*VLOOKUP('Données projet'!$B$11,Paramètres!$A$1:$I$89,3,0)*VLOOKUP('Données projet'!$B$11,Paramètres!$A$1:$I$89,5,0)</f>
        <v>3.2992125256243843</v>
      </c>
      <c r="BF9" s="14">
        <f t="shared" si="37"/>
        <v>1.3231814362474952</v>
      </c>
      <c r="BG9" s="22">
        <f t="shared" si="7"/>
        <v>8.0506694835935235</v>
      </c>
      <c r="BH9" s="60">
        <f t="shared" si="8"/>
        <v>272.05066948359354</v>
      </c>
      <c r="BI9" s="60">
        <f ca="1">AVERAGE(OFFSET($BH$3,0,0,'Données projet'!$E$11+1,1))-AVERAGE(OFFSET($H$3,0,0,'Données projet'!$E$11+1,1))</f>
        <v>260.02504691866199</v>
      </c>
      <c r="BJ9" s="60">
        <f t="shared" si="38"/>
        <v>270.11268336406368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3.4425641025641025</v>
      </c>
      <c r="BY9" s="13">
        <f>IF('Données projet'!$A$114&gt;35,BY8+BX9-CG8,IF(A9&lt;'Données projet'!$A$114,$BV$205^A9,IF(A9='Données projet'!$A$114,'Données projet'!$B$114,BY8+BX9-CG8)))</f>
        <v>2.5281373108456551</v>
      </c>
      <c r="BZ9" s="14">
        <f>BY9*VLOOKUP('Données projet'!$B$12,Paramètres!$A$1:$I$89,3,0)*VLOOKUP('Données projet'!$B$12,Paramètres!$A$1:$I$89,5,0)</f>
        <v>1.1831682614757666</v>
      </c>
      <c r="CA9" s="14">
        <f t="shared" si="39"/>
        <v>0.53468249033221249</v>
      </c>
      <c r="CB9" s="22">
        <f t="shared" si="10"/>
        <v>2.9919233927322302</v>
      </c>
      <c r="CC9" s="60">
        <f t="shared" si="11"/>
        <v>266.99192339273225</v>
      </c>
      <c r="CD9" s="60">
        <f ca="1">AVERAGE(OFFSET($CC$3,0,0,'Données projet'!$E$12+1,1))-AVERAGE(OFFSET($H$3,0,0,'Données projet'!$E$12+1,1))</f>
        <v>246.72166704460847</v>
      </c>
      <c r="CE9" s="60">
        <f t="shared" si="40"/>
        <v>145.54897745089966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2.1</v>
      </c>
      <c r="CT9" s="13">
        <f>IF('Données projet'!$A$140&gt;35,CT8+CS9-DB8,IF(A9&lt;'Données projet'!$A$140,$CQ$205^A9,IF(A9='Données projet'!$A$140,'Données projet'!$B$140,CT8+CS9-DB8)))</f>
        <v>3.0688438220956993</v>
      </c>
      <c r="CU9" s="18">
        <f>CT9*VLOOKUP('Données projet'!$B$13,Paramètres!$A$1:$I$89,3,0)*VLOOKUP('Données projet'!$B$13,Paramètres!$A$1:$I$89,5,0)</f>
        <v>2.7766898902321886</v>
      </c>
      <c r="CV9" s="14">
        <f t="shared" si="41"/>
        <v>1.1361949561012803</v>
      </c>
      <c r="CW9" s="22">
        <f t="shared" si="13"/>
        <v>6.8149411073641248</v>
      </c>
      <c r="CX9" s="60">
        <f t="shared" si="14"/>
        <v>270.81494110736412</v>
      </c>
      <c r="CY9" s="60">
        <f ca="1">AVERAGE(OFFSET($CX$3,0,0,'Données projet'!$E$13+1,1))-AVERAGE(OFFSET($H$3,0,0,'Données projet'!$E$13+1,1))</f>
        <v>428.8489304403459</v>
      </c>
      <c r="CZ9" s="60">
        <f t="shared" si="42"/>
        <v>247.01165577562966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2.0085470085470085</v>
      </c>
      <c r="DO9" s="13">
        <f>IF('Données projet'!$A$166&gt;35,DO8+DN9-DW8,IF(A9&lt;'Données projet'!$A$166,$DL$205^A9,IF(A9='Données projet'!$A$166,'Données projet'!$B$166,DO8+DN9-DW8)))</f>
        <v>3.9047146677317404</v>
      </c>
      <c r="DP9" s="18">
        <f>DO9*VLOOKUP('Données projet'!$B$14,Paramètres!$A$1:$I$89,3,0)*VLOOKUP('Données projet'!$B$14,Paramètres!$A$1:$I$89,5,0)</f>
        <v>4.0812077707132151</v>
      </c>
      <c r="DQ9" s="14">
        <f t="shared" si="43"/>
        <v>1.5967795593792025</v>
      </c>
      <c r="DR9" s="22">
        <f t="shared" si="16"/>
        <v>9.8891612665776254</v>
      </c>
      <c r="DS9" s="60">
        <f t="shared" si="17"/>
        <v>273.88916126657762</v>
      </c>
      <c r="DT9" s="60">
        <f ca="1">AVERAGE(OFFSET($DS$3,0,0,'Données projet'!$E$14+1,1))-AVERAGE(OFFSET($H$3,0,0,'Données projet'!$E$14+1,1))</f>
        <v>493.70175665335978</v>
      </c>
      <c r="DU9" s="60">
        <f t="shared" si="44"/>
        <v>325.12357781685949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2.1333333333333333</v>
      </c>
      <c r="EJ9" s="13">
        <f>IF('Données projet'!$A$192&gt;35,EJ8+EI9-ER8,IF(A9&lt;'Données projet'!$A$192,$EG$205^A9,IF(A9='Données projet'!$A$192,'Données projet'!$B$192,EJ8+EI9-ER8)))</f>
        <v>4.0000000000000009</v>
      </c>
      <c r="EK9" s="18">
        <f>EJ9*VLOOKUP('Données projet'!$B$15,Paramètres!$A$1:$I$89,3,0)*VLOOKUP('Données projet'!$B$15,Paramètres!$A$1:$I$89,5,0)</f>
        <v>3.244800000000001</v>
      </c>
      <c r="EL9" s="14">
        <f t="shared" si="45"/>
        <v>1.3038802970520027</v>
      </c>
      <c r="EM9" s="22">
        <f t="shared" si="19"/>
        <v>7.9222848506989054</v>
      </c>
      <c r="EN9" s="60">
        <f t="shared" si="20"/>
        <v>271.92228485069893</v>
      </c>
      <c r="EO9" s="60">
        <f ca="1">AVERAGE(OFFSET($EN$3,0,0,'Données projet'!$E$15+1,1))-AVERAGE(OFFSET($H$3,0,0,'Données projet'!$E$15+1,1))</f>
        <v>236.22643401787644</v>
      </c>
      <c r="EP9" s="60">
        <f t="shared" si="46"/>
        <v>188.80444043778022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1.05</v>
      </c>
      <c r="FE9" s="13">
        <f>IF('Données projet'!$A$218&gt;35,FE8+FD9-FM8,IF(A9&lt;'Données projet'!$A$218,$FB$205^A9,IF(A9='Données projet'!$A$218,'Données projet'!$B$218,FE8+FD9-FM8)))</f>
        <v>2.4926757485402602</v>
      </c>
      <c r="FF9" s="18">
        <f>FE9*VLOOKUP('Données projet'!$B$16,Paramètres!$A$1:$I$89,3,0)*VLOOKUP('Données projet'!$B$16,Paramètres!$A$1:$I$89,5,0)</f>
        <v>2.41091598398814</v>
      </c>
      <c r="FG9" s="14">
        <f t="shared" si="47"/>
        <v>1.0028780995438396</v>
      </c>
      <c r="FH9" s="22">
        <f t="shared" si="22"/>
        <v>5.945691362151531</v>
      </c>
      <c r="FI9" s="60">
        <f t="shared" si="23"/>
        <v>269.94569136215154</v>
      </c>
      <c r="FJ9" s="60">
        <f ca="1">AVERAGE(OFFSET($FI$3,0,0,'Données projet'!$E$16+1,1))-AVERAGE(OFFSET($H$3,0,0,'Données projet'!$E$16+1,1))</f>
        <v>255.59755832175625</v>
      </c>
      <c r="FK9" s="60">
        <f t="shared" si="48"/>
        <v>154.0840647586964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0" t="e">
        <f t="shared" si="26"/>
        <v>#N/A</v>
      </c>
      <c r="GE9" s="60" t="e">
        <f ca="1">AVERAGE(OFFSET($GD$3,0,0,'Données projet'!$E$17+1,1))-AVERAGE(OFFSET($H$3,0,0,'Données projet'!$E$17+1,1))</f>
        <v>#N/A</v>
      </c>
      <c r="GF9" s="60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7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0" t="e">
        <f t="shared" si="29"/>
        <v>#N/A</v>
      </c>
      <c r="GZ9" s="60" t="e">
        <f ca="1">AVERAGE(OFFSET($GY$3,0,0,'Données projet'!$E$18+1,1))-AVERAGE(OFFSET($H$3,0,0,'Données projet'!$E$18+1,1))</f>
        <v>#N/A</v>
      </c>
      <c r="HA9" s="60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5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68">
        <f t="shared" si="1"/>
        <v>256.66666666666669</v>
      </c>
      <c r="I10" s="7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1.53</v>
      </c>
      <c r="N10" s="14">
        <f>IF('Données projet'!$A$36&gt;35,N9+M10-V9,IF(A10&lt;'Données projet'!$A$36,$K$205^A10,IF(A10='Données projet'!$A$36,'Données projet'!$B$36,N9+M10-V9)))</f>
        <v>8.9497054170470491</v>
      </c>
      <c r="O10" s="14">
        <f>N10*VLOOKUP('Données projet'!$B$9,Paramètres!$A$1:$I$89,3,0)*VLOOKUP('Données projet'!$B$9,Paramètres!$A$1:$I$89,5,0)</f>
        <v>4.5514621868934482</v>
      </c>
      <c r="P10" s="14">
        <f t="shared" si="33"/>
        <v>1.7583050951087196</v>
      </c>
      <c r="Q10" s="22">
        <f t="shared" si="2"/>
        <v>10.98951134948711</v>
      </c>
      <c r="R10" s="60">
        <f t="shared" si="0"/>
        <v>276.21173357170932</v>
      </c>
      <c r="S10" s="60">
        <f ca="1">AVERAGE(OFFSET($R$3,0,0,'Données projet'!$E$9+1,1))-AVERAGE(OFFSET($H$3,0,0,'Données projet'!$E$9+1,1))</f>
        <v>64.775385872852041</v>
      </c>
      <c r="T10" s="60">
        <f t="shared" si="34"/>
        <v>201.69061202990468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3.7512430744326299</v>
      </c>
      <c r="AK10" s="14">
        <f t="shared" si="35"/>
        <v>1.4821538192545303</v>
      </c>
      <c r="AL10" s="22">
        <f t="shared" si="4"/>
        <v>9.1148329231718037</v>
      </c>
      <c r="AM10" s="60">
        <f t="shared" si="5"/>
        <v>274.33705514539406</v>
      </c>
      <c r="AN10" s="60">
        <f ca="1">AVERAGE(OFFSET($AM$3,0,0,'Données projet'!$E$10+1,1))-AVERAGE(OFFSET($H$3,0,0,'Données projet'!$E$10+1,1))</f>
        <v>475.47920969424894</v>
      </c>
      <c r="AO10" s="60">
        <f t="shared" si="36"/>
        <v>271.73544012419364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7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7.4312217194570129</v>
      </c>
      <c r="BD10" s="13">
        <f>IF('Données projet'!$A$88&gt;35,BD9+BC10-BL9,IF(A10&lt;'Données projet'!$A$88,$BA$205^A10,IF(A10='Données projet'!$A$88,'Données projet'!$B$88,BD9+BC10-BL9)))</f>
        <v>7.3337701280605696</v>
      </c>
      <c r="BE10" s="14">
        <f>BD10*VLOOKUP('Données projet'!$B$11,Paramètres!$A$1:$I$89,3,0)*VLOOKUP('Données projet'!$B$11,Paramètres!$A$1:$I$89,5,0)</f>
        <v>4.3855945365802205</v>
      </c>
      <c r="BF10" s="14">
        <f t="shared" si="37"/>
        <v>1.7015645433219191</v>
      </c>
      <c r="BG10" s="22">
        <f t="shared" si="7"/>
        <v>10.601802064162893</v>
      </c>
      <c r="BH10" s="60">
        <f t="shared" si="8"/>
        <v>275.82402428638511</v>
      </c>
      <c r="BI10" s="60">
        <f ca="1">AVERAGE(OFFSET($BH$3,0,0,'Données projet'!$E$11+1,1))-AVERAGE(OFFSET($H$3,0,0,'Données projet'!$E$11+1,1))</f>
        <v>260.02504691866199</v>
      </c>
      <c r="BJ10" s="60">
        <f t="shared" si="38"/>
        <v>270.11268336406368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3.4425641025641025</v>
      </c>
      <c r="BY10" s="13">
        <f>IF('Données projet'!$A$114&gt;35,BY9+BX10-CG9,IF(A10&lt;'Données projet'!$A$114,$BV$205^A10,IF(A10='Données projet'!$A$114,'Données projet'!$B$114,BY9+BX10-CG9)))</f>
        <v>2.9507614507509188</v>
      </c>
      <c r="BZ10" s="14">
        <f>BY10*VLOOKUP('Données projet'!$B$12,Paramètres!$A$1:$I$89,3,0)*VLOOKUP('Données projet'!$B$12,Paramètres!$A$1:$I$89,5,0)</f>
        <v>1.38095635895143</v>
      </c>
      <c r="CA10" s="14">
        <f t="shared" si="39"/>
        <v>0.61293591895758326</v>
      </c>
      <c r="CB10" s="22">
        <f t="shared" si="10"/>
        <v>3.472695717358198</v>
      </c>
      <c r="CC10" s="60">
        <f t="shared" si="11"/>
        <v>268.69491793958042</v>
      </c>
      <c r="CD10" s="60">
        <f ca="1">AVERAGE(OFFSET($CC$3,0,0,'Données projet'!$E$12+1,1))-AVERAGE(OFFSET($H$3,0,0,'Données projet'!$E$12+1,1))</f>
        <v>246.72166704460847</v>
      </c>
      <c r="CE10" s="60">
        <f t="shared" si="40"/>
        <v>145.54897745089966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2.1</v>
      </c>
      <c r="CT10" s="13">
        <f>IF('Données projet'!$A$140&gt;35,CT9+CS10-DB9,IF(A10&lt;'Données projet'!$A$140,$CQ$205^A10,IF(A10='Données projet'!$A$140,'Données projet'!$B$140,CT9+CS10-DB9)))</f>
        <v>3.6994507637402658</v>
      </c>
      <c r="CU10" s="18">
        <f>CT10*VLOOKUP('Données projet'!$B$13,Paramètres!$A$1:$I$89,3,0)*VLOOKUP('Données projet'!$B$13,Paramètres!$A$1:$I$89,5,0)</f>
        <v>3.3472630510321921</v>
      </c>
      <c r="CV10" s="14">
        <f t="shared" si="41"/>
        <v>1.34019505338418</v>
      </c>
      <c r="CW10" s="22">
        <f t="shared" si="13"/>
        <v>8.1639895318585136</v>
      </c>
      <c r="CX10" s="60">
        <f t="shared" si="14"/>
        <v>273.38621175408076</v>
      </c>
      <c r="CY10" s="60">
        <f ca="1">AVERAGE(OFFSET($CX$3,0,0,'Données projet'!$E$13+1,1))-AVERAGE(OFFSET($H$3,0,0,'Données projet'!$E$13+1,1))</f>
        <v>428.8489304403459</v>
      </c>
      <c r="CZ10" s="60">
        <f t="shared" si="42"/>
        <v>247.01165577562966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2.0085470085470085</v>
      </c>
      <c r="DO10" s="13">
        <f>IF('Données projet'!$A$166&gt;35,DO9+DN10-DW9,IF(A10&lt;'Données projet'!$A$166,$DL$205^A10,IF(A10='Données projet'!$A$166,'Données projet'!$B$166,DO9+DN10-DW9)))</f>
        <v>4.899903433839456</v>
      </c>
      <c r="DP10" s="18">
        <f>DO10*VLOOKUP('Données projet'!$B$14,Paramètres!$A$1:$I$89,3,0)*VLOOKUP('Données projet'!$B$14,Paramètres!$A$1:$I$89,5,0)</f>
        <v>5.1213790690489995</v>
      </c>
      <c r="DQ10" s="14">
        <f t="shared" si="43"/>
        <v>1.9514900860374758</v>
      </c>
      <c r="DR10" s="22">
        <f t="shared" si="16"/>
        <v>12.318580445108942</v>
      </c>
      <c r="DS10" s="60">
        <f t="shared" si="17"/>
        <v>277.54080266733115</v>
      </c>
      <c r="DT10" s="60">
        <f ca="1">AVERAGE(OFFSET($DS$3,0,0,'Données projet'!$E$14+1,1))-AVERAGE(OFFSET($H$3,0,0,'Données projet'!$E$14+1,1))</f>
        <v>493.70175665335978</v>
      </c>
      <c r="DU10" s="60">
        <f t="shared" si="44"/>
        <v>325.12357781685949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2.1333333333333333</v>
      </c>
      <c r="EJ10" s="13">
        <f>IF('Données projet'!$A$192&gt;35,EJ9+EI10-ER9,IF(A10&lt;'Données projet'!$A$192,$EG$205^A10,IF(A10='Données projet'!$A$192,'Données projet'!$B$192,EJ9+EI10-ER9)))</f>
        <v>5.0396841995794937</v>
      </c>
      <c r="EK10" s="18">
        <f>EJ10*VLOOKUP('Données projet'!$B$15,Paramètres!$A$1:$I$89,3,0)*VLOOKUP('Données projet'!$B$15,Paramètres!$A$1:$I$89,5,0)</f>
        <v>4.0881918226988851</v>
      </c>
      <c r="EL10" s="14">
        <f t="shared" si="45"/>
        <v>1.5991937758113535</v>
      </c>
      <c r="EM10" s="22">
        <f t="shared" si="19"/>
        <v>9.9055299174053317</v>
      </c>
      <c r="EN10" s="60">
        <f t="shared" si="20"/>
        <v>275.12775213962755</v>
      </c>
      <c r="EO10" s="60">
        <f ca="1">AVERAGE(OFFSET($EN$3,0,0,'Données projet'!$E$15+1,1))-AVERAGE(OFFSET($H$3,0,0,'Données projet'!$E$15+1,1))</f>
        <v>236.22643401787644</v>
      </c>
      <c r="EP10" s="60">
        <f t="shared" si="46"/>
        <v>188.80444043778022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1.05</v>
      </c>
      <c r="FE10" s="13">
        <f>IF('Données projet'!$A$218&gt;35,FE9+FD10-FM9,IF(A10&lt;'Données projet'!$A$218,$FB$205^A10,IF(A10='Données projet'!$A$218,'Données projet'!$B$218,FE9+FD10-FM9)))</f>
        <v>2.9025302401826014</v>
      </c>
      <c r="FF10" s="18">
        <f>FE10*VLOOKUP('Données projet'!$B$16,Paramètres!$A$1:$I$89,3,0)*VLOOKUP('Données projet'!$B$16,Paramètres!$A$1:$I$89,5,0)</f>
        <v>2.8073272483046123</v>
      </c>
      <c r="FG10" s="14">
        <f t="shared" si="47"/>
        <v>1.1472651354833312</v>
      </c>
      <c r="FH10" s="22">
        <f t="shared" si="22"/>
        <v>6.887581735097335</v>
      </c>
      <c r="FI10" s="60">
        <f t="shared" si="23"/>
        <v>272.10980395731957</v>
      </c>
      <c r="FJ10" s="60">
        <f ca="1">AVERAGE(OFFSET($FI$3,0,0,'Données projet'!$E$16+1,1))-AVERAGE(OFFSET($H$3,0,0,'Données projet'!$E$16+1,1))</f>
        <v>255.59755832175625</v>
      </c>
      <c r="FK10" s="60">
        <f t="shared" si="48"/>
        <v>154.0840647586964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0" t="e">
        <f t="shared" si="26"/>
        <v>#N/A</v>
      </c>
      <c r="GE10" s="60" t="e">
        <f ca="1">AVERAGE(OFFSET($GD$3,0,0,'Données projet'!$E$17+1,1))-AVERAGE(OFFSET($H$3,0,0,'Données projet'!$E$17+1,1))</f>
        <v>#N/A</v>
      </c>
      <c r="GF10" s="60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7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0" t="e">
        <f t="shared" si="29"/>
        <v>#N/A</v>
      </c>
      <c r="GZ10" s="60" t="e">
        <f ca="1">AVERAGE(OFFSET($GY$3,0,0,'Données projet'!$E$18+1,1))-AVERAGE(OFFSET($H$3,0,0,'Données projet'!$E$18+1,1))</f>
        <v>#N/A</v>
      </c>
      <c r="HA10" s="60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5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68">
        <f t="shared" si="1"/>
        <v>256.66666666666669</v>
      </c>
      <c r="I11" s="7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>
        <f>VLOOKUP(A11,'Données projet'!$A$35:$I$55,2,0)</f>
        <v>12.24</v>
      </c>
      <c r="L11" s="13">
        <f>VLOOKUP(A11,'Données projet'!$A$35:$I$55,9,0)</f>
        <v>1.53</v>
      </c>
      <c r="M11" s="13">
        <f t="array" ref="M11">INDEX(L:L,MIN(IF(ISNUMBER(L11:L207),ROW(L11:L207),"")))</f>
        <v>1.53</v>
      </c>
      <c r="N11" s="14">
        <f>IF('Données projet'!$A$36&gt;35,N10+M11-V10,IF(A11&lt;'Données projet'!$A$36,$K$205^A11,IF(A11='Données projet'!$A$36,'Données projet'!$B$36,N10+M11-V10)))</f>
        <v>12.24</v>
      </c>
      <c r="O11" s="14">
        <f>N11*VLOOKUP('Données projet'!$B$9,Paramètres!$A$1:$I$89,3,0)*VLOOKUP('Données projet'!$B$9,Paramètres!$A$1:$I$89,5,0)</f>
        <v>6.2247744000000003</v>
      </c>
      <c r="P11" s="14">
        <f t="shared" si="33"/>
        <v>2.3186740000210322</v>
      </c>
      <c r="Q11" s="22">
        <f t="shared" si="2"/>
        <v>14.879839296703301</v>
      </c>
      <c r="R11" s="60">
        <f t="shared" si="0"/>
        <v>281.32428374114778</v>
      </c>
      <c r="S11" s="60">
        <f ca="1">AVERAGE(OFFSET($R$3,0,0,'Données projet'!$E$9+1,1))-AVERAGE(OFFSET($H$3,0,0,'Données projet'!$E$9+1,1))</f>
        <v>64.775385872852041</v>
      </c>
      <c r="T11" s="60">
        <f t="shared" si="34"/>
        <v>201.69061202990468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4.5220740647558486</v>
      </c>
      <c r="AK11" s="14">
        <f t="shared" si="35"/>
        <v>1.7482697016499746</v>
      </c>
      <c r="AL11" s="22">
        <f t="shared" si="4"/>
        <v>10.92084872649014</v>
      </c>
      <c r="AM11" s="60">
        <f t="shared" si="5"/>
        <v>277.36529317093459</v>
      </c>
      <c r="AN11" s="60">
        <f ca="1">AVERAGE(OFFSET($AM$3,0,0,'Données projet'!$E$10+1,1))-AVERAGE(OFFSET($H$3,0,0,'Données projet'!$E$10+1,1))</f>
        <v>475.47920969424894</v>
      </c>
      <c r="AO11" s="60">
        <f t="shared" si="36"/>
        <v>271.73544012419364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7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7.4312217194570129</v>
      </c>
      <c r="BD11" s="13">
        <f>IF('Données projet'!$A$88&gt;35,BD10+BC11-BL10,IF(A11&lt;'Données projet'!$A$88,$BA$205^A11,IF(A11='Données projet'!$A$88,'Données projet'!$B$88,BD10+BC11-BL10)))</f>
        <v>9.748672435120179</v>
      </c>
      <c r="BE11" s="14">
        <f>BD11*VLOOKUP('Données projet'!$B$11,Paramètres!$A$1:$I$89,3,0)*VLOOKUP('Données projet'!$B$11,Paramètres!$A$1:$I$89,5,0)</f>
        <v>5.8297061162018684</v>
      </c>
      <c r="BF11" s="14">
        <f t="shared" si="37"/>
        <v>2.1881518405377438</v>
      </c>
      <c r="BG11" s="22">
        <f t="shared" si="7"/>
        <v>13.96443594132149</v>
      </c>
      <c r="BH11" s="60">
        <f t="shared" si="8"/>
        <v>280.40888038576594</v>
      </c>
      <c r="BI11" s="60">
        <f ca="1">AVERAGE(OFFSET($BH$3,0,0,'Données projet'!$E$11+1,1))-AVERAGE(OFFSET($H$3,0,0,'Données projet'!$E$11+1,1))</f>
        <v>260.02504691866199</v>
      </c>
      <c r="BJ11" s="60">
        <f t="shared" si="38"/>
        <v>270.11268336406368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3.4425641025641025</v>
      </c>
      <c r="BY11" s="13">
        <f>IF('Données projet'!$A$114&gt;35,BY10+BX11-CG10,IF(A11&lt;'Données projet'!$A$114,$BV$205^A11,IF(A11='Données projet'!$A$114,'Données projet'!$B$114,BY10+BX11-CG10)))</f>
        <v>3.4440349034385327</v>
      </c>
      <c r="BZ11" s="14">
        <f>BY11*VLOOKUP('Données projet'!$B$12,Paramètres!$A$1:$I$89,3,0)*VLOOKUP('Données projet'!$B$12,Paramètres!$A$1:$I$89,5,0)</f>
        <v>1.6118083348092334</v>
      </c>
      <c r="CA11" s="14">
        <f t="shared" si="39"/>
        <v>0.70264212414165761</v>
      </c>
      <c r="CB11" s="22">
        <f t="shared" si="10"/>
        <v>4.0310012160061346</v>
      </c>
      <c r="CC11" s="60">
        <f t="shared" si="11"/>
        <v>270.47544566045059</v>
      </c>
      <c r="CD11" s="60">
        <f ca="1">AVERAGE(OFFSET($CC$3,0,0,'Données projet'!$E$12+1,1))-AVERAGE(OFFSET($H$3,0,0,'Données projet'!$E$12+1,1))</f>
        <v>246.72166704460847</v>
      </c>
      <c r="CE11" s="60">
        <f t="shared" si="40"/>
        <v>145.54897745089966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2.1</v>
      </c>
      <c r="CT11" s="13">
        <f>IF('Données projet'!$A$140&gt;35,CT10+CS11-DB10,IF(A11&lt;'Données projet'!$A$140,$CQ$205^A11,IF(A11='Données projet'!$A$140,'Données projet'!$B$140,CT10+CS11-DB10)))</f>
        <v>4.4596391171162209</v>
      </c>
      <c r="CU11" s="18">
        <f>CT11*VLOOKUP('Données projet'!$B$13,Paramètres!$A$1:$I$89,3,0)*VLOOKUP('Données projet'!$B$13,Paramètres!$A$1:$I$89,5,0)</f>
        <v>4.0350814731667564</v>
      </c>
      <c r="CV11" s="14">
        <f t="shared" si="41"/>
        <v>1.5808227025391921</v>
      </c>
      <c r="CW11" s="22">
        <f t="shared" si="13"/>
        <v>9.7810331060211926</v>
      </c>
      <c r="CX11" s="60">
        <f t="shared" si="14"/>
        <v>276.22547755046565</v>
      </c>
      <c r="CY11" s="60">
        <f ca="1">AVERAGE(OFFSET($CX$3,0,0,'Données projet'!$E$13+1,1))-AVERAGE(OFFSET($H$3,0,0,'Données projet'!$E$13+1,1))</f>
        <v>428.8489304403459</v>
      </c>
      <c r="CZ11" s="60">
        <f t="shared" si="42"/>
        <v>247.01165577562966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2.0085470085470085</v>
      </c>
      <c r="DO11" s="13">
        <f>IF('Données projet'!$A$166&gt;35,DO10+DN11-DW10,IF(A11&lt;'Données projet'!$A$166,$DL$205^A11,IF(A11='Données projet'!$A$166,'Données projet'!$B$166,DO10+DN11-DW10)))</f>
        <v>6.1487344669152542</v>
      </c>
      <c r="DP11" s="18">
        <f>DO11*VLOOKUP('Données projet'!$B$14,Paramètres!$A$1:$I$89,3,0)*VLOOKUP('Données projet'!$B$14,Paramètres!$A$1:$I$89,5,0)</f>
        <v>6.4266572648198244</v>
      </c>
      <c r="DQ11" s="14">
        <f t="shared" si="43"/>
        <v>2.3849964345630501</v>
      </c>
      <c r="DR11" s="22">
        <f t="shared" si="16"/>
        <v>15.346963526425172</v>
      </c>
      <c r="DS11" s="60">
        <f t="shared" si="17"/>
        <v>281.79140797086961</v>
      </c>
      <c r="DT11" s="60">
        <f ca="1">AVERAGE(OFFSET($DS$3,0,0,'Données projet'!$E$14+1,1))-AVERAGE(OFFSET($H$3,0,0,'Données projet'!$E$14+1,1))</f>
        <v>493.70175665335978</v>
      </c>
      <c r="DU11" s="60">
        <f t="shared" si="44"/>
        <v>325.12357781685949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2.1333333333333333</v>
      </c>
      <c r="EJ11" s="13">
        <f>IF('Données projet'!$A$192&gt;35,EJ10+EI11-ER10,IF(A11&lt;'Données projet'!$A$192,$EG$205^A11,IF(A11='Données projet'!$A$192,'Données projet'!$B$192,EJ10+EI11-ER10)))</f>
        <v>6.3496042078728001</v>
      </c>
      <c r="EK11" s="18">
        <f>EJ11*VLOOKUP('Données projet'!$B$15,Paramètres!$A$1:$I$89,3,0)*VLOOKUP('Données projet'!$B$15,Paramètres!$A$1:$I$89,5,0)</f>
        <v>5.1507989334264161</v>
      </c>
      <c r="EL11" s="14">
        <f t="shared" si="45"/>
        <v>1.9613922676613451</v>
      </c>
      <c r="EM11" s="22">
        <f t="shared" si="19"/>
        <v>12.387066341894517</v>
      </c>
      <c r="EN11" s="60">
        <f t="shared" si="20"/>
        <v>278.83151078633898</v>
      </c>
      <c r="EO11" s="60">
        <f ca="1">AVERAGE(OFFSET($EN$3,0,0,'Données projet'!$E$15+1,1))-AVERAGE(OFFSET($H$3,0,0,'Données projet'!$E$15+1,1))</f>
        <v>236.22643401787644</v>
      </c>
      <c r="EP11" s="60">
        <f t="shared" si="46"/>
        <v>188.80444043778022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1.05</v>
      </c>
      <c r="FE11" s="13">
        <f>IF('Données projet'!$A$218&gt;35,FE10+FD11-FM10,IF(A11&lt;'Données projet'!$A$218,$FB$205^A11,IF(A11='Données projet'!$A$218,'Données projet'!$B$218,FE10+FD11-FM10)))</f>
        <v>3.3797744452354301</v>
      </c>
      <c r="FF11" s="18">
        <f>FE11*VLOOKUP('Données projet'!$B$16,Paramètres!$A$1:$I$89,3,0)*VLOOKUP('Données projet'!$B$16,Paramètres!$A$1:$I$89,5,0)</f>
        <v>3.2689178434317077</v>
      </c>
      <c r="FG11" s="14">
        <f t="shared" si="47"/>
        <v>1.3124399582504287</v>
      </c>
      <c r="FH11" s="22">
        <f t="shared" si="22"/>
        <v>7.9791981712630529</v>
      </c>
      <c r="FI11" s="60">
        <f t="shared" si="23"/>
        <v>274.42364261570754</v>
      </c>
      <c r="FJ11" s="60">
        <f ca="1">AVERAGE(OFFSET($FI$3,0,0,'Données projet'!$E$16+1,1))-AVERAGE(OFFSET($H$3,0,0,'Données projet'!$E$16+1,1))</f>
        <v>255.59755832175625</v>
      </c>
      <c r="FK11" s="60">
        <f t="shared" si="48"/>
        <v>154.0840647586964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0" t="e">
        <f t="shared" si="26"/>
        <v>#N/A</v>
      </c>
      <c r="GE11" s="60" t="e">
        <f ca="1">AVERAGE(OFFSET($GD$3,0,0,'Données projet'!$E$17+1,1))-AVERAGE(OFFSET($H$3,0,0,'Données projet'!$E$17+1,1))</f>
        <v>#N/A</v>
      </c>
      <c r="GF11" s="60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7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0" t="e">
        <f t="shared" si="29"/>
        <v>#N/A</v>
      </c>
      <c r="GZ11" s="60" t="e">
        <f ca="1">AVERAGE(OFFSET($GY$3,0,0,'Données projet'!$E$18+1,1))-AVERAGE(OFFSET($H$3,0,0,'Données projet'!$E$18+1,1))</f>
        <v>#N/A</v>
      </c>
      <c r="HA11" s="60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5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68">
        <f t="shared" si="1"/>
        <v>256.66666666666669</v>
      </c>
      <c r="I12" s="7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>
        <f>VLOOKUP(A12,'Données projet'!$A$35:$I$55,2,0)</f>
        <v>28.56</v>
      </c>
      <c r="L12" s="13">
        <f>VLOOKUP(A12,'Données projet'!$A$35:$I$55,9,0)</f>
        <v>16.32</v>
      </c>
      <c r="M12" s="13">
        <f t="array" ref="M12">INDEX(L:L,MIN(IF(ISNUMBER(L12:L208),ROW(L12:L208),"")))</f>
        <v>16.32</v>
      </c>
      <c r="N12" s="14">
        <f>IF('Données projet'!$A$36&gt;35,N11+M12-V11,IF(A12&lt;'Données projet'!$A$36,$K$205^A12,IF(A12='Données projet'!$A$36,'Données projet'!$B$36,N11+M12-V11)))</f>
        <v>28.560000000000002</v>
      </c>
      <c r="O12" s="14">
        <f>N12*VLOOKUP('Données projet'!$B$9,Paramètres!$A$1:$I$89,3,0)*VLOOKUP('Données projet'!$B$9,Paramètres!$A$1:$I$89,5,0)</f>
        <v>14.524473600000002</v>
      </c>
      <c r="P12" s="14">
        <f t="shared" si="33"/>
        <v>4.9021204676273573</v>
      </c>
      <c r="Q12" s="22">
        <f t="shared" si="2"/>
        <v>33.834651334450989</v>
      </c>
      <c r="R12" s="60">
        <f t="shared" si="0"/>
        <v>301.50131800111768</v>
      </c>
      <c r="S12" s="60">
        <f ca="1">AVERAGE(OFFSET($R$3,0,0,'Données projet'!$E$9+1,1))-AVERAGE(OFFSET($H$3,0,0,'Données projet'!$E$9+1,1))</f>
        <v>64.775385872852041</v>
      </c>
      <c r="T12" s="60">
        <f t="shared" si="34"/>
        <v>201.69061202990468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5.4513006599100189</v>
      </c>
      <c r="AK12" s="14">
        <f t="shared" si="35"/>
        <v>2.062165822468125</v>
      </c>
      <c r="AL12" s="22">
        <f t="shared" si="4"/>
        <v>13.085954123475267</v>
      </c>
      <c r="AM12" s="60">
        <f t="shared" si="5"/>
        <v>280.75262079014198</v>
      </c>
      <c r="AN12" s="60">
        <f ca="1">AVERAGE(OFFSET($AM$3,0,0,'Données projet'!$E$10+1,1))-AVERAGE(OFFSET($H$3,0,0,'Données projet'!$E$10+1,1))</f>
        <v>475.47920969424894</v>
      </c>
      <c r="AO12" s="60">
        <f t="shared" si="36"/>
        <v>271.73544012419364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7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7.4312217194570129</v>
      </c>
      <c r="BD12" s="13">
        <f>IF('Données projet'!$A$88&gt;35,BD11+BC12-BL11,IF(A12&lt;'Données projet'!$A$88,$BA$205^A12,IF(A12='Données projet'!$A$88,'Données projet'!$B$88,BD11+BC12-BL11)))</f>
        <v>12.958766444511483</v>
      </c>
      <c r="BE12" s="14">
        <f>BD12*VLOOKUP('Données projet'!$B$11,Paramètres!$A$1:$I$89,3,0)*VLOOKUP('Données projet'!$B$11,Paramètres!$A$1:$I$89,5,0)</f>
        <v>7.7493423338178671</v>
      </c>
      <c r="BF12" s="14">
        <f t="shared" si="37"/>
        <v>2.8138859005026107</v>
      </c>
      <c r="BG12" s="22">
        <f t="shared" si="7"/>
        <v>18.397622508108167</v>
      </c>
      <c r="BH12" s="60">
        <f t="shared" si="8"/>
        <v>286.06428917477484</v>
      </c>
      <c r="BI12" s="60">
        <f ca="1">AVERAGE(OFFSET($BH$3,0,0,'Données projet'!$E$11+1,1))-AVERAGE(OFFSET($H$3,0,0,'Données projet'!$E$11+1,1))</f>
        <v>260.02504691866199</v>
      </c>
      <c r="BJ12" s="60">
        <f t="shared" si="38"/>
        <v>270.11268336406368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3.4425641025641025</v>
      </c>
      <c r="BY12" s="13">
        <f>IF('Données projet'!$A$114&gt;35,BY11+BX12-CG11,IF(A12&lt;'Données projet'!$A$114,$BV$205^A12,IF(A12='Données projet'!$A$114,'Données projet'!$B$114,BY11+BX12-CG11)))</f>
        <v>4.0197679866952116</v>
      </c>
      <c r="BZ12" s="14">
        <f>BY12*VLOOKUP('Données projet'!$B$12,Paramètres!$A$1:$I$89,3,0)*VLOOKUP('Données projet'!$B$12,Paramètres!$A$1:$I$89,5,0)</f>
        <v>1.881251417773359</v>
      </c>
      <c r="CA12" s="14">
        <f t="shared" si="39"/>
        <v>0.80547727641405575</v>
      </c>
      <c r="CB12" s="22">
        <f t="shared" si="10"/>
        <v>4.6793858090430804</v>
      </c>
      <c r="CC12" s="60">
        <f t="shared" si="11"/>
        <v>272.34605247570977</v>
      </c>
      <c r="CD12" s="60">
        <f ca="1">AVERAGE(OFFSET($CC$3,0,0,'Données projet'!$E$12+1,1))-AVERAGE(OFFSET($H$3,0,0,'Données projet'!$E$12+1,1))</f>
        <v>246.72166704460847</v>
      </c>
      <c r="CE12" s="60">
        <f t="shared" si="40"/>
        <v>145.54897745089966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2.1</v>
      </c>
      <c r="CT12" s="13">
        <f>IF('Données projet'!$A$140&gt;35,CT11+CS12-DB11,IF(A12&lt;'Données projet'!$A$140,$CQ$205^A12,IF(A12='Données projet'!$A$140,'Données projet'!$B$140,CT11+CS12-DB11)))</f>
        <v>5.3760361537574148</v>
      </c>
      <c r="CU12" s="18">
        <f>CT12*VLOOKUP('Données projet'!$B$13,Paramètres!$A$1:$I$89,3,0)*VLOOKUP('Données projet'!$B$13,Paramètres!$A$1:$I$89,5,0)</f>
        <v>4.8642375119197085</v>
      </c>
      <c r="CV12" s="14">
        <f t="shared" si="41"/>
        <v>1.8646542609995393</v>
      </c>
      <c r="CW12" s="22">
        <f t="shared" si="13"/>
        <v>11.719486504501022</v>
      </c>
      <c r="CX12" s="60">
        <f t="shared" si="14"/>
        <v>279.38615317116773</v>
      </c>
      <c r="CY12" s="60">
        <f ca="1">AVERAGE(OFFSET($CX$3,0,0,'Données projet'!$E$13+1,1))-AVERAGE(OFFSET($H$3,0,0,'Données projet'!$E$13+1,1))</f>
        <v>428.8489304403459</v>
      </c>
      <c r="CZ12" s="60">
        <f t="shared" si="42"/>
        <v>247.01165577562966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2.0085470085470085</v>
      </c>
      <c r="DO12" s="13">
        <f>IF('Données projet'!$A$166&gt;35,DO11+DN12-DW11,IF(A12&lt;'Données projet'!$A$166,$DL$205^A12,IF(A12='Données projet'!$A$166,'Données projet'!$B$166,DO11+DN12-DW11)))</f>
        <v>7.715853190806035</v>
      </c>
      <c r="DP12" s="18">
        <f>DO12*VLOOKUP('Données projet'!$B$14,Paramètres!$A$1:$I$89,3,0)*VLOOKUP('Données projet'!$B$14,Paramètres!$A$1:$I$89,5,0)</f>
        <v>8.0646097550304692</v>
      </c>
      <c r="DQ12" s="14">
        <f t="shared" si="43"/>
        <v>2.9148024033411493</v>
      </c>
      <c r="DR12" s="22">
        <f t="shared" si="16"/>
        <v>19.122476175830567</v>
      </c>
      <c r="DS12" s="60">
        <f t="shared" si="17"/>
        <v>286.78914284249726</v>
      </c>
      <c r="DT12" s="60">
        <f ca="1">AVERAGE(OFFSET($DS$3,0,0,'Données projet'!$E$14+1,1))-AVERAGE(OFFSET($H$3,0,0,'Données projet'!$E$14+1,1))</f>
        <v>493.70175665335978</v>
      </c>
      <c r="DU12" s="60">
        <f t="shared" si="44"/>
        <v>325.12357781685949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2.1333333333333333</v>
      </c>
      <c r="EJ12" s="13">
        <f>IF('Données projet'!$A$192&gt;35,EJ11+EI12-ER11,IF(A12&lt;'Données projet'!$A$192,$EG$205^A12,IF(A12='Données projet'!$A$192,'Données projet'!$B$192,EJ11+EI12-ER11)))</f>
        <v>8.0000000000000036</v>
      </c>
      <c r="EK12" s="18">
        <f>EJ12*VLOOKUP('Données projet'!$B$15,Paramètres!$A$1:$I$89,3,0)*VLOOKUP('Données projet'!$B$15,Paramètres!$A$1:$I$89,5,0)</f>
        <v>6.4896000000000029</v>
      </c>
      <c r="EL12" s="14">
        <f t="shared" si="45"/>
        <v>2.4056244376575937</v>
      </c>
      <c r="EM12" s="22">
        <f t="shared" si="19"/>
        <v>15.492515895586982</v>
      </c>
      <c r="EN12" s="60">
        <f t="shared" si="20"/>
        <v>283.15918256225365</v>
      </c>
      <c r="EO12" s="60">
        <f ca="1">AVERAGE(OFFSET($EN$3,0,0,'Données projet'!$E$15+1,1))-AVERAGE(OFFSET($H$3,0,0,'Données projet'!$E$15+1,1))</f>
        <v>236.22643401787644</v>
      </c>
      <c r="EP12" s="60">
        <f t="shared" si="46"/>
        <v>188.80444043778022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1.05</v>
      </c>
      <c r="FE12" s="13">
        <f>IF('Données projet'!$A$218&gt;35,FE11+FD12-FM11,IF(A12&lt;'Données projet'!$A$218,$FB$205^A12,IF(A12='Données projet'!$A$218,'Données projet'!$B$218,FE11+FD12-FM11)))</f>
        <v>3.9354888168013828</v>
      </c>
      <c r="FF12" s="18">
        <f>FE12*VLOOKUP('Données projet'!$B$16,Paramètres!$A$1:$I$89,3,0)*VLOOKUP('Données projet'!$B$16,Paramètres!$A$1:$I$89,5,0)</f>
        <v>3.8064047836102977</v>
      </c>
      <c r="FG12" s="14">
        <f t="shared" si="47"/>
        <v>1.5013954409821026</v>
      </c>
      <c r="FH12" s="22">
        <f t="shared" si="22"/>
        <v>9.2444187244984306</v>
      </c>
      <c r="FI12" s="60">
        <f t="shared" si="23"/>
        <v>276.9110853911651</v>
      </c>
      <c r="FJ12" s="60">
        <f ca="1">AVERAGE(OFFSET($FI$3,0,0,'Données projet'!$E$16+1,1))-AVERAGE(OFFSET($H$3,0,0,'Données projet'!$E$16+1,1))</f>
        <v>255.59755832175625</v>
      </c>
      <c r="FK12" s="60">
        <f t="shared" si="48"/>
        <v>154.0840647586964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0" t="e">
        <f t="shared" si="26"/>
        <v>#N/A</v>
      </c>
      <c r="GE12" s="60" t="e">
        <f ca="1">AVERAGE(OFFSET($GD$3,0,0,'Données projet'!$E$17+1,1))-AVERAGE(OFFSET($H$3,0,0,'Données projet'!$E$17+1,1))</f>
        <v>#N/A</v>
      </c>
      <c r="GF12" s="60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7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0" t="e">
        <f t="shared" si="29"/>
        <v>#N/A</v>
      </c>
      <c r="GZ12" s="60" t="e">
        <f ca="1">AVERAGE(OFFSET($GY$3,0,0,'Données projet'!$E$18+1,1))-AVERAGE(OFFSET($H$3,0,0,'Données projet'!$E$18+1,1))</f>
        <v>#N/A</v>
      </c>
      <c r="HA12" s="60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5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68">
        <f t="shared" si="1"/>
        <v>256.66666666666669</v>
      </c>
      <c r="I13" s="7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>
        <f>VLOOKUP(A13,'Données projet'!$A$35:$I$55,2,0)</f>
        <v>48.96</v>
      </c>
      <c r="L13" s="13">
        <f>VLOOKUP(A13,'Données projet'!$A$35:$I$55,9,0)</f>
        <v>20.400000000000002</v>
      </c>
      <c r="M13" s="13">
        <f t="array" ref="M13">INDEX(L:L,MIN(IF(ISNUMBER(L13:L209),ROW(L13:L209),"")))</f>
        <v>20.400000000000002</v>
      </c>
      <c r="N13" s="14">
        <f>IF('Données projet'!$A$36&gt;35,N12+M13-V12,IF(A13&lt;'Données projet'!$A$36,$K$205^A13,IF(A13='Données projet'!$A$36,'Données projet'!$B$36,N12+M13-V12)))</f>
        <v>48.960000000000008</v>
      </c>
      <c r="O13" s="14">
        <f>N13*VLOOKUP('Données projet'!$B$9,Paramètres!$A$1:$I$89,3,0)*VLOOKUP('Données projet'!$B$9,Paramètres!$A$1:$I$89,5,0)</f>
        <v>24.899097600000008</v>
      </c>
      <c r="P13" s="14">
        <f t="shared" si="33"/>
        <v>7.8925964990361663</v>
      </c>
      <c r="Q13" s="22">
        <f t="shared" si="2"/>
        <v>57.112200555821339</v>
      </c>
      <c r="R13" s="60">
        <f t="shared" si="0"/>
        <v>326.0010894447102</v>
      </c>
      <c r="S13" s="60">
        <f ca="1">AVERAGE(OFFSET($R$3,0,0,'Données projet'!$E$9+1,1))-AVERAGE(OFFSET($H$3,0,0,'Données projet'!$E$9+1,1))</f>
        <v>64.775385872852041</v>
      </c>
      <c r="T13" s="60">
        <f t="shared" si="34"/>
        <v>201.69061202990468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6.5714710681855761</v>
      </c>
      <c r="AK13" s="14">
        <f t="shared" si="35"/>
        <v>2.4324209676242781</v>
      </c>
      <c r="AL13" s="22">
        <f t="shared" si="4"/>
        <v>15.681778629035497</v>
      </c>
      <c r="AM13" s="60">
        <f t="shared" si="5"/>
        <v>284.57066751792433</v>
      </c>
      <c r="AN13" s="60">
        <f ca="1">AVERAGE(OFFSET($AM$3,0,0,'Données projet'!$E$10+1,1))-AVERAGE(OFFSET($H$3,0,0,'Données projet'!$E$10+1,1))</f>
        <v>475.47920969424894</v>
      </c>
      <c r="AO13" s="60">
        <f t="shared" si="36"/>
        <v>271.73544012419364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7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7.4312217194570129</v>
      </c>
      <c r="BD13" s="13">
        <f>IF('Données projet'!$A$88&gt;35,BD12+BC13-BL12,IF(A13&lt;'Données projet'!$A$88,$BA$205^A13,IF(A13='Données projet'!$A$88,'Données projet'!$B$88,BD12+BC13-BL12)))</f>
        <v>17.225897052240693</v>
      </c>
      <c r="BE13" s="14">
        <f>BD13*VLOOKUP('Données projet'!$B$11,Paramètres!$A$1:$I$89,3,0)*VLOOKUP('Données projet'!$B$11,Paramètres!$A$1:$I$89,5,0)</f>
        <v>10.301086437239935</v>
      </c>
      <c r="BF13" s="14">
        <f t="shared" si="37"/>
        <v>3.6185577775542006</v>
      </c>
      <c r="BG13" s="22">
        <f t="shared" si="7"/>
        <v>24.243380340766453</v>
      </c>
      <c r="BH13" s="60">
        <f t="shared" si="8"/>
        <v>293.13226922965532</v>
      </c>
      <c r="BI13" s="60">
        <f ca="1">AVERAGE(OFFSET($BH$3,0,0,'Données projet'!$E$11+1,1))-AVERAGE(OFFSET($H$3,0,0,'Données projet'!$E$11+1,1))</f>
        <v>260.02504691866199</v>
      </c>
      <c r="BJ13" s="60">
        <f t="shared" si="38"/>
        <v>270.11268336406368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3.4425641025641025</v>
      </c>
      <c r="BY13" s="13">
        <f>IF('Données projet'!$A$114&gt;35,BY12+BX13-CG12,IF(A13&lt;'Données projet'!$A$114,$BV$205^A13,IF(A13='Données projet'!$A$114,'Données projet'!$B$114,BY12+BX13-CG12)))</f>
        <v>4.6917453277627805</v>
      </c>
      <c r="BZ13" s="14">
        <f>BY13*VLOOKUP('Données projet'!$B$12,Paramètres!$A$1:$I$89,3,0)*VLOOKUP('Données projet'!$B$12,Paramètres!$A$1:$I$89,5,0)</f>
        <v>2.1957368133929811</v>
      </c>
      <c r="CA13" s="14">
        <f t="shared" si="39"/>
        <v>0.9233628621568436</v>
      </c>
      <c r="CB13" s="22">
        <f t="shared" si="10"/>
        <v>5.432431934915944</v>
      </c>
      <c r="CC13" s="60">
        <f t="shared" si="11"/>
        <v>274.3213208238048</v>
      </c>
      <c r="CD13" s="60">
        <f ca="1">AVERAGE(OFFSET($CC$3,0,0,'Données projet'!$E$12+1,1))-AVERAGE(OFFSET($H$3,0,0,'Données projet'!$E$12+1,1))</f>
        <v>246.72166704460847</v>
      </c>
      <c r="CE13" s="60">
        <f t="shared" si="40"/>
        <v>145.54897745089966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2.1</v>
      </c>
      <c r="CT13" s="13">
        <f>IF('Données projet'!$A$140&gt;35,CT12+CS13-DB12,IF(A13&lt;'Données projet'!$A$140,$CQ$205^A13,IF(A13='Données projet'!$A$140,'Données projet'!$B$140,CT12+CS13-DB12)))</f>
        <v>6.4807406984078657</v>
      </c>
      <c r="CU13" s="18">
        <f>CT13*VLOOKUP('Données projet'!$B$13,Paramètres!$A$1:$I$89,3,0)*VLOOKUP('Données projet'!$B$13,Paramètres!$A$1:$I$89,5,0)</f>
        <v>5.8637741839194364</v>
      </c>
      <c r="CV13" s="14">
        <f t="shared" si="41"/>
        <v>2.1994468497187687</v>
      </c>
      <c r="CW13" s="22">
        <f t="shared" si="13"/>
        <v>14.043443300253207</v>
      </c>
      <c r="CX13" s="60">
        <f t="shared" si="14"/>
        <v>282.93233218914207</v>
      </c>
      <c r="CY13" s="60">
        <f ca="1">AVERAGE(OFFSET($CX$3,0,0,'Données projet'!$E$13+1,1))-AVERAGE(OFFSET($H$3,0,0,'Données projet'!$E$13+1,1))</f>
        <v>428.8489304403459</v>
      </c>
      <c r="CZ13" s="60">
        <f t="shared" si="42"/>
        <v>247.01165577562966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2.0085470085470085</v>
      </c>
      <c r="DO13" s="13">
        <f>IF('Données projet'!$A$166&gt;35,DO12+DN13-DW12,IF(A13&lt;'Données projet'!$A$166,$DL$205^A13,IF(A13='Données projet'!$A$166,'Données projet'!$B$166,DO12+DN13-DW12)))</f>
        <v>9.6823811114971363</v>
      </c>
      <c r="DP13" s="18">
        <f>DO13*VLOOKUP('Données projet'!$B$14,Paramètres!$A$1:$I$89,3,0)*VLOOKUP('Données projet'!$B$14,Paramètres!$A$1:$I$89,5,0)</f>
        <v>10.120024737736808</v>
      </c>
      <c r="DQ13" s="14">
        <f t="shared" si="43"/>
        <v>3.5623001055261061</v>
      </c>
      <c r="DR13" s="22">
        <f t="shared" si="16"/>
        <v>23.830049102016243</v>
      </c>
      <c r="DS13" s="60">
        <f t="shared" si="17"/>
        <v>292.71893799090509</v>
      </c>
      <c r="DT13" s="60">
        <f ca="1">AVERAGE(OFFSET($DS$3,0,0,'Données projet'!$E$14+1,1))-AVERAGE(OFFSET($H$3,0,0,'Données projet'!$E$14+1,1))</f>
        <v>493.70175665335978</v>
      </c>
      <c r="DU13" s="60">
        <f t="shared" si="44"/>
        <v>325.12357781685949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2.1333333333333333</v>
      </c>
      <c r="EJ13" s="13">
        <f>IF('Données projet'!$A$192&gt;35,EJ12+EI13-ER12,IF(A13&lt;'Données projet'!$A$192,$EG$205^A13,IF(A13='Données projet'!$A$192,'Données projet'!$B$192,EJ12+EI13-ER12)))</f>
        <v>10.079368399158989</v>
      </c>
      <c r="EK13" s="18">
        <f>EJ13*VLOOKUP('Données projet'!$B$15,Paramètres!$A$1:$I$89,3,0)*VLOOKUP('Données projet'!$B$15,Paramètres!$A$1:$I$89,5,0)</f>
        <v>8.1763836453977721</v>
      </c>
      <c r="EL13" s="14">
        <f t="shared" si="45"/>
        <v>2.9504699444724252</v>
      </c>
      <c r="EM13" s="22">
        <f t="shared" si="19"/>
        <v>19.379270002357259</v>
      </c>
      <c r="EN13" s="60">
        <f t="shared" si="20"/>
        <v>288.26815889124612</v>
      </c>
      <c r="EO13" s="60">
        <f ca="1">AVERAGE(OFFSET($EN$3,0,0,'Données projet'!$E$15+1,1))-AVERAGE(OFFSET($H$3,0,0,'Données projet'!$E$15+1,1))</f>
        <v>236.22643401787644</v>
      </c>
      <c r="EP13" s="60">
        <f t="shared" si="46"/>
        <v>188.80444043778022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1.05</v>
      </c>
      <c r="FE13" s="13">
        <f>IF('Données projet'!$A$218&gt;35,FE12+FD13-FM12,IF(A13&lt;'Données projet'!$A$218,$FB$205^A13,IF(A13='Données projet'!$A$218,'Données projet'!$B$218,FE12+FD13-FM12)))</f>
        <v>4.5825756949558425</v>
      </c>
      <c r="FF13" s="18">
        <f>FE13*VLOOKUP('Données projet'!$B$16,Paramètres!$A$1:$I$89,3,0)*VLOOKUP('Données projet'!$B$16,Paramètres!$A$1:$I$89,5,0)</f>
        <v>4.4322672121612907</v>
      </c>
      <c r="FG13" s="14">
        <f t="shared" si="47"/>
        <v>1.7175553487466402</v>
      </c>
      <c r="FH13" s="22">
        <f t="shared" si="22"/>
        <v>10.71094096024798</v>
      </c>
      <c r="FI13" s="60">
        <f t="shared" si="23"/>
        <v>279.59982984913682</v>
      </c>
      <c r="FJ13" s="60">
        <f ca="1">AVERAGE(OFFSET($FI$3,0,0,'Données projet'!$E$16+1,1))-AVERAGE(OFFSET($H$3,0,0,'Données projet'!$E$16+1,1))</f>
        <v>255.59755832175625</v>
      </c>
      <c r="FK13" s="60">
        <f t="shared" si="48"/>
        <v>154.0840647586964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0" t="e">
        <f t="shared" si="26"/>
        <v>#N/A</v>
      </c>
      <c r="GE13" s="60" t="e">
        <f ca="1">AVERAGE(OFFSET($GD$3,0,0,'Données projet'!$E$17+1,1))-AVERAGE(OFFSET($H$3,0,0,'Données projet'!$E$17+1,1))</f>
        <v>#N/A</v>
      </c>
      <c r="GF13" s="60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7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0" t="e">
        <f t="shared" si="29"/>
        <v>#N/A</v>
      </c>
      <c r="GZ13" s="60" t="e">
        <f ca="1">AVERAGE(OFFSET($GY$3,0,0,'Données projet'!$E$18+1,1))-AVERAGE(OFFSET($H$3,0,0,'Données projet'!$E$18+1,1))</f>
        <v>#N/A</v>
      </c>
      <c r="HA13" s="60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5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68">
        <f t="shared" si="1"/>
        <v>256.66666666666669</v>
      </c>
      <c r="I14" s="7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>
        <f>VLOOKUP(A14,'Données projet'!$A$35:$I$55,2,0)</f>
        <v>67.319999999999993</v>
      </c>
      <c r="L14" s="13">
        <f>VLOOKUP(A14,'Données projet'!$A$35:$I$55,9,0)</f>
        <v>18.359999999999992</v>
      </c>
      <c r="M14" s="13">
        <f t="array" ref="M14">INDEX(L:L,MIN(IF(ISNUMBER(L14:L210),ROW(L14:L210),"")))</f>
        <v>18.359999999999992</v>
      </c>
      <c r="N14" s="14">
        <f>IF('Données projet'!$A$36&gt;35,N13+M14-V13,IF(A14&lt;'Données projet'!$A$36,$K$205^A14,IF(A14='Données projet'!$A$36,'Données projet'!$B$36,N13+M14-V13)))</f>
        <v>67.319999999999993</v>
      </c>
      <c r="O14" s="14">
        <f>N14*VLOOKUP('Données projet'!$B$9,Paramètres!$A$1:$I$89,3,0)*VLOOKUP('Données projet'!$B$9,Paramètres!$A$1:$I$89,5,0)</f>
        <v>34.236259199999999</v>
      </c>
      <c r="P14" s="14">
        <f t="shared" si="33"/>
        <v>10.457410698903651</v>
      </c>
      <c r="Q14" s="22">
        <f t="shared" si="2"/>
        <v>77.841475073923846</v>
      </c>
      <c r="R14" s="60">
        <f t="shared" si="0"/>
        <v>347.95258618503499</v>
      </c>
      <c r="S14" s="60">
        <f ca="1">AVERAGE(OFFSET($R$3,0,0,'Données projet'!$E$9+1,1))-AVERAGE(OFFSET($H$3,0,0,'Données projet'!$E$9+1,1))</f>
        <v>64.775385872852041</v>
      </c>
      <c r="T14" s="60">
        <f t="shared" si="34"/>
        <v>201.69061202990468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7.921821725516951</v>
      </c>
      <c r="AK14" s="14">
        <f t="shared" si="35"/>
        <v>2.869154216054651</v>
      </c>
      <c r="AL14" s="22">
        <f t="shared" si="4"/>
        <v>18.794283098237205</v>
      </c>
      <c r="AM14" s="60">
        <f t="shared" si="5"/>
        <v>288.90539420934834</v>
      </c>
      <c r="AN14" s="60">
        <f ca="1">AVERAGE(OFFSET($AM$3,0,0,'Données projet'!$E$10+1,1))-AVERAGE(OFFSET($H$3,0,0,'Données projet'!$E$10+1,1))</f>
        <v>475.47920969424894</v>
      </c>
      <c r="AO14" s="60">
        <f t="shared" si="36"/>
        <v>271.73544012419364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7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7.4312217194570129</v>
      </c>
      <c r="BD14" s="13">
        <f>IF('Données projet'!$A$88&gt;35,BD13+BC14-BL13,IF(A14&lt;'Données projet'!$A$88,$BA$205^A14,IF(A14='Données projet'!$A$88,'Données projet'!$B$88,BD13+BC14-BL13)))</f>
        <v>22.89813081553541</v>
      </c>
      <c r="BE14" s="14">
        <f>BD14*VLOOKUP('Données projet'!$B$11,Paramètres!$A$1:$I$89,3,0)*VLOOKUP('Données projet'!$B$11,Paramètres!$A$1:$I$89,5,0)</f>
        <v>13.693082227690176</v>
      </c>
      <c r="BF14" s="14">
        <f t="shared" si="37"/>
        <v>4.6533373606794726</v>
      </c>
      <c r="BG14" s="22">
        <f t="shared" si="7"/>
        <v>31.953347449743802</v>
      </c>
      <c r="BH14" s="60">
        <f t="shared" si="8"/>
        <v>302.06445856085497</v>
      </c>
      <c r="BI14" s="60">
        <f ca="1">AVERAGE(OFFSET($BH$3,0,0,'Données projet'!$E$11+1,1))-AVERAGE(OFFSET($H$3,0,0,'Données projet'!$E$11+1,1))</f>
        <v>260.02504691866199</v>
      </c>
      <c r="BJ14" s="60">
        <f t="shared" si="38"/>
        <v>270.11268336406368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3.4425641025641025</v>
      </c>
      <c r="BY14" s="13">
        <f>IF('Données projet'!$A$114&gt;35,BY13+BX14-CG13,IF(A14&lt;'Données projet'!$A$114,$BV$205^A14,IF(A14='Données projet'!$A$114,'Données projet'!$B$114,BY13+BX14-CG13)))</f>
        <v>5.4760559050775193</v>
      </c>
      <c r="BZ14" s="14">
        <f>BY14*VLOOKUP('Données projet'!$B$12,Paramètres!$A$1:$I$89,3,0)*VLOOKUP('Données projet'!$B$12,Paramètres!$A$1:$I$89,5,0)</f>
        <v>2.562794163576279</v>
      </c>
      <c r="CA14" s="14">
        <f t="shared" si="39"/>
        <v>1.0585015867936163</v>
      </c>
      <c r="CB14" s="22">
        <f t="shared" si="10"/>
        <v>6.3070900985608995</v>
      </c>
      <c r="CC14" s="60">
        <f t="shared" si="11"/>
        <v>276.41820120967202</v>
      </c>
      <c r="CD14" s="60">
        <f ca="1">AVERAGE(OFFSET($CC$3,0,0,'Données projet'!$E$12+1,1))-AVERAGE(OFFSET($H$3,0,0,'Données projet'!$E$12+1,1))</f>
        <v>246.72166704460847</v>
      </c>
      <c r="CE14" s="60">
        <f t="shared" si="40"/>
        <v>145.54897745089966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2.1</v>
      </c>
      <c r="CT14" s="13">
        <f>IF('Données projet'!$A$140&gt;35,CT13+CS14-DB13,IF(A14&lt;'Données projet'!$A$140,$CQ$205^A14,IF(A14='Données projet'!$A$140,'Données projet'!$B$140,CT13+CS14-DB13)))</f>
        <v>7.8124474610620815</v>
      </c>
      <c r="CU14" s="18">
        <f>CT14*VLOOKUP('Données projet'!$B$13,Paramètres!$A$1:$I$89,3,0)*VLOOKUP('Données projet'!$B$13,Paramètres!$A$1:$I$89,5,0)</f>
        <v>7.0687024627689707</v>
      </c>
      <c r="CV14" s="14">
        <f t="shared" si="41"/>
        <v>2.5943503554083325</v>
      </c>
      <c r="CW14" s="22">
        <f t="shared" si="13"/>
        <v>16.829816991658799</v>
      </c>
      <c r="CX14" s="60">
        <f t="shared" si="14"/>
        <v>286.94092810276993</v>
      </c>
      <c r="CY14" s="60">
        <f ca="1">AVERAGE(OFFSET($CX$3,0,0,'Données projet'!$E$13+1,1))-AVERAGE(OFFSET($H$3,0,0,'Données projet'!$E$13+1,1))</f>
        <v>428.8489304403459</v>
      </c>
      <c r="CZ14" s="60">
        <f t="shared" si="42"/>
        <v>247.01165577562966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2.0085470085470085</v>
      </c>
      <c r="DO14" s="13">
        <f>IF('Données projet'!$A$166&gt;35,DO13+DN14-DW13,IF(A14&lt;'Données projet'!$A$166,$DL$205^A14,IF(A14='Données projet'!$A$166,'Données projet'!$B$166,DO13+DN14-DW13)))</f>
        <v>12.150115051435174</v>
      </c>
      <c r="DP14" s="18">
        <f>DO14*VLOOKUP('Données projet'!$B$14,Paramètres!$A$1:$I$89,3,0)*VLOOKUP('Données projet'!$B$14,Paramètres!$A$1:$I$89,5,0)</f>
        <v>12.699300251760045</v>
      </c>
      <c r="DQ14" s="14">
        <f t="shared" si="43"/>
        <v>4.3536337239482048</v>
      </c>
      <c r="DR14" s="22">
        <f t="shared" si="16"/>
        <v>29.700526674358532</v>
      </c>
      <c r="DS14" s="60">
        <f t="shared" si="17"/>
        <v>299.81163778546966</v>
      </c>
      <c r="DT14" s="60">
        <f ca="1">AVERAGE(OFFSET($DS$3,0,0,'Données projet'!$E$14+1,1))-AVERAGE(OFFSET($H$3,0,0,'Données projet'!$E$14+1,1))</f>
        <v>493.70175665335978</v>
      </c>
      <c r="DU14" s="60">
        <f t="shared" si="44"/>
        <v>325.12357781685949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2.1333333333333333</v>
      </c>
      <c r="EJ14" s="13">
        <f>IF('Données projet'!$A$192&gt;35,EJ13+EI14-ER13,IF(A14&lt;'Données projet'!$A$192,$EG$205^A14,IF(A14='Données projet'!$A$192,'Données projet'!$B$192,EJ13+EI14-ER13)))</f>
        <v>12.6992084157456</v>
      </c>
      <c r="EK14" s="18">
        <f>EJ14*VLOOKUP('Données projet'!$B$15,Paramètres!$A$1:$I$89,3,0)*VLOOKUP('Données projet'!$B$15,Paramètres!$A$1:$I$89,5,0)</f>
        <v>10.301597866852832</v>
      </c>
      <c r="EL14" s="14">
        <f t="shared" si="45"/>
        <v>3.6187165199035083</v>
      </c>
      <c r="EM14" s="22">
        <f t="shared" si="19"/>
        <v>24.244547556933963</v>
      </c>
      <c r="EN14" s="60">
        <f t="shared" si="20"/>
        <v>294.35565866804512</v>
      </c>
      <c r="EO14" s="60">
        <f ca="1">AVERAGE(OFFSET($EN$3,0,0,'Données projet'!$E$15+1,1))-AVERAGE(OFFSET($H$3,0,0,'Données projet'!$E$15+1,1))</f>
        <v>236.22643401787644</v>
      </c>
      <c r="EP14" s="60">
        <f t="shared" si="46"/>
        <v>188.80444043778022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1.05</v>
      </c>
      <c r="FE14" s="13">
        <f>IF('Données projet'!$A$218&gt;35,FE13+FD14-FM13,IF(A14&lt;'Données projet'!$A$218,$FB$205^A14,IF(A14='Données projet'!$A$218,'Données projet'!$B$218,FE13+FD14-FM13)))</f>
        <v>5.3360588677947343</v>
      </c>
      <c r="FF14" s="18">
        <f>FE14*VLOOKUP('Données projet'!$B$16,Paramètres!$A$1:$I$89,3,0)*VLOOKUP('Données projet'!$B$16,Paramètres!$A$1:$I$89,5,0)</f>
        <v>5.1610361369310676</v>
      </c>
      <c r="FG14" s="14">
        <f t="shared" si="47"/>
        <v>1.9648363752047393</v>
      </c>
      <c r="FH14" s="22">
        <f t="shared" si="22"/>
        <v>12.410894625303198</v>
      </c>
      <c r="FI14" s="60">
        <f t="shared" si="23"/>
        <v>282.52200573641431</v>
      </c>
      <c r="FJ14" s="60">
        <f ca="1">AVERAGE(OFFSET($FI$3,0,0,'Données projet'!$E$16+1,1))-AVERAGE(OFFSET($H$3,0,0,'Données projet'!$E$16+1,1))</f>
        <v>255.59755832175625</v>
      </c>
      <c r="FK14" s="60">
        <f t="shared" si="48"/>
        <v>154.0840647586964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0" t="e">
        <f t="shared" si="26"/>
        <v>#N/A</v>
      </c>
      <c r="GE14" s="60" t="e">
        <f ca="1">AVERAGE(OFFSET($GD$3,0,0,'Données projet'!$E$17+1,1))-AVERAGE(OFFSET($H$3,0,0,'Données projet'!$E$17+1,1))</f>
        <v>#N/A</v>
      </c>
      <c r="GF14" s="60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7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0" t="e">
        <f t="shared" si="29"/>
        <v>#N/A</v>
      </c>
      <c r="GZ14" s="60" t="e">
        <f ca="1">AVERAGE(OFFSET($GY$3,0,0,'Données projet'!$E$18+1,1))-AVERAGE(OFFSET($H$3,0,0,'Données projet'!$E$18+1,1))</f>
        <v>#N/A</v>
      </c>
      <c r="HA14" s="60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5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68">
        <f t="shared" si="1"/>
        <v>256.66666666666669</v>
      </c>
      <c r="I15" s="7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>
        <f>VLOOKUP(A15,'Données projet'!$A$35:$I$55,2,0)</f>
        <v>87.72</v>
      </c>
      <c r="L15" s="13">
        <f>VLOOKUP(A15,'Données projet'!$A$35:$I$55,9,0)</f>
        <v>20.400000000000006</v>
      </c>
      <c r="M15" s="13">
        <f t="array" ref="M15">INDEX(L:L,MIN(IF(ISNUMBER(L15:L211),ROW(L15:L211),"")))</f>
        <v>20.400000000000006</v>
      </c>
      <c r="N15" s="14">
        <f>IF('Données projet'!$A$36&gt;35,N14+M15-V14,IF(A15&lt;'Données projet'!$A$36,$K$205^A15,IF(A15='Données projet'!$A$36,'Données projet'!$B$36,N14+M15-V14)))</f>
        <v>87.72</v>
      </c>
      <c r="O15" s="14">
        <f>N15*VLOOKUP('Données projet'!$B$9,Paramètres!$A$1:$I$89,3,0)*VLOOKUP('Données projet'!$B$9,Paramètres!$A$1:$I$89,5,0)</f>
        <v>44.610883200000004</v>
      </c>
      <c r="P15" s="14">
        <f t="shared" si="33"/>
        <v>13.212894723860535</v>
      </c>
      <c r="Q15" s="22">
        <f t="shared" si="2"/>
        <v>100.70974655072376</v>
      </c>
      <c r="R15" s="60">
        <f t="shared" si="0"/>
        <v>372.04307988405708</v>
      </c>
      <c r="S15" s="60">
        <f ca="1">AVERAGE(OFFSET($R$3,0,0,'Données projet'!$E$9+1,1))-AVERAGE(OFFSET($H$3,0,0,'Données projet'!$E$9+1,1))</f>
        <v>64.775385872852041</v>
      </c>
      <c r="T15" s="60">
        <f t="shared" si="34"/>
        <v>201.69061202990468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9.5496516380767513</v>
      </c>
      <c r="AK15" s="14">
        <f t="shared" si="35"/>
        <v>3.3843014943027487</v>
      </c>
      <c r="AL15" s="22">
        <f t="shared" si="4"/>
        <v>22.526635038894295</v>
      </c>
      <c r="AM15" s="60">
        <f t="shared" si="5"/>
        <v>293.85996837222763</v>
      </c>
      <c r="AN15" s="60">
        <f ca="1">AVERAGE(OFFSET($AM$3,0,0,'Données projet'!$E$10+1,1))-AVERAGE(OFFSET($H$3,0,0,'Données projet'!$E$10+1,1))</f>
        <v>475.47920969424894</v>
      </c>
      <c r="AO15" s="60">
        <f t="shared" si="36"/>
        <v>271.73544012419364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7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7.4312217194570129</v>
      </c>
      <c r="BD15" s="13">
        <f>IF('Données projet'!$A$88&gt;35,BD14+BC15-BL14,IF(A15&lt;'Données projet'!$A$88,$BA$205^A15,IF(A15='Données projet'!$A$88,'Données projet'!$B$88,BD14+BC15-BL14)))</f>
        <v>30.438147473844893</v>
      </c>
      <c r="BE15" s="14">
        <f>BD15*VLOOKUP('Données projet'!$B$11,Paramètres!$A$1:$I$89,3,0)*VLOOKUP('Données projet'!$B$11,Paramètres!$A$1:$I$89,5,0)</f>
        <v>18.202012189359248</v>
      </c>
      <c r="BF15" s="14">
        <f t="shared" si="37"/>
        <v>5.984027317903192</v>
      </c>
      <c r="BG15" s="22">
        <f t="shared" si="7"/>
        <v>42.124018808482084</v>
      </c>
      <c r="BH15" s="60">
        <f t="shared" si="8"/>
        <v>313.45735214181542</v>
      </c>
      <c r="BI15" s="60">
        <f ca="1">AVERAGE(OFFSET($BH$3,0,0,'Données projet'!$E$11+1,1))-AVERAGE(OFFSET($H$3,0,0,'Données projet'!$E$11+1,1))</f>
        <v>260.02504691866199</v>
      </c>
      <c r="BJ15" s="60">
        <f t="shared" si="38"/>
        <v>270.11268336406368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3.4425641025641025</v>
      </c>
      <c r="BY15" s="13">
        <f>IF('Données projet'!$A$114&gt;35,BY14+BX15-CG14,IF(A15&lt;'Données projet'!$A$114,$BV$205^A15,IF(A15='Données projet'!$A$114,'Données projet'!$B$114,BY14+BX15-CG14)))</f>
        <v>6.3914782624899003</v>
      </c>
      <c r="BZ15" s="14">
        <f>BY15*VLOOKUP('Données projet'!$B$12,Paramètres!$A$1:$I$89,3,0)*VLOOKUP('Données projet'!$B$12,Paramètres!$A$1:$I$89,5,0)</f>
        <v>2.9912118268452734</v>
      </c>
      <c r="CA15" s="14">
        <f t="shared" si="39"/>
        <v>1.2134185325879896</v>
      </c>
      <c r="CB15" s="22">
        <f t="shared" si="10"/>
        <v>7.3230645426796004</v>
      </c>
      <c r="CC15" s="60">
        <f t="shared" si="11"/>
        <v>278.65639787601293</v>
      </c>
      <c r="CD15" s="60">
        <f ca="1">AVERAGE(OFFSET($CC$3,0,0,'Données projet'!$E$12+1,1))-AVERAGE(OFFSET($H$3,0,0,'Données projet'!$E$12+1,1))</f>
        <v>246.72166704460847</v>
      </c>
      <c r="CE15" s="60">
        <f t="shared" si="40"/>
        <v>145.54897745089966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2.1</v>
      </c>
      <c r="CT15" s="13">
        <f>IF('Données projet'!$A$140&gt;35,CT14+CS15-DB14,IF(A15&lt;'Données projet'!$A$140,$CQ$205^A15,IF(A15='Données projet'!$A$140,'Données projet'!$B$140,CT14+CS15-DB14)))</f>
        <v>9.4178024044149407</v>
      </c>
      <c r="CU15" s="18">
        <f>CT15*VLOOKUP('Données projet'!$B$13,Paramètres!$A$1:$I$89,3,0)*VLOOKUP('Données projet'!$B$13,Paramètres!$A$1:$I$89,5,0)</f>
        <v>8.521227615514638</v>
      </c>
      <c r="CV15" s="14">
        <f t="shared" si="41"/>
        <v>3.0601574970852128</v>
      </c>
      <c r="CW15" s="22">
        <f t="shared" si="13"/>
        <v>20.170912404444739</v>
      </c>
      <c r="CX15" s="60">
        <f t="shared" si="14"/>
        <v>291.50424573777804</v>
      </c>
      <c r="CY15" s="60">
        <f ca="1">AVERAGE(OFFSET($CX$3,0,0,'Données projet'!$E$13+1,1))-AVERAGE(OFFSET($H$3,0,0,'Données projet'!$E$13+1,1))</f>
        <v>428.8489304403459</v>
      </c>
      <c r="CZ15" s="60">
        <f t="shared" si="42"/>
        <v>247.01165577562966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2.0085470085470085</v>
      </c>
      <c r="DO15" s="13">
        <f>IF('Données projet'!$A$166&gt;35,DO14+DN15-DW14,IF(A15&lt;'Données projet'!$A$166,$DL$205^A15,IF(A15='Données projet'!$A$166,'Données projet'!$B$166,DO14+DN15-DW14)))</f>
        <v>15.246796636399393</v>
      </c>
      <c r="DP15" s="18">
        <f>DO15*VLOOKUP('Données projet'!$B$14,Paramètres!$A$1:$I$89,3,0)*VLOOKUP('Données projet'!$B$14,Paramètres!$A$1:$I$89,5,0)</f>
        <v>15.935951844364647</v>
      </c>
      <c r="DQ15" s="14">
        <f t="shared" si="43"/>
        <v>5.3207551415716088</v>
      </c>
      <c r="DR15" s="22">
        <f t="shared" si="16"/>
        <v>37.022098000505643</v>
      </c>
      <c r="DS15" s="60">
        <f t="shared" si="17"/>
        <v>308.35543133383896</v>
      </c>
      <c r="DT15" s="60">
        <f ca="1">AVERAGE(OFFSET($DS$3,0,0,'Données projet'!$E$14+1,1))-AVERAGE(OFFSET($H$3,0,0,'Données projet'!$E$14+1,1))</f>
        <v>493.70175665335978</v>
      </c>
      <c r="DU15" s="60">
        <f t="shared" si="44"/>
        <v>325.12357781685949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2.1333333333333333</v>
      </c>
      <c r="EJ15" s="13">
        <f>IF('Données projet'!$A$192&gt;35,EJ14+EI15-ER14,IF(A15&lt;'Données projet'!$A$192,$EG$205^A15,IF(A15='Données projet'!$A$192,'Données projet'!$B$192,EJ14+EI15-ER14)))</f>
        <v>16.000000000000007</v>
      </c>
      <c r="EK15" s="18">
        <f>EJ15*VLOOKUP('Données projet'!$B$15,Paramètres!$A$1:$I$89,3,0)*VLOOKUP('Données projet'!$B$15,Paramètres!$A$1:$I$89,5,0)</f>
        <v>12.979200000000006</v>
      </c>
      <c r="EL15" s="14">
        <f t="shared" si="45"/>
        <v>4.4383130477080988</v>
      </c>
      <c r="EM15" s="22">
        <f t="shared" si="19"/>
        <v>30.335501891424943</v>
      </c>
      <c r="EN15" s="60">
        <f t="shared" si="20"/>
        <v>301.66883522475825</v>
      </c>
      <c r="EO15" s="60">
        <f ca="1">AVERAGE(OFFSET($EN$3,0,0,'Données projet'!$E$15+1,1))-AVERAGE(OFFSET($H$3,0,0,'Données projet'!$E$15+1,1))</f>
        <v>236.22643401787644</v>
      </c>
      <c r="EP15" s="60">
        <f t="shared" si="46"/>
        <v>188.80444043778022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1.05</v>
      </c>
      <c r="FE15" s="13">
        <f>IF('Données projet'!$A$218&gt;35,FE14+FD15-FM14,IF(A15&lt;'Données projet'!$A$218,$FB$205^A15,IF(A15='Données projet'!$A$218,'Données projet'!$B$218,FE14+FD15-FM14)))</f>
        <v>6.213432387360748</v>
      </c>
      <c r="FF15" s="18">
        <f>FE15*VLOOKUP('Données projet'!$B$16,Paramètres!$A$1:$I$89,3,0)*VLOOKUP('Données projet'!$B$16,Paramètres!$A$1:$I$89,5,0)</f>
        <v>6.0096318050553155</v>
      </c>
      <c r="FG15" s="14">
        <f t="shared" si="47"/>
        <v>2.2477191108542129</v>
      </c>
      <c r="FH15" s="22">
        <f t="shared" si="22"/>
        <v>14.381552845209095</v>
      </c>
      <c r="FI15" s="60">
        <f t="shared" si="23"/>
        <v>285.71488617854243</v>
      </c>
      <c r="FJ15" s="60">
        <f ca="1">AVERAGE(OFFSET($FI$3,0,0,'Données projet'!$E$16+1,1))-AVERAGE(OFFSET($H$3,0,0,'Données projet'!$E$16+1,1))</f>
        <v>255.59755832175625</v>
      </c>
      <c r="FK15" s="60">
        <f t="shared" si="48"/>
        <v>154.0840647586964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0" t="e">
        <f t="shared" si="26"/>
        <v>#N/A</v>
      </c>
      <c r="GE15" s="60" t="e">
        <f ca="1">AVERAGE(OFFSET($GD$3,0,0,'Données projet'!$E$17+1,1))-AVERAGE(OFFSET($H$3,0,0,'Données projet'!$E$17+1,1))</f>
        <v>#N/A</v>
      </c>
      <c r="GF15" s="60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7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0" t="e">
        <f t="shared" si="29"/>
        <v>#N/A</v>
      </c>
      <c r="GZ15" s="60" t="e">
        <f ca="1">AVERAGE(OFFSET($GY$3,0,0,'Données projet'!$E$18+1,1))-AVERAGE(OFFSET($H$3,0,0,'Données projet'!$E$18+1,1))</f>
        <v>#N/A</v>
      </c>
      <c r="HA15" s="60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5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68">
        <f t="shared" si="1"/>
        <v>256.66666666666669</v>
      </c>
      <c r="I16" s="7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108.12</v>
      </c>
      <c r="L16" s="13">
        <f>VLOOKUP(A16,'Données projet'!$A$35:$I$55,9,0)</f>
        <v>20.400000000000006</v>
      </c>
      <c r="M16" s="13">
        <f t="array" ref="M16">INDEX(L:L,MIN(IF(ISNUMBER(L16:L212),ROW(L16:L212),"")))</f>
        <v>20.400000000000006</v>
      </c>
      <c r="N16" s="14">
        <f>IF('Données projet'!$A$36&gt;35,N15+M16-V15,IF(A16&lt;'Données projet'!$A$36,$K$205^A16,IF(A16='Données projet'!$A$36,'Données projet'!$B$36,N15+M16-V15)))</f>
        <v>108.12</v>
      </c>
      <c r="O16" s="14">
        <f>N16*VLOOKUP('Données projet'!$B$9,Paramètres!$A$1:$I$89,3,0)*VLOOKUP('Données projet'!$B$9,Paramètres!$A$1:$I$89,5,0)</f>
        <v>54.985507200000008</v>
      </c>
      <c r="P16" s="14">
        <f t="shared" si="33"/>
        <v>15.894080405596414</v>
      </c>
      <c r="Q16" s="22">
        <f t="shared" si="2"/>
        <v>123.44861507974711</v>
      </c>
      <c r="R16" s="60">
        <f t="shared" si="0"/>
        <v>396.00417063530267</v>
      </c>
      <c r="S16" s="60">
        <f ca="1">AVERAGE(OFFSET($R$3,0,0,'Données projet'!$E$9+1,1))-AVERAGE(OFFSET($H$3,0,0,'Données projet'!$E$9+1,1))</f>
        <v>64.775385872852041</v>
      </c>
      <c r="T16" s="60">
        <f t="shared" si="34"/>
        <v>201.69061202990468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11.511979134151852</v>
      </c>
      <c r="AK16" s="14">
        <f t="shared" si="35"/>
        <v>3.9919417855793822</v>
      </c>
      <c r="AL16" s="22">
        <f t="shared" si="4"/>
        <v>27.002662268531896</v>
      </c>
      <c r="AM16" s="60">
        <f t="shared" si="5"/>
        <v>299.55821782408742</v>
      </c>
      <c r="AN16" s="60">
        <f ca="1">AVERAGE(OFFSET($AM$3,0,0,'Données projet'!$E$10+1,1))-AVERAGE(OFFSET($H$3,0,0,'Données projet'!$E$10+1,1))</f>
        <v>475.47920969424894</v>
      </c>
      <c r="AO16" s="60">
        <f t="shared" si="36"/>
        <v>271.73544012419364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7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7.4312217194570129</v>
      </c>
      <c r="BD16" s="13">
        <f>IF('Données projet'!$A$88&gt;35,BD15+BC16-BL15,IF(A16&lt;'Données projet'!$A$88,$BA$205^A16,IF(A16='Données projet'!$A$88,'Données projet'!$B$88,BD15+BC16-BL15)))</f>
        <v>40.460980378841768</v>
      </c>
      <c r="BE16" s="14">
        <f>BD16*VLOOKUP('Données projet'!$B$11,Paramètres!$A$1:$I$89,3,0)*VLOOKUP('Données projet'!$B$11,Paramètres!$A$1:$I$89,5,0)</f>
        <v>24.195666266547377</v>
      </c>
      <c r="BF16" s="14">
        <f t="shared" si="37"/>
        <v>7.6952475537219458</v>
      </c>
      <c r="BG16" s="22">
        <f t="shared" si="7"/>
        <v>55.543341570302402</v>
      </c>
      <c r="BH16" s="60">
        <f t="shared" si="8"/>
        <v>328.09889712585795</v>
      </c>
      <c r="BI16" s="60">
        <f ca="1">AVERAGE(OFFSET($BH$3,0,0,'Données projet'!$E$11+1,1))-AVERAGE(OFFSET($H$3,0,0,'Données projet'!$E$11+1,1))</f>
        <v>260.02504691866199</v>
      </c>
      <c r="BJ16" s="60">
        <f t="shared" si="38"/>
        <v>270.11268336406368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3.4425641025641025</v>
      </c>
      <c r="BY16" s="13">
        <f>IF('Données projet'!$A$114&gt;35,BY15+BX16-CG15,IF(A16&lt;'Données projet'!$A$114,$BV$205^A16,IF(A16='Données projet'!$A$114,'Données projet'!$B$114,BY15+BX16-CG15)))</f>
        <v>7.459930119048451</v>
      </c>
      <c r="BZ16" s="14">
        <f>BY16*VLOOKUP('Données projet'!$B$12,Paramètres!$A$1:$I$89,3,0)*VLOOKUP('Données projet'!$B$12,Paramètres!$A$1:$I$89,5,0)</f>
        <v>3.4912472957146754</v>
      </c>
      <c r="CA16" s="14">
        <f t="shared" si="39"/>
        <v>1.3910083400895945</v>
      </c>
      <c r="CB16" s="22">
        <f t="shared" si="10"/>
        <v>8.5032618990257713</v>
      </c>
      <c r="CC16" s="60">
        <f t="shared" si="11"/>
        <v>281.05881745458129</v>
      </c>
      <c r="CD16" s="60">
        <f ca="1">AVERAGE(OFFSET($CC$3,0,0,'Données projet'!$E$12+1,1))-AVERAGE(OFFSET($H$3,0,0,'Données projet'!$E$12+1,1))</f>
        <v>246.72166704460847</v>
      </c>
      <c r="CE16" s="60">
        <f t="shared" si="40"/>
        <v>145.54897745089966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2.1</v>
      </c>
      <c r="CT16" s="13">
        <f>IF('Données projet'!$A$140&gt;35,CT15+CS16-DB15,IF(A16&lt;'Données projet'!$A$140,$CQ$205^A16,IF(A16='Données projet'!$A$140,'Données projet'!$B$140,CT15+CS16-DB15)))</f>
        <v>11.35303662145153</v>
      </c>
      <c r="CU16" s="18">
        <f>CT16*VLOOKUP('Données projet'!$B$13,Paramètres!$A$1:$I$89,3,0)*VLOOKUP('Données projet'!$B$13,Paramètres!$A$1:$I$89,5,0)</f>
        <v>10.272227535089344</v>
      </c>
      <c r="CV16" s="14">
        <f t="shared" si="41"/>
        <v>3.6095987912522753</v>
      </c>
      <c r="CW16" s="22">
        <f t="shared" si="13"/>
        <v>24.177514185044988</v>
      </c>
      <c r="CX16" s="60">
        <f t="shared" si="14"/>
        <v>296.73306974060051</v>
      </c>
      <c r="CY16" s="60">
        <f ca="1">AVERAGE(OFFSET($CX$3,0,0,'Données projet'!$E$13+1,1))-AVERAGE(OFFSET($H$3,0,0,'Données projet'!$E$13+1,1))</f>
        <v>428.8489304403459</v>
      </c>
      <c r="CZ16" s="60">
        <f t="shared" si="42"/>
        <v>247.01165577562966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2.0085470085470085</v>
      </c>
      <c r="DO16" s="13">
        <f>IF('Données projet'!$A$166&gt;35,DO15+DN16-DW15,IF(A16&lt;'Données projet'!$A$166,$DL$205^A16,IF(A16='Données projet'!$A$166,'Données projet'!$B$166,DO15+DN16-DW15)))</f>
        <v>19.132724808582047</v>
      </c>
      <c r="DP16" s="18">
        <f>DO16*VLOOKUP('Données projet'!$B$14,Paramètres!$A$1:$I$89,3,0)*VLOOKUP('Données projet'!$B$14,Paramètres!$A$1:$I$89,5,0)</f>
        <v>19.997523969929958</v>
      </c>
      <c r="DQ16" s="14">
        <f t="shared" si="43"/>
        <v>6.5027140709684383</v>
      </c>
      <c r="DR16" s="22">
        <f t="shared" si="16"/>
        <v>46.154581254564704</v>
      </c>
      <c r="DS16" s="60">
        <f t="shared" si="17"/>
        <v>318.71013681012028</v>
      </c>
      <c r="DT16" s="60">
        <f ca="1">AVERAGE(OFFSET($DS$3,0,0,'Données projet'!$E$14+1,1))-AVERAGE(OFFSET($H$3,0,0,'Données projet'!$E$14+1,1))</f>
        <v>493.70175665335978</v>
      </c>
      <c r="DU16" s="60">
        <f t="shared" si="44"/>
        <v>325.12357781685949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2.1333333333333333</v>
      </c>
      <c r="EJ16" s="13">
        <f>IF('Données projet'!$A$192&gt;35,EJ15+EI16-ER15,IF(A16&lt;'Données projet'!$A$192,$EG$205^A16,IF(A16='Données projet'!$A$192,'Données projet'!$B$192,EJ15+EI16-ER15)))</f>
        <v>20.158736798317982</v>
      </c>
      <c r="EK16" s="18">
        <f>EJ16*VLOOKUP('Données projet'!$B$15,Paramètres!$A$1:$I$89,3,0)*VLOOKUP('Données projet'!$B$15,Paramètres!$A$1:$I$89,5,0)</f>
        <v>16.352767290795548</v>
      </c>
      <c r="EL16" s="14">
        <f t="shared" si="45"/>
        <v>5.4435385035303101</v>
      </c>
      <c r="EM16" s="22">
        <f t="shared" si="19"/>
        <v>37.961899258450863</v>
      </c>
      <c r="EN16" s="60">
        <f t="shared" si="20"/>
        <v>310.51745481400638</v>
      </c>
      <c r="EO16" s="60">
        <f ca="1">AVERAGE(OFFSET($EN$3,0,0,'Données projet'!$E$15+1,1))-AVERAGE(OFFSET($H$3,0,0,'Données projet'!$E$15+1,1))</f>
        <v>236.22643401787644</v>
      </c>
      <c r="EP16" s="60">
        <f t="shared" si="46"/>
        <v>188.80444043778022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1.05</v>
      </c>
      <c r="FE16" s="13">
        <f>IF('Données projet'!$A$218&gt;35,FE15+FD16-FM15,IF(A16&lt;'Données projet'!$A$218,$FB$205^A16,IF(A16='Données projet'!$A$218,'Données projet'!$B$218,FE15+FD16-FM15)))</f>
        <v>7.235066739107908</v>
      </c>
      <c r="FF16" s="18">
        <f>FE16*VLOOKUP('Données projet'!$B$16,Paramètres!$A$1:$I$89,3,0)*VLOOKUP('Données projet'!$B$16,Paramètres!$A$1:$I$89,5,0)</f>
        <v>6.9977565500651693</v>
      </c>
      <c r="FG16" s="14">
        <f t="shared" si="47"/>
        <v>2.5713292287622704</v>
      </c>
      <c r="FH16" s="22">
        <f t="shared" si="22"/>
        <v>16.666157731457787</v>
      </c>
      <c r="FI16" s="60">
        <f t="shared" si="23"/>
        <v>289.22171328701336</v>
      </c>
      <c r="FJ16" s="60">
        <f ca="1">AVERAGE(OFFSET($FI$3,0,0,'Données projet'!$E$16+1,1))-AVERAGE(OFFSET($H$3,0,0,'Données projet'!$E$16+1,1))</f>
        <v>255.59755832175625</v>
      </c>
      <c r="FK16" s="60">
        <f t="shared" si="48"/>
        <v>154.0840647586964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0" t="e">
        <f t="shared" si="26"/>
        <v>#N/A</v>
      </c>
      <c r="GE16" s="60" t="e">
        <f ca="1">AVERAGE(OFFSET($GD$3,0,0,'Données projet'!$E$17+1,1))-AVERAGE(OFFSET($H$3,0,0,'Données projet'!$E$17+1,1))</f>
        <v>#N/A</v>
      </c>
      <c r="GF16" s="60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7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0" t="e">
        <f t="shared" si="29"/>
        <v>#N/A</v>
      </c>
      <c r="GZ16" s="60" t="e">
        <f ca="1">AVERAGE(OFFSET($GY$3,0,0,'Données projet'!$E$18+1,1))-AVERAGE(OFFSET($H$3,0,0,'Données projet'!$E$18+1,1))</f>
        <v>#N/A</v>
      </c>
      <c r="HA16" s="60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5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68">
        <f t="shared" si="1"/>
        <v>256.66666666666669</v>
      </c>
      <c r="I17" s="7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>
        <f>VLOOKUP(A17,'Données projet'!$A$35:$I$55,2,0)</f>
        <v>126.48</v>
      </c>
      <c r="L17" s="13">
        <f>VLOOKUP(A17,'Données projet'!$A$35:$I$55,9,0)</f>
        <v>18.36</v>
      </c>
      <c r="M17" s="13">
        <f t="array" ref="M17">INDEX(L:L,MIN(IF(ISNUMBER(L17:L213),ROW(L17:L213),"")))</f>
        <v>18.36</v>
      </c>
      <c r="N17" s="14">
        <f>IF('Données projet'!$A$36&gt;35,N16+M17-V16,IF(A17&lt;'Données projet'!$A$36,$K$205^A17,IF(A17='Données projet'!$A$36,'Données projet'!$B$36,N16+M17-V16)))</f>
        <v>126.48</v>
      </c>
      <c r="O17" s="14">
        <f>N17*VLOOKUP('Données projet'!$B$9,Paramètres!$A$1:$I$89,3,0)*VLOOKUP('Données projet'!$B$9,Paramètres!$A$1:$I$89,5,0)</f>
        <v>64.322668800000002</v>
      </c>
      <c r="P17" s="14">
        <f t="shared" si="33"/>
        <v>18.256711140939668</v>
      </c>
      <c r="Q17" s="22">
        <f t="shared" si="2"/>
        <v>143.82575339713659</v>
      </c>
      <c r="R17" s="60">
        <f t="shared" si="0"/>
        <v>417.60353117491434</v>
      </c>
      <c r="S17" s="60">
        <f ca="1">AVERAGE(OFFSET($R$3,0,0,'Données projet'!$E$9+1,1))-AVERAGE(OFFSET($H$3,0,0,'Données projet'!$E$9+1,1))</f>
        <v>64.775385872852041</v>
      </c>
      <c r="T17" s="60">
        <f t="shared" si="34"/>
        <v>201.69061202990468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13.877539056685173</v>
      </c>
      <c r="AK17" s="14">
        <f t="shared" si="35"/>
        <v>4.7086819085950955</v>
      </c>
      <c r="AL17" s="22">
        <f t="shared" si="4"/>
        <v>32.371001514529802</v>
      </c>
      <c r="AM17" s="60">
        <f t="shared" si="5"/>
        <v>306.14877929230755</v>
      </c>
      <c r="AN17" s="60">
        <f ca="1">AVERAGE(OFFSET($AM$3,0,0,'Données projet'!$E$10+1,1))-AVERAGE(OFFSET($H$3,0,0,'Données projet'!$E$10+1,1))</f>
        <v>475.47920969424894</v>
      </c>
      <c r="AO17" s="60">
        <f t="shared" si="36"/>
        <v>271.73544012419364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7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7.4312217194570129</v>
      </c>
      <c r="BD17" s="13">
        <f>IF('Données projet'!$A$88&gt;35,BD16+BC17-BL16,IF(A17&lt;'Données projet'!$A$88,$BA$205^A17,IF(A17='Données projet'!$A$88,'Données projet'!$B$88,BD16+BC17-BL16)))</f>
        <v>53.784184291233551</v>
      </c>
      <c r="BE17" s="14">
        <f>BD17*VLOOKUP('Données projet'!$B$11,Paramètres!$A$1:$I$89,3,0)*VLOOKUP('Données projet'!$B$11,Paramètres!$A$1:$I$89,5,0)</f>
        <v>32.162942206157666</v>
      </c>
      <c r="BF17" s="14">
        <f t="shared" si="37"/>
        <v>9.8958162734145461</v>
      </c>
      <c r="BG17" s="22">
        <f t="shared" si="7"/>
        <v>73.252337685254929</v>
      </c>
      <c r="BH17" s="60">
        <f t="shared" si="8"/>
        <v>347.0301154630327</v>
      </c>
      <c r="BI17" s="60">
        <f ca="1">AVERAGE(OFFSET($BH$3,0,0,'Données projet'!$E$11+1,1))-AVERAGE(OFFSET($H$3,0,0,'Données projet'!$E$11+1,1))</f>
        <v>260.02504691866199</v>
      </c>
      <c r="BJ17" s="60">
        <f t="shared" si="38"/>
        <v>270.11268336406368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3.4425641025641025</v>
      </c>
      <c r="BY17" s="13">
        <f>IF('Données projet'!$A$114&gt;35,BY16+BX17-CG16,IF(A17&lt;'Données projet'!$A$114,$BV$205^A17,IF(A17='Données projet'!$A$114,'Données projet'!$B$114,BY16+BX17-CG16)))</f>
        <v>8.7069931392376674</v>
      </c>
      <c r="BZ17" s="14">
        <f>BY17*VLOOKUP('Données projet'!$B$12,Paramètres!$A$1:$I$89,3,0)*VLOOKUP('Données projet'!$B$12,Paramètres!$A$1:$I$89,5,0)</f>
        <v>4.0748727891632281</v>
      </c>
      <c r="CA17" s="14">
        <f t="shared" si="39"/>
        <v>1.5945892948181934</v>
      </c>
      <c r="CB17" s="22">
        <f t="shared" si="10"/>
        <v>9.8743131296009761</v>
      </c>
      <c r="CC17" s="60">
        <f t="shared" si="11"/>
        <v>283.65209090737875</v>
      </c>
      <c r="CD17" s="60">
        <f ca="1">AVERAGE(OFFSET($CC$3,0,0,'Données projet'!$E$12+1,1))-AVERAGE(OFFSET($H$3,0,0,'Données projet'!$E$12+1,1))</f>
        <v>246.72166704460847</v>
      </c>
      <c r="CE17" s="60">
        <f t="shared" si="40"/>
        <v>145.54897745089966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2.1</v>
      </c>
      <c r="CT17" s="13">
        <f>IF('Données projet'!$A$140&gt;35,CT16+CS17-DB16,IF(A17&lt;'Données projet'!$A$140,$CQ$205^A17,IF(A17='Données projet'!$A$140,'Données projet'!$B$140,CT16+CS17-DB16)))</f>
        <v>13.685935953338433</v>
      </c>
      <c r="CU17" s="18">
        <f>CT17*VLOOKUP('Données projet'!$B$13,Paramètres!$A$1:$I$89,3,0)*VLOOKUP('Données projet'!$B$13,Paramètres!$A$1:$I$89,5,0)</f>
        <v>12.383034850580612</v>
      </c>
      <c r="CV17" s="14">
        <f t="shared" si="41"/>
        <v>4.2576904771143838</v>
      </c>
      <c r="CW17" s="22">
        <f t="shared" si="13"/>
        <v>28.982596612402116</v>
      </c>
      <c r="CX17" s="60">
        <f t="shared" si="14"/>
        <v>302.76037439017989</v>
      </c>
      <c r="CY17" s="60">
        <f ca="1">AVERAGE(OFFSET($CX$3,0,0,'Données projet'!$E$13+1,1))-AVERAGE(OFFSET($H$3,0,0,'Données projet'!$E$13+1,1))</f>
        <v>428.8489304403459</v>
      </c>
      <c r="CZ17" s="60">
        <f t="shared" si="42"/>
        <v>247.01165577562966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2.0085470085470085</v>
      </c>
      <c r="DO17" s="13">
        <f>IF('Données projet'!$A$166&gt;35,DO16+DN17-DW16,IF(A17&lt;'Données projet'!$A$166,$DL$205^A17,IF(A17='Données projet'!$A$166,'Données projet'!$B$166,DO16+DN17-DW16)))</f>
        <v>24.009053660951697</v>
      </c>
      <c r="DP17" s="18">
        <f>DO17*VLOOKUP('Données projet'!$B$14,Paramètres!$A$1:$I$89,3,0)*VLOOKUP('Données projet'!$B$14,Paramètres!$A$1:$I$89,5,0)</f>
        <v>25.094262886426712</v>
      </c>
      <c r="DQ17" s="14">
        <f t="shared" si="43"/>
        <v>7.9472347747017285</v>
      </c>
      <c r="DR17" s="22">
        <f t="shared" si="16"/>
        <v>57.547275093132022</v>
      </c>
      <c r="DS17" s="60">
        <f t="shared" si="17"/>
        <v>331.32505287090981</v>
      </c>
      <c r="DT17" s="60">
        <f ca="1">AVERAGE(OFFSET($DS$3,0,0,'Données projet'!$E$14+1,1))-AVERAGE(OFFSET($H$3,0,0,'Données projet'!$E$14+1,1))</f>
        <v>493.70175665335978</v>
      </c>
      <c r="DU17" s="60">
        <f t="shared" si="44"/>
        <v>325.12357781685949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2.1333333333333333</v>
      </c>
      <c r="EJ17" s="13">
        <f>IF('Données projet'!$A$192&gt;35,EJ16+EI17-ER16,IF(A17&lt;'Données projet'!$A$192,$EG$205^A17,IF(A17='Données projet'!$A$192,'Données projet'!$B$192,EJ16+EI17-ER16)))</f>
        <v>25.398416831491208</v>
      </c>
      <c r="EK17" s="18">
        <f>EJ17*VLOOKUP('Données projet'!$B$15,Paramètres!$A$1:$I$89,3,0)*VLOOKUP('Données projet'!$B$15,Paramètres!$A$1:$I$89,5,0)</f>
        <v>20.603195733705668</v>
      </c>
      <c r="EL17" s="14">
        <f t="shared" si="45"/>
        <v>6.6764356459080147</v>
      </c>
      <c r="EM17" s="22">
        <f t="shared" si="19"/>
        <v>47.512024652827165</v>
      </c>
      <c r="EN17" s="60">
        <f t="shared" si="20"/>
        <v>321.28980243060494</v>
      </c>
      <c r="EO17" s="60">
        <f ca="1">AVERAGE(OFFSET($EN$3,0,0,'Données projet'!$E$15+1,1))-AVERAGE(OFFSET($H$3,0,0,'Données projet'!$E$15+1,1))</f>
        <v>236.22643401787644</v>
      </c>
      <c r="EP17" s="60">
        <f t="shared" si="46"/>
        <v>188.80444043778022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1.05</v>
      </c>
      <c r="FE17" s="13">
        <f>IF('Données projet'!$A$218&gt;35,FE16+FD17-FM16,IF(A17&lt;'Données projet'!$A$218,$FB$205^A17,IF(A17='Données projet'!$A$218,'Données projet'!$B$218,FE16+FD17-FM16)))</f>
        <v>8.4246817951744681</v>
      </c>
      <c r="FF17" s="18">
        <f>FE17*VLOOKUP('Données projet'!$B$16,Paramètres!$A$1:$I$89,3,0)*VLOOKUP('Données projet'!$B$16,Paramètres!$A$1:$I$89,5,0)</f>
        <v>8.148352232292746</v>
      </c>
      <c r="FG17" s="14">
        <f t="shared" si="47"/>
        <v>2.9415303588242718</v>
      </c>
      <c r="FH17" s="22">
        <f t="shared" si="22"/>
        <v>19.314878846195473</v>
      </c>
      <c r="FI17" s="60">
        <f t="shared" si="23"/>
        <v>293.09265662397326</v>
      </c>
      <c r="FJ17" s="60">
        <f ca="1">AVERAGE(OFFSET($FI$3,0,0,'Données projet'!$E$16+1,1))-AVERAGE(OFFSET($H$3,0,0,'Données projet'!$E$16+1,1))</f>
        <v>255.59755832175625</v>
      </c>
      <c r="FK17" s="60">
        <f t="shared" si="48"/>
        <v>154.0840647586964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0" t="e">
        <f t="shared" si="26"/>
        <v>#N/A</v>
      </c>
      <c r="GE17" s="60" t="e">
        <f ca="1">AVERAGE(OFFSET($GD$3,0,0,'Données projet'!$E$17+1,1))-AVERAGE(OFFSET($H$3,0,0,'Données projet'!$E$17+1,1))</f>
        <v>#N/A</v>
      </c>
      <c r="GF17" s="60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7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0" t="e">
        <f t="shared" si="29"/>
        <v>#N/A</v>
      </c>
      <c r="GZ17" s="60" t="e">
        <f ca="1">AVERAGE(OFFSET($GY$3,0,0,'Données projet'!$E$18+1,1))-AVERAGE(OFFSET($H$3,0,0,'Données projet'!$E$18+1,1))</f>
        <v>#N/A</v>
      </c>
      <c r="HA17" s="60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5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68">
        <f t="shared" si="1"/>
        <v>256.66666666666669</v>
      </c>
      <c r="I18" s="7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144.84</v>
      </c>
      <c r="L18" s="13">
        <f>VLOOKUP(A18,'Données projet'!$A$35:$I$55,9,0)</f>
        <v>18.36</v>
      </c>
      <c r="M18" s="13">
        <f t="array" ref="M18">INDEX(L:L,MIN(IF(ISNUMBER(L18:L214),ROW(L18:L214),"")))</f>
        <v>18.36</v>
      </c>
      <c r="N18" s="14">
        <f>IF('Données projet'!$A$36&gt;35,N17+M18-V17,IF(A18&lt;'Données projet'!$A$36,$K$205^A18,IF(A18='Données projet'!$A$36,'Données projet'!$B$36,N17+M18-V17)))</f>
        <v>144.84</v>
      </c>
      <c r="O18" s="14">
        <f>N18*VLOOKUP('Données projet'!$B$9,Paramètres!$A$1:$I$89,3,0)*VLOOKUP('Données projet'!$B$9,Paramètres!$A$1:$I$89,5,0)</f>
        <v>73.659830400000004</v>
      </c>
      <c r="P18" s="14">
        <f t="shared" si="33"/>
        <v>20.579609241023473</v>
      </c>
      <c r="Q18" s="22">
        <f t="shared" si="2"/>
        <v>164.13369070811589</v>
      </c>
      <c r="R18" s="60">
        <f t="shared" si="0"/>
        <v>439.13369070811586</v>
      </c>
      <c r="S18" s="60">
        <f ca="1">AVERAGE(OFFSET($R$3,0,0,'Données projet'!$E$9+1,1))-AVERAGE(OFFSET($H$3,0,0,'Données projet'!$E$9+1,1))</f>
        <v>64.775385872852041</v>
      </c>
      <c r="T18" s="60">
        <f t="shared" si="34"/>
        <v>201.69061202990468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16.729190352551068</v>
      </c>
      <c r="AK18" s="14">
        <f t="shared" si="35"/>
        <v>5.5541103821765283</v>
      </c>
      <c r="AL18" s="22">
        <f t="shared" si="4"/>
        <v>38.810082112983899</v>
      </c>
      <c r="AM18" s="60">
        <f t="shared" si="5"/>
        <v>313.81008211298388</v>
      </c>
      <c r="AN18" s="60">
        <f ca="1">AVERAGE(OFFSET($AM$3,0,0,'Données projet'!$E$10+1,1))-AVERAGE(OFFSET($H$3,0,0,'Données projet'!$E$10+1,1))</f>
        <v>475.47920969424894</v>
      </c>
      <c r="AO18" s="60">
        <f t="shared" si="36"/>
        <v>271.73544012419364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7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7.4312217194570129</v>
      </c>
      <c r="BD18" s="13">
        <f>IF('Données projet'!$A$88&gt;35,BD17+BC18-BL17,IF(A18&lt;'Données projet'!$A$88,$BA$205^A18,IF(A18='Données projet'!$A$88,'Données projet'!$B$88,BD17+BC18-BL17)))</f>
        <v>71.494522692931866</v>
      </c>
      <c r="BE18" s="14">
        <f>BD18*VLOOKUP('Données projet'!$B$11,Paramètres!$A$1:$I$89,3,0)*VLOOKUP('Données projet'!$B$11,Paramètres!$A$1:$I$89,5,0)</f>
        <v>42.753724570373258</v>
      </c>
      <c r="BF18" s="14">
        <f t="shared" si="37"/>
        <v>12.725669841487028</v>
      </c>
      <c r="BG18" s="22">
        <f t="shared" si="7"/>
        <v>96.626611933989992</v>
      </c>
      <c r="BH18" s="60">
        <f t="shared" si="8"/>
        <v>371.62661193398998</v>
      </c>
      <c r="BI18" s="60">
        <f ca="1">AVERAGE(OFFSET($BH$3,0,0,'Données projet'!$E$11+1,1))-AVERAGE(OFFSET($H$3,0,0,'Données projet'!$E$11+1,1))</f>
        <v>260.02504691866199</v>
      </c>
      <c r="BJ18" s="60">
        <f t="shared" si="38"/>
        <v>270.11268336406368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3.4425641025641025</v>
      </c>
      <c r="BY18" s="13">
        <f>IF('Données projet'!$A$114&gt;35,BY17+BX18-CG17,IF(A18&lt;'Données projet'!$A$114,$BV$205^A18,IF(A18='Données projet'!$A$114,'Données projet'!$B$114,BY17+BX18-CG17)))</f>
        <v>10.162525428107084</v>
      </c>
      <c r="BZ18" s="14">
        <f>BY18*VLOOKUP('Données projet'!$B$12,Paramètres!$A$1:$I$89,3,0)*VLOOKUP('Données projet'!$B$12,Paramètres!$A$1:$I$89,5,0)</f>
        <v>4.7560619003541156</v>
      </c>
      <c r="CA18" s="14">
        <f t="shared" si="39"/>
        <v>1.8279653298016947</v>
      </c>
      <c r="CB18" s="22">
        <f t="shared" si="10"/>
        <v>11.467180759188034</v>
      </c>
      <c r="CC18" s="60">
        <f t="shared" si="11"/>
        <v>286.46718075918801</v>
      </c>
      <c r="CD18" s="60">
        <f ca="1">AVERAGE(OFFSET($CC$3,0,0,'Données projet'!$E$12+1,1))-AVERAGE(OFFSET($H$3,0,0,'Données projet'!$E$12+1,1))</f>
        <v>246.72166704460847</v>
      </c>
      <c r="CE18" s="60">
        <f t="shared" si="40"/>
        <v>145.54897745089966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2.1</v>
      </c>
      <c r="CT18" s="13">
        <f>IF('Données projet'!$A$140&gt;35,CT17+CS18-DB17,IF(A18&lt;'Données projet'!$A$140,$CQ$205^A18,IF(A18='Données projet'!$A$140,'Données projet'!$B$140,CT17+CS18-DB17)))</f>
        <v>16.498215337821566</v>
      </c>
      <c r="CU18" s="18">
        <f>CT18*VLOOKUP('Données projet'!$B$13,Paramètres!$A$1:$I$89,3,0)*VLOOKUP('Données projet'!$B$13,Paramètres!$A$1:$I$89,5,0)</f>
        <v>14.927585237660953</v>
      </c>
      <c r="CV18" s="14">
        <f t="shared" si="41"/>
        <v>5.0221449106318534</v>
      </c>
      <c r="CW18" s="22">
        <f t="shared" si="13"/>
        <v>34.745780008276633</v>
      </c>
      <c r="CX18" s="60">
        <f t="shared" si="14"/>
        <v>309.74578000827665</v>
      </c>
      <c r="CY18" s="60">
        <f ca="1">AVERAGE(OFFSET($CX$3,0,0,'Données projet'!$E$13+1,1))-AVERAGE(OFFSET($H$3,0,0,'Données projet'!$E$13+1,1))</f>
        <v>428.8489304403459</v>
      </c>
      <c r="CZ18" s="60">
        <f t="shared" si="42"/>
        <v>247.01165577562966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30.128205128205128</v>
      </c>
      <c r="DM18" s="13">
        <f>VLOOKUP(A18,'Données projet'!$A$165:$I$185,9,0)</f>
        <v>2.0085470085470085</v>
      </c>
      <c r="DN18" s="13">
        <f t="array" ref="DN18">INDEX(DM:DM,MIN(IF(ISNUMBER(DM18:DM214),ROW(DM18:DM214),"")))</f>
        <v>2.0085470085470085</v>
      </c>
      <c r="DO18" s="13">
        <f>IF('Données projet'!$A$166&gt;35,DO17+DN18-DW17,IF(A18&lt;'Données projet'!$A$166,$DL$205^A18,IF(A18='Données projet'!$A$166,'Données projet'!$B$166,DO17+DN18-DW17)))</f>
        <v>30.128205128205128</v>
      </c>
      <c r="DP18" s="18">
        <f>DO18*VLOOKUP('Données projet'!$B$14,Paramètres!$A$1:$I$89,3,0)*VLOOKUP('Données projet'!$B$14,Paramètres!$A$1:$I$89,5,0)</f>
        <v>31.490000000000006</v>
      </c>
      <c r="DQ18" s="14">
        <f t="shared" si="43"/>
        <v>9.7126430402655597</v>
      </c>
      <c r="DR18" s="22">
        <f t="shared" si="16"/>
        <v>71.761269961795847</v>
      </c>
      <c r="DS18" s="60">
        <f t="shared" si="17"/>
        <v>346.76126996179585</v>
      </c>
      <c r="DT18" s="60">
        <f ca="1">AVERAGE(OFFSET($DS$3,0,0,'Données projet'!$E$14+1,1))-AVERAGE(OFFSET($H$3,0,0,'Données projet'!$E$14+1,1))</f>
        <v>493.70175665335978</v>
      </c>
      <c r="DU18" s="60">
        <f t="shared" si="44"/>
        <v>325.12357781685949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32</v>
      </c>
      <c r="EH18" s="13">
        <f>VLOOKUP(A18,'Données projet'!$A$191:$I$211,9,0)</f>
        <v>2.1333333333333333</v>
      </c>
      <c r="EI18" s="13">
        <f t="array" ref="EI18">INDEX(EH:EH,MIN(IF(ISNUMBER(EH18:EH214),ROW(EH18:EH214),"")))</f>
        <v>2.1333333333333333</v>
      </c>
      <c r="EJ18" s="13">
        <f>IF('Données projet'!$A$192&gt;35,EJ17+EI18-ER17,IF(A18&lt;'Données projet'!$A$192,$EG$205^A18,IF(A18='Données projet'!$A$192,'Données projet'!$B$192,EJ17+EI18-ER17)))</f>
        <v>32</v>
      </c>
      <c r="EK18" s="18">
        <f>EJ18*VLOOKUP('Données projet'!$B$15,Paramètres!$A$1:$I$89,3,0)*VLOOKUP('Données projet'!$B$15,Paramètres!$A$1:$I$89,5,0)</f>
        <v>25.958400000000001</v>
      </c>
      <c r="EL18" s="14">
        <f t="shared" si="45"/>
        <v>8.1885694213502802</v>
      </c>
      <c r="EM18" s="22">
        <f t="shared" si="19"/>
        <v>59.472638408851729</v>
      </c>
      <c r="EN18" s="60">
        <f t="shared" si="20"/>
        <v>334.47263840885171</v>
      </c>
      <c r="EO18" s="60">
        <f ca="1">AVERAGE(OFFSET($EN$3,0,0,'Données projet'!$E$15+1,1))-AVERAGE(OFFSET($H$3,0,0,'Données projet'!$E$15+1,1))</f>
        <v>236.22643401787644</v>
      </c>
      <c r="EP18" s="60">
        <f t="shared" si="46"/>
        <v>188.80444043778022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1.05</v>
      </c>
      <c r="FE18" s="13">
        <f>IF('Données projet'!$A$218&gt;35,FE17+FD18-FM17,IF(A18&lt;'Données projet'!$A$218,$FB$205^A18,IF(A18='Données projet'!$A$218,'Données projet'!$B$218,FE17+FD18-FM17)))</f>
        <v>9.8098975322922115</v>
      </c>
      <c r="FF18" s="18">
        <f>FE18*VLOOKUP('Données projet'!$B$16,Paramètres!$A$1:$I$89,3,0)*VLOOKUP('Données projet'!$B$16,Paramètres!$A$1:$I$89,5,0)</f>
        <v>9.4881328932330273</v>
      </c>
      <c r="FG18" s="14">
        <f t="shared" si="47"/>
        <v>3.3650303333773621</v>
      </c>
      <c r="FH18" s="22">
        <f t="shared" si="22"/>
        <v>22.385925953013096</v>
      </c>
      <c r="FI18" s="60">
        <f t="shared" si="23"/>
        <v>297.3859259530131</v>
      </c>
      <c r="FJ18" s="60">
        <f ca="1">AVERAGE(OFFSET($FI$3,0,0,'Données projet'!$E$16+1,1))-AVERAGE(OFFSET($H$3,0,0,'Données projet'!$E$16+1,1))</f>
        <v>255.59755832175625</v>
      </c>
      <c r="FK18" s="60">
        <f t="shared" si="48"/>
        <v>154.0840647586964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0" t="e">
        <f t="shared" si="26"/>
        <v>#N/A</v>
      </c>
      <c r="GE18" s="60" t="e">
        <f ca="1">AVERAGE(OFFSET($GD$3,0,0,'Données projet'!$E$17+1,1))-AVERAGE(OFFSET($H$3,0,0,'Données projet'!$E$17+1,1))</f>
        <v>#N/A</v>
      </c>
      <c r="GF18" s="60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7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0" t="e">
        <f t="shared" si="29"/>
        <v>#N/A</v>
      </c>
      <c r="GZ18" s="60" t="e">
        <f ca="1">AVERAGE(OFFSET($GY$3,0,0,'Données projet'!$E$18+1,1))-AVERAGE(OFFSET($H$3,0,0,'Données projet'!$E$18+1,1))</f>
        <v>#N/A</v>
      </c>
      <c r="HA18" s="60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5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68">
        <f t="shared" si="1"/>
        <v>256.66666666666669</v>
      </c>
      <c r="I19" s="7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>
        <f>VLOOKUP(A19,'Données projet'!$A$35:$I$55,2,0)</f>
        <v>161.16</v>
      </c>
      <c r="L19" s="13">
        <f>VLOOKUP(A19,'Données projet'!$A$35:$I$55,9,0)</f>
        <v>16.319999999999993</v>
      </c>
      <c r="M19" s="13">
        <f t="array" ref="M19">INDEX(L:L,MIN(IF(ISNUMBER(L19:L215),ROW(L19:L215),"")))</f>
        <v>16.319999999999993</v>
      </c>
      <c r="N19" s="14">
        <f>IF('Données projet'!$A$36&gt;35,N18+M19-V18,IF(A19&lt;'Données projet'!$A$36,$K$205^A19,IF(A19='Données projet'!$A$36,'Données projet'!$B$36,N18+M19-V18)))</f>
        <v>161.16</v>
      </c>
      <c r="O19" s="14">
        <f>N19*VLOOKUP('Données projet'!$B$9,Paramètres!$A$1:$I$89,3,0)*VLOOKUP('Données projet'!$B$9,Paramètres!$A$1:$I$89,5,0)</f>
        <v>81.959529599999996</v>
      </c>
      <c r="P19" s="14">
        <f t="shared" si="33"/>
        <v>22.615622442688519</v>
      </c>
      <c r="Q19" s="22">
        <f t="shared" si="2"/>
        <v>182.13505647434917</v>
      </c>
      <c r="R19" s="60">
        <f t="shared" si="0"/>
        <v>458.35727869657137</v>
      </c>
      <c r="S19" s="60">
        <f ca="1">AVERAGE(OFFSET($R$3,0,0,'Données projet'!$E$9+1,1))-AVERAGE(OFFSET($H$3,0,0,'Données projet'!$E$9+1,1))</f>
        <v>64.775385872852041</v>
      </c>
      <c r="T19" s="60">
        <f t="shared" si="34"/>
        <v>201.69061202990468</v>
      </c>
      <c r="U19" s="16">
        <f>IF(ISNA(VLOOKUP(A19,'Données projet'!$A$35:$I$55,3,0)),0,VLOOKUP(A19,'Données projet'!$A$35:$I$55,3,0))</f>
        <v>1</v>
      </c>
      <c r="V19" s="16">
        <f>IF(ISNA(VLOOKUP(A19,'Données projet'!$A$35:$I$55,4,0)),0,VLOOKUP(A19,'Données projet'!$A$35:$I$55,4,0))</f>
        <v>161.16</v>
      </c>
      <c r="W19" s="17">
        <f>IF(ISNA(VLOOKUP(A19,'Données projet'!$A$35:$I$55,5,0)),0%,VLOOKUP(A19,'Données projet'!$A$35:$I$55,5,0)*VLOOKUP('Données projet'!$B$9,Paramètres!$A$1:$I$89,7,0))</f>
        <v>0.46799999999999997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0.1</v>
      </c>
      <c r="Z19" s="23">
        <f>EXP(-LN(2)/35)*Z18+(1-EXP(-LN(2)/35))/(LN(2)/35)*V19*W19*VLOOKUP('Données projet'!$B$9,Paramètres!$A$1:$I$89,3,0)*0.475*44/12</f>
        <v>42.402593513242898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7.7331022085996972</v>
      </c>
      <c r="AC19" s="24">
        <f t="shared" si="3"/>
        <v>50.135695721842595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20.166818389681932</v>
      </c>
      <c r="AK19" s="14">
        <f t="shared" si="35"/>
        <v>6.5513327797938032</v>
      </c>
      <c r="AL19" s="22">
        <f t="shared" si="4"/>
        <v>46.534113286836906</v>
      </c>
      <c r="AM19" s="60">
        <f t="shared" si="5"/>
        <v>322.75633550905911</v>
      </c>
      <c r="AN19" s="60">
        <f ca="1">AVERAGE(OFFSET($AM$3,0,0,'Données projet'!$E$10+1,1))-AVERAGE(OFFSET($H$3,0,0,'Données projet'!$E$10+1,1))</f>
        <v>475.47920969424894</v>
      </c>
      <c r="AO19" s="60">
        <f t="shared" si="36"/>
        <v>271.73544012419364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7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7.4312217194570129</v>
      </c>
      <c r="BD19" s="13">
        <f>IF('Données projet'!$A$88&gt;35,BD18+BC19-BL18,IF(A19&lt;'Données projet'!$A$88,$BA$205^A19,IF(A19='Données projet'!$A$88,'Données projet'!$B$88,BD18+BC19-BL18)))</f>
        <v>95.036614247271999</v>
      </c>
      <c r="BE19" s="14">
        <f>BD19*VLOOKUP('Données projet'!$B$11,Paramètres!$A$1:$I$89,3,0)*VLOOKUP('Données projet'!$B$11,Paramètres!$A$1:$I$89,5,0)</f>
        <v>56.831895319868664</v>
      </c>
      <c r="BF19" s="14">
        <f t="shared" si="37"/>
        <v>16.364761474967661</v>
      </c>
      <c r="BG19" s="22">
        <f t="shared" si="7"/>
        <v>127.4841772510066</v>
      </c>
      <c r="BH19" s="60">
        <f t="shared" si="8"/>
        <v>403.70639947322883</v>
      </c>
      <c r="BI19" s="60">
        <f ca="1">AVERAGE(OFFSET($BH$3,0,0,'Données projet'!$E$11+1,1))-AVERAGE(OFFSET($H$3,0,0,'Données projet'!$E$11+1,1))</f>
        <v>260.02504691866199</v>
      </c>
      <c r="BJ19" s="60">
        <f t="shared" si="38"/>
        <v>270.11268336406368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3.4425641025641025</v>
      </c>
      <c r="BY19" s="13">
        <f>IF('Données projet'!$A$114&gt;35,BY18+BX19-CG18,IF(A19&lt;'Données projet'!$A$114,$BV$205^A19,IF(A19='Données projet'!$A$114,'Données projet'!$B$114,BY18+BX19-CG18)))</f>
        <v>11.861376416102864</v>
      </c>
      <c r="BZ19" s="14">
        <f>BY19*VLOOKUP('Données projet'!$B$12,Paramètres!$A$1:$I$89,3,0)*VLOOKUP('Données projet'!$B$12,Paramètres!$A$1:$I$89,5,0)</f>
        <v>5.5511241627361398</v>
      </c>
      <c r="CA19" s="14">
        <f t="shared" si="39"/>
        <v>2.0954971024924585</v>
      </c>
      <c r="CB19" s="22">
        <f t="shared" si="10"/>
        <v>13.31786537027314</v>
      </c>
      <c r="CC19" s="60">
        <f t="shared" si="11"/>
        <v>289.54008759249535</v>
      </c>
      <c r="CD19" s="60">
        <f ca="1">AVERAGE(OFFSET($CC$3,0,0,'Données projet'!$E$12+1,1))-AVERAGE(OFFSET($H$3,0,0,'Données projet'!$E$12+1,1))</f>
        <v>246.72166704460847</v>
      </c>
      <c r="CE19" s="60">
        <f t="shared" si="40"/>
        <v>145.54897745089966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2.1</v>
      </c>
      <c r="CT19" s="13">
        <f>IF('Données projet'!$A$140&gt;35,CT18+CS19-DB18,IF(A19&lt;'Données projet'!$A$140,$CQ$205^A19,IF(A19='Données projet'!$A$140,'Données projet'!$B$140,CT18+CS19-DB18)))</f>
        <v>19.888381054913147</v>
      </c>
      <c r="CU19" s="18">
        <f>CT19*VLOOKUP('Données projet'!$B$13,Paramètres!$A$1:$I$89,3,0)*VLOOKUP('Données projet'!$B$13,Paramètres!$A$1:$I$89,5,0)</f>
        <v>17.995007178485412</v>
      </c>
      <c r="CV19" s="14">
        <f t="shared" si="41"/>
        <v>5.9238546434872337</v>
      </c>
      <c r="CW19" s="22">
        <f t="shared" si="13"/>
        <v>41.658684339935689</v>
      </c>
      <c r="CX19" s="60">
        <f t="shared" si="14"/>
        <v>317.88090656215792</v>
      </c>
      <c r="CY19" s="60">
        <f ca="1">AVERAGE(OFFSET($CX$3,0,0,'Données projet'!$E$13+1,1))-AVERAGE(OFFSET($H$3,0,0,'Données projet'!$E$13+1,1))</f>
        <v>428.8489304403459</v>
      </c>
      <c r="CZ19" s="60">
        <f t="shared" si="42"/>
        <v>247.01165577562966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5.7692307692307683</v>
      </c>
      <c r="DO19" s="13">
        <f>IF('Données projet'!$A$166&gt;35,DO18+DN19-DW18,IF(A19&lt;'Données projet'!$A$166,$DL$205^A19,IF(A19='Données projet'!$A$166,'Données projet'!$B$166,DO18+DN19-DW18)))</f>
        <v>35.897435897435898</v>
      </c>
      <c r="DP19" s="18">
        <f>DO19*VLOOKUP('Données projet'!$B$14,Paramètres!$A$1:$I$89,3,0)*VLOOKUP('Données projet'!$B$14,Paramètres!$A$1:$I$89,5,0)</f>
        <v>37.520000000000003</v>
      </c>
      <c r="DQ19" s="14">
        <f t="shared" si="43"/>
        <v>11.338894152047692</v>
      </c>
      <c r="DR19" s="22">
        <f t="shared" si="16"/>
        <v>85.095907314816401</v>
      </c>
      <c r="DS19" s="60">
        <f t="shared" si="17"/>
        <v>361.31812953703866</v>
      </c>
      <c r="DT19" s="60">
        <f ca="1">AVERAGE(OFFSET($DS$3,0,0,'Données projet'!$E$14+1,1))-AVERAGE(OFFSET($H$3,0,0,'Données projet'!$E$14+1,1))</f>
        <v>493.70175665335978</v>
      </c>
      <c r="DU19" s="60">
        <f t="shared" si="44"/>
        <v>325.12357781685949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4.4000000000000004</v>
      </c>
      <c r="EJ19" s="13">
        <f>IF('Données projet'!$A$192&gt;35,EJ18+EI19-ER18,IF(A19&lt;'Données projet'!$A$192,$EG$205^A19,IF(A19='Données projet'!$A$192,'Données projet'!$B$192,EJ18+EI19-ER18)))</f>
        <v>36.4</v>
      </c>
      <c r="EK19" s="18">
        <f>EJ19*VLOOKUP('Données projet'!$B$15,Paramètres!$A$1:$I$89,3,0)*VLOOKUP('Données projet'!$B$15,Paramètres!$A$1:$I$89,5,0)</f>
        <v>29.527680000000004</v>
      </c>
      <c r="EL19" s="14">
        <f t="shared" si="45"/>
        <v>9.1758582733085685</v>
      </c>
      <c r="EM19" s="22">
        <f t="shared" si="19"/>
        <v>67.408662492679099</v>
      </c>
      <c r="EN19" s="60">
        <f t="shared" si="20"/>
        <v>343.6308847149013</v>
      </c>
      <c r="EO19" s="60">
        <f ca="1">AVERAGE(OFFSET($EN$3,0,0,'Données projet'!$E$15+1,1))-AVERAGE(OFFSET($H$3,0,0,'Données projet'!$E$15+1,1))</f>
        <v>236.22643401787644</v>
      </c>
      <c r="EP19" s="60">
        <f t="shared" si="46"/>
        <v>188.80444043778022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1.05</v>
      </c>
      <c r="FE19" s="13">
        <f>IF('Données projet'!$A$218&gt;35,FE18+FD19-FM18,IF(A19&lt;'Données projet'!$A$218,$FB$205^A19,IF(A19='Données projet'!$A$218,'Données projet'!$B$218,FE18+FD19-FM18)))</f>
        <v>11.42287530066646</v>
      </c>
      <c r="FF19" s="18">
        <f>FE19*VLOOKUP('Données projet'!$B$16,Paramètres!$A$1:$I$89,3,0)*VLOOKUP('Données projet'!$B$16,Paramètres!$A$1:$I$89,5,0)</f>
        <v>11.048204990804599</v>
      </c>
      <c r="FG19" s="14">
        <f t="shared" si="47"/>
        <v>3.8495027292785511</v>
      </c>
      <c r="FH19" s="22">
        <f t="shared" si="22"/>
        <v>25.946840945811488</v>
      </c>
      <c r="FI19" s="60">
        <f t="shared" si="23"/>
        <v>302.16906316803374</v>
      </c>
      <c r="FJ19" s="60">
        <f ca="1">AVERAGE(OFFSET($FI$3,0,0,'Données projet'!$E$16+1,1))-AVERAGE(OFFSET($H$3,0,0,'Données projet'!$E$16+1,1))</f>
        <v>255.59755832175625</v>
      </c>
      <c r="FK19" s="60">
        <f t="shared" si="48"/>
        <v>154.0840647586964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0" t="e">
        <f t="shared" si="26"/>
        <v>#N/A</v>
      </c>
      <c r="GE19" s="60" t="e">
        <f ca="1">AVERAGE(OFFSET($GD$3,0,0,'Données projet'!$E$17+1,1))-AVERAGE(OFFSET($H$3,0,0,'Données projet'!$E$17+1,1))</f>
        <v>#N/A</v>
      </c>
      <c r="GF19" s="60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7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0" t="e">
        <f t="shared" si="29"/>
        <v>#N/A</v>
      </c>
      <c r="GZ19" s="60" t="e">
        <f ca="1">AVERAGE(OFFSET($GY$3,0,0,'Données projet'!$E$18+1,1))-AVERAGE(OFFSET($H$3,0,0,'Données projet'!$E$18+1,1))</f>
        <v>#N/A</v>
      </c>
      <c r="HA19" s="60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5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68">
        <f t="shared" si="1"/>
        <v>256.66666666666669</v>
      </c>
      <c r="I20" s="7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0</v>
      </c>
      <c r="N20" s="14">
        <f>IF('Données projet'!$A$36&gt;35,N19+M20-V19,IF(A20&lt;'Données projet'!$A$36,$K$205^A20,IF(A20='Données projet'!$A$36,'Données projet'!$B$36,N19+M20-V19)))</f>
        <v>0</v>
      </c>
      <c r="O20" s="14">
        <f>N20*VLOOKUP('Données projet'!$B$9,Paramètres!$A$1:$I$89,3,0)*VLOOKUP('Données projet'!$B$9,Paramètres!$A$1:$I$89,5,0)</f>
        <v>0</v>
      </c>
      <c r="P20" s="14" t="e">
        <f t="shared" si="33"/>
        <v>#NUM!</v>
      </c>
      <c r="Q20" s="22" t="e">
        <f t="shared" si="2"/>
        <v>#NUM!</v>
      </c>
      <c r="R20" s="60" t="e">
        <f t="shared" si="0"/>
        <v>#NUM!</v>
      </c>
      <c r="S20" s="60">
        <f ca="1">AVERAGE(OFFSET($R$3,0,0,'Données projet'!$E$9+1,1))-AVERAGE(OFFSET($H$3,0,0,'Données projet'!$E$9+1,1))</f>
        <v>64.775385872852041</v>
      </c>
      <c r="T20" s="60">
        <f t="shared" si="34"/>
        <v>201.69061202990468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41.571104517476485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5.4681290113095136</v>
      </c>
      <c r="AC20" s="24">
        <f t="shared" si="3"/>
        <v>47.039233528785999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24.31083366209619</v>
      </c>
      <c r="AK20" s="14">
        <f t="shared" si="35"/>
        <v>7.7276032052466093</v>
      </c>
      <c r="AL20" s="22">
        <f t="shared" si="4"/>
        <v>55.800277543955367</v>
      </c>
      <c r="AM20" s="60">
        <f t="shared" si="5"/>
        <v>333.24472198839982</v>
      </c>
      <c r="AN20" s="60">
        <f ca="1">AVERAGE(OFFSET($AM$3,0,0,'Données projet'!$E$10+1,1))-AVERAGE(OFFSET($H$3,0,0,'Données projet'!$E$10+1,1))</f>
        <v>475.47920969424894</v>
      </c>
      <c r="AO20" s="60">
        <f t="shared" si="36"/>
        <v>271.73544012419364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7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>
        <f>VLOOKUP(A20,'Données projet'!$A$87:$I$107,2,0)</f>
        <v>126.33076923076922</v>
      </c>
      <c r="BB20" s="13">
        <f>VLOOKUP(A20,'Données projet'!$A$87:$I$107,9,0)</f>
        <v>7.4312217194570129</v>
      </c>
      <c r="BC20" s="13">
        <f t="array" ref="BC20">INDEX(BB:BB,MIN(IF(ISNUMBER(BB20:BB216),ROW(BB20:BB216),"")))</f>
        <v>7.4312217194570129</v>
      </c>
      <c r="BD20" s="13">
        <f>IF('Données projet'!$A$88&gt;35,BD19+BC20-BL19,IF(A20&lt;'Données projet'!$A$88,$BA$205^A20,IF(A20='Données projet'!$A$88,'Données projet'!$B$88,BD19+BC20-BL19)))</f>
        <v>126.33076923076922</v>
      </c>
      <c r="BE20" s="14">
        <f>BD20*VLOOKUP('Données projet'!$B$11,Paramètres!$A$1:$I$89,3,0)*VLOOKUP('Données projet'!$B$11,Paramètres!$A$1:$I$89,5,0)</f>
        <v>75.5458</v>
      </c>
      <c r="BF20" s="14">
        <f t="shared" si="37"/>
        <v>21.044504648353485</v>
      </c>
      <c r="BG20" s="22">
        <f t="shared" si="7"/>
        <v>168.22811392921565</v>
      </c>
      <c r="BH20" s="60">
        <f t="shared" si="8"/>
        <v>445.67255837366008</v>
      </c>
      <c r="BI20" s="60">
        <f ca="1">AVERAGE(OFFSET($BH$3,0,0,'Données projet'!$E$11+1,1))-AVERAGE(OFFSET($H$3,0,0,'Données projet'!$E$11+1,1))</f>
        <v>260.02504691866199</v>
      </c>
      <c r="BJ20" s="60">
        <f t="shared" si="38"/>
        <v>270.11268336406368</v>
      </c>
      <c r="BK20" s="16">
        <f>IF(ISNA(VLOOKUP(A20,'Données projet'!$A$87:$I$107,3,0)),0,VLOOKUP(A20,'Données projet'!$A$87:$I$107,3,0))</f>
        <v>1</v>
      </c>
      <c r="BL20" s="16">
        <f>IF(ISNA(VLOOKUP(A20,'Données projet'!$A$87:$I$107,4,0)),0,VLOOKUP(A20,'Données projet'!$A$87:$I$107,4,0))</f>
        <v>42.084615384615375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0.22500000000000001</v>
      </c>
      <c r="BO20" s="17">
        <f>IF(ISNA(VLOOKUP(A20,'Données projet'!$A$87:$I$107,7,0)),0%,VLOOKUP(A20,'Données projet'!$A$87:$I$107,7,0))</f>
        <v>0.5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7.4820750970079972</v>
      </c>
      <c r="BR20" s="23">
        <f>EXP(-LN(2)/2)*BR19+(1-EXP(-LN(2)/2))/(LN(2)/2)*BL20*BO20*VLOOKUP('Données projet'!$B$11,Paramètres!$A$1:$I$89,3,0)*0.475*44/12</f>
        <v>14.247218669464777</v>
      </c>
      <c r="BS20" s="24">
        <f t="shared" si="9"/>
        <v>21.729293766472775</v>
      </c>
      <c r="BT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3.4425641025641025</v>
      </c>
      <c r="BY20" s="13">
        <f>IF('Données projet'!$A$114&gt;35,BY19+BX20-CG19,IF(A20&lt;'Données projet'!$A$114,$BV$205^A20,IF(A20='Données projet'!$A$114,'Données projet'!$B$114,BY19+BX20-CG19)))</f>
        <v>13.84422124990315</v>
      </c>
      <c r="BZ20" s="14">
        <f>BY20*VLOOKUP('Données projet'!$B$12,Paramètres!$A$1:$I$89,3,0)*VLOOKUP('Données projet'!$B$12,Paramètres!$A$1:$I$89,5,0)</f>
        <v>6.4790955449546734</v>
      </c>
      <c r="CA20" s="14">
        <f t="shared" si="39"/>
        <v>2.4021834741420709</v>
      </c>
      <c r="CB20" s="22">
        <f t="shared" si="10"/>
        <v>15.468227624926827</v>
      </c>
      <c r="CC20" s="60">
        <f t="shared" si="11"/>
        <v>292.9126720693713</v>
      </c>
      <c r="CD20" s="60">
        <f ca="1">AVERAGE(OFFSET($CC$3,0,0,'Données projet'!$E$12+1,1))-AVERAGE(OFFSET($H$3,0,0,'Données projet'!$E$12+1,1))</f>
        <v>246.72166704460847</v>
      </c>
      <c r="CE20" s="60">
        <f t="shared" si="40"/>
        <v>145.54897745089966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2.1</v>
      </c>
      <c r="CT20" s="13">
        <f>IF('Données projet'!$A$140&gt;35,CT19+CS20-DB19,IF(A20&lt;'Données projet'!$A$140,$CQ$205^A20,IF(A20='Données projet'!$A$140,'Données projet'!$B$140,CT19+CS20-DB19)))</f>
        <v>23.975181126327602</v>
      </c>
      <c r="CU20" s="18">
        <f>CT20*VLOOKUP('Données projet'!$B$13,Paramètres!$A$1:$I$89,3,0)*VLOOKUP('Données projet'!$B$13,Paramètres!$A$1:$I$89,5,0)</f>
        <v>21.692743883101215</v>
      </c>
      <c r="CV20" s="14">
        <f t="shared" si="41"/>
        <v>6.98746341685115</v>
      </c>
      <c r="CW20" s="22">
        <f t="shared" si="13"/>
        <v>49.951361047417038</v>
      </c>
      <c r="CX20" s="60">
        <f t="shared" si="14"/>
        <v>327.39580549186149</v>
      </c>
      <c r="CY20" s="60">
        <f ca="1">AVERAGE(OFFSET($CX$3,0,0,'Données projet'!$E$13+1,1))-AVERAGE(OFFSET($H$3,0,0,'Données projet'!$E$13+1,1))</f>
        <v>428.8489304403459</v>
      </c>
      <c r="CZ20" s="60">
        <f t="shared" si="42"/>
        <v>247.01165577562966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5.7692307692307683</v>
      </c>
      <c r="DO20" s="13">
        <f>IF('Données projet'!$A$166&gt;35,DO19+DN20-DW19,IF(A20&lt;'Données projet'!$A$166,$DL$205^A20,IF(A20='Données projet'!$A$166,'Données projet'!$B$166,DO19+DN20-DW19)))</f>
        <v>41.666666666666664</v>
      </c>
      <c r="DP20" s="18">
        <f>DO20*VLOOKUP('Données projet'!$B$14,Paramètres!$A$1:$I$89,3,0)*VLOOKUP('Données projet'!$B$14,Paramètres!$A$1:$I$89,5,0)</f>
        <v>43.550000000000004</v>
      </c>
      <c r="DQ20" s="14">
        <f t="shared" si="43"/>
        <v>12.934868040345785</v>
      </c>
      <c r="DR20" s="22">
        <f t="shared" si="16"/>
        <v>98.377811836935564</v>
      </c>
      <c r="DS20" s="60">
        <f t="shared" si="17"/>
        <v>375.82225628138002</v>
      </c>
      <c r="DT20" s="60">
        <f ca="1">AVERAGE(OFFSET($DS$3,0,0,'Données projet'!$E$14+1,1))-AVERAGE(OFFSET($H$3,0,0,'Données projet'!$E$14+1,1))</f>
        <v>493.70175665335978</v>
      </c>
      <c r="DU20" s="60">
        <f t="shared" si="44"/>
        <v>325.12357781685949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4.4000000000000004</v>
      </c>
      <c r="EJ20" s="13">
        <f>IF('Données projet'!$A$192&gt;35,EJ19+EI20-ER19,IF(A20&lt;'Données projet'!$A$192,$EG$205^A20,IF(A20='Données projet'!$A$192,'Données projet'!$B$192,EJ19+EI20-ER19)))</f>
        <v>40.799999999999997</v>
      </c>
      <c r="EK20" s="18">
        <f>EJ20*VLOOKUP('Données projet'!$B$15,Paramètres!$A$1:$I$89,3,0)*VLOOKUP('Données projet'!$B$15,Paramètres!$A$1:$I$89,5,0)</f>
        <v>33.096959999999996</v>
      </c>
      <c r="EL20" s="14">
        <f t="shared" si="45"/>
        <v>10.149317402083243</v>
      </c>
      <c r="EM20" s="22">
        <f t="shared" si="19"/>
        <v>75.320599808628302</v>
      </c>
      <c r="EN20" s="60">
        <f t="shared" si="20"/>
        <v>352.76504425307274</v>
      </c>
      <c r="EO20" s="60">
        <f ca="1">AVERAGE(OFFSET($EN$3,0,0,'Données projet'!$E$15+1,1))-AVERAGE(OFFSET($H$3,0,0,'Données projet'!$E$15+1,1))</f>
        <v>236.22643401787644</v>
      </c>
      <c r="EP20" s="60">
        <f t="shared" si="46"/>
        <v>188.80444043778022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1.05</v>
      </c>
      <c r="FE20" s="13">
        <f>IF('Données projet'!$A$218&gt;35,FE19+FD20-FM19,IF(A20&lt;'Données projet'!$A$218,$FB$205^A20,IF(A20='Données projet'!$A$218,'Données projet'!$B$218,FE19+FD20-FM19)))</f>
        <v>13.301064532535134</v>
      </c>
      <c r="FF20" s="18">
        <f>FE20*VLOOKUP('Données projet'!$B$16,Paramètres!$A$1:$I$89,3,0)*VLOOKUP('Données projet'!$B$16,Paramètres!$A$1:$I$89,5,0)</f>
        <v>12.864789615867982</v>
      </c>
      <c r="FG20" s="14">
        <f t="shared" si="47"/>
        <v>4.4037259087201281</v>
      </c>
      <c r="FH20" s="22">
        <f t="shared" si="22"/>
        <v>30.07599787199096</v>
      </c>
      <c r="FI20" s="60">
        <f t="shared" si="23"/>
        <v>307.52044231643544</v>
      </c>
      <c r="FJ20" s="60">
        <f ca="1">AVERAGE(OFFSET($FI$3,0,0,'Données projet'!$E$16+1,1))-AVERAGE(OFFSET($H$3,0,0,'Données projet'!$E$16+1,1))</f>
        <v>255.59755832175625</v>
      </c>
      <c r="FK20" s="60">
        <f t="shared" si="48"/>
        <v>154.0840647586964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0" t="e">
        <f t="shared" si="26"/>
        <v>#N/A</v>
      </c>
      <c r="GE20" s="60" t="e">
        <f ca="1">AVERAGE(OFFSET($GD$3,0,0,'Données projet'!$E$17+1,1))-AVERAGE(OFFSET($H$3,0,0,'Données projet'!$E$17+1,1))</f>
        <v>#N/A</v>
      </c>
      <c r="GF20" s="60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7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0" t="e">
        <f t="shared" si="29"/>
        <v>#N/A</v>
      </c>
      <c r="GZ20" s="60" t="e">
        <f ca="1">AVERAGE(OFFSET($GY$3,0,0,'Données projet'!$E$18+1,1))-AVERAGE(OFFSET($H$3,0,0,'Données projet'!$E$18+1,1))</f>
        <v>#N/A</v>
      </c>
      <c r="HA20" s="60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5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68">
        <f t="shared" si="1"/>
        <v>256.66666666666669</v>
      </c>
      <c r="I21" s="7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0</v>
      </c>
      <c r="N21" s="14">
        <f>IF('Données projet'!$A$36&gt;35,N20+M21-V20,IF(A21&lt;'Données projet'!$A$36,$K$205^A21,IF(A21='Données projet'!$A$36,'Données projet'!$B$36,N20+M21-V20)))</f>
        <v>0</v>
      </c>
      <c r="O21" s="14">
        <f>N21*VLOOKUP('Données projet'!$B$9,Paramètres!$A$1:$I$89,3,0)*VLOOKUP('Données projet'!$B$9,Paramètres!$A$1:$I$89,5,0)</f>
        <v>0</v>
      </c>
      <c r="P21" s="14" t="e">
        <f t="shared" si="33"/>
        <v>#NUM!</v>
      </c>
      <c r="Q21" s="22" t="e">
        <f t="shared" si="2"/>
        <v>#NUM!</v>
      </c>
      <c r="R21" s="60" t="e">
        <f t="shared" si="0"/>
        <v>#NUM!</v>
      </c>
      <c r="S21" s="60">
        <f ca="1">AVERAGE(OFFSET($R$3,0,0,'Données projet'!$E$9+1,1))-AVERAGE(OFFSET($H$3,0,0,'Données projet'!$E$9+1,1))</f>
        <v>64.775385872852041</v>
      </c>
      <c r="T21" s="60">
        <f t="shared" si="34"/>
        <v>201.69061202990468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40.755920513758845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3.8665511042998491</v>
      </c>
      <c r="AC21" s="24">
        <f t="shared" si="3"/>
        <v>44.622471618058697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29.306389432677911</v>
      </c>
      <c r="AK21" s="14">
        <f t="shared" si="35"/>
        <v>9.1150691477493808</v>
      </c>
      <c r="AL21" s="22">
        <f t="shared" si="4"/>
        <v>66.917373694244205</v>
      </c>
      <c r="AM21" s="60">
        <f t="shared" si="5"/>
        <v>345.58404036091088</v>
      </c>
      <c r="AN21" s="60">
        <f ca="1">AVERAGE(OFFSET($AM$3,0,0,'Données projet'!$E$10+1,1))-AVERAGE(OFFSET($H$3,0,0,'Données projet'!$E$10+1,1))</f>
        <v>475.47920969424894</v>
      </c>
      <c r="AO21" s="60">
        <f t="shared" si="36"/>
        <v>271.73544012419364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7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14.926923076923075</v>
      </c>
      <c r="BD21" s="13">
        <f>IF('Données projet'!$A$88&gt;35,BD20+BC21-BL20,IF(A21&lt;'Données projet'!$A$88,$BA$205^A21,IF(A21='Données projet'!$A$88,'Données projet'!$B$88,BD20+BC21-BL20)))</f>
        <v>99.173076923076934</v>
      </c>
      <c r="BE21" s="14">
        <f>BD21*VLOOKUP('Données projet'!$B$11,Paramètres!$A$1:$I$89,3,0)*VLOOKUP('Données projet'!$B$11,Paramètres!$A$1:$I$89,5,0)</f>
        <v>59.305500000000016</v>
      </c>
      <c r="BF21" s="14">
        <f t="shared" si="37"/>
        <v>16.992558820122873</v>
      </c>
      <c r="BG21" s="22">
        <f t="shared" si="7"/>
        <v>132.88578577838067</v>
      </c>
      <c r="BH21" s="60">
        <f t="shared" si="8"/>
        <v>411.55245244504738</v>
      </c>
      <c r="BI21" s="60">
        <f ca="1">AVERAGE(OFFSET($BH$3,0,0,'Données projet'!$E$11+1,1))-AVERAGE(OFFSET($H$3,0,0,'Données projet'!$E$11+1,1))</f>
        <v>260.02504691866199</v>
      </c>
      <c r="BJ21" s="60">
        <f t="shared" si="38"/>
        <v>270.11268336406368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7.2774773600150846</v>
      </c>
      <c r="BR21" s="23">
        <f>EXP(-LN(2)/2)*BR20+(1-EXP(-LN(2)/2))/(LN(2)/2)*BL21*BO21*VLOOKUP('Données projet'!$B$11,Paramètres!$A$1:$I$89,3,0)*0.475*44/12</f>
        <v>10.074304934226125</v>
      </c>
      <c r="BS21" s="24">
        <f t="shared" si="9"/>
        <v>17.351782294241211</v>
      </c>
      <c r="BT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3.4425641025641025</v>
      </c>
      <c r="BY21" s="13">
        <f>IF('Données projet'!$A$114&gt;35,BY20+BX21-CG20,IF(A21&lt;'Données projet'!$A$114,$BV$205^A21,IF(A21='Données projet'!$A$114,'Données projet'!$B$114,BY20+BX21-CG20)))</f>
        <v>16.158534666859676</v>
      </c>
      <c r="BZ21" s="14">
        <f>BY21*VLOOKUP('Données projet'!$B$12,Paramètres!$A$1:$I$89,3,0)*VLOOKUP('Données projet'!$B$12,Paramètres!$A$1:$I$89,5,0)</f>
        <v>7.5621942240903284</v>
      </c>
      <c r="CA21" s="14">
        <f t="shared" si="39"/>
        <v>2.7537549140858508</v>
      </c>
      <c r="CB21" s="22">
        <f t="shared" si="10"/>
        <v>17.96694474899018</v>
      </c>
      <c r="CC21" s="60">
        <f t="shared" si="11"/>
        <v>296.63361141565684</v>
      </c>
      <c r="CD21" s="60">
        <f ca="1">AVERAGE(OFFSET($CC$3,0,0,'Données projet'!$E$12+1,1))-AVERAGE(OFFSET($H$3,0,0,'Données projet'!$E$12+1,1))</f>
        <v>246.72166704460847</v>
      </c>
      <c r="CE21" s="60">
        <f t="shared" si="40"/>
        <v>145.54897745089966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2.1</v>
      </c>
      <c r="CT21" s="13">
        <f>IF('Données projet'!$A$140&gt;35,CT20+CS21-DB20,IF(A21&lt;'Données projet'!$A$140,$CQ$205^A21,IF(A21='Données projet'!$A$140,'Données projet'!$B$140,CT20+CS21-DB20)))</f>
        <v>28.901764726506816</v>
      </c>
      <c r="CU21" s="18">
        <f>CT21*VLOOKUP('Données projet'!$B$13,Paramètres!$A$1:$I$89,3,0)*VLOOKUP('Données projet'!$B$13,Paramètres!$A$1:$I$89,5,0)</f>
        <v>26.150316724543362</v>
      </c>
      <c r="CV21" s="14">
        <f t="shared" si="41"/>
        <v>8.2420396752158016</v>
      </c>
      <c r="CW21" s="22">
        <f t="shared" si="13"/>
        <v>59.900020729580547</v>
      </c>
      <c r="CX21" s="60">
        <f t="shared" si="14"/>
        <v>338.56668739624723</v>
      </c>
      <c r="CY21" s="60">
        <f ca="1">AVERAGE(OFFSET($CX$3,0,0,'Données projet'!$E$13+1,1))-AVERAGE(OFFSET($H$3,0,0,'Données projet'!$E$13+1,1))</f>
        <v>428.8489304403459</v>
      </c>
      <c r="CZ21" s="60">
        <f t="shared" si="42"/>
        <v>247.01165577562966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5.7692307692307683</v>
      </c>
      <c r="DO21" s="13">
        <f>IF('Données projet'!$A$166&gt;35,DO20+DN21-DW20,IF(A21&lt;'Données projet'!$A$166,$DL$205^A21,IF(A21='Données projet'!$A$166,'Données projet'!$B$166,DO20+DN21-DW20)))</f>
        <v>47.435897435897431</v>
      </c>
      <c r="DP21" s="18">
        <f>DO21*VLOOKUP('Données projet'!$B$14,Paramètres!$A$1:$I$89,3,0)*VLOOKUP('Données projet'!$B$14,Paramètres!$A$1:$I$89,5,0)</f>
        <v>49.58</v>
      </c>
      <c r="DQ21" s="14">
        <f t="shared" si="43"/>
        <v>14.505239638165149</v>
      </c>
      <c r="DR21" s="22">
        <f t="shared" si="16"/>
        <v>111.61512570313762</v>
      </c>
      <c r="DS21" s="60">
        <f t="shared" si="17"/>
        <v>390.28179236980429</v>
      </c>
      <c r="DT21" s="60">
        <f ca="1">AVERAGE(OFFSET($DS$3,0,0,'Données projet'!$E$14+1,1))-AVERAGE(OFFSET($H$3,0,0,'Données projet'!$E$14+1,1))</f>
        <v>493.70175665335978</v>
      </c>
      <c r="DU21" s="60">
        <f t="shared" si="44"/>
        <v>325.12357781685949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4.4000000000000004</v>
      </c>
      <c r="EJ21" s="13">
        <f>IF('Données projet'!$A$192&gt;35,EJ20+EI21-ER20,IF(A21&lt;'Données projet'!$A$192,$EG$205^A21,IF(A21='Données projet'!$A$192,'Données projet'!$B$192,EJ20+EI21-ER20)))</f>
        <v>45.199999999999996</v>
      </c>
      <c r="EK21" s="18">
        <f>EJ21*VLOOKUP('Données projet'!$B$15,Paramètres!$A$1:$I$89,3,0)*VLOOKUP('Données projet'!$B$15,Paramètres!$A$1:$I$89,5,0)</f>
        <v>36.666239999999995</v>
      </c>
      <c r="EL21" s="14">
        <f t="shared" si="45"/>
        <v>11.110608259650514</v>
      </c>
      <c r="EM21" s="22">
        <f t="shared" si="19"/>
        <v>83.211344052224632</v>
      </c>
      <c r="EN21" s="60">
        <f t="shared" si="20"/>
        <v>361.87801071889135</v>
      </c>
      <c r="EO21" s="60">
        <f ca="1">AVERAGE(OFFSET($EN$3,0,0,'Données projet'!$E$15+1,1))-AVERAGE(OFFSET($H$3,0,0,'Données projet'!$E$15+1,1))</f>
        <v>236.22643401787644</v>
      </c>
      <c r="EP21" s="60">
        <f t="shared" si="46"/>
        <v>188.80444043778022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1.05</v>
      </c>
      <c r="FE21" s="13">
        <f>IF('Données projet'!$A$218&gt;35,FE20+FD21-FM20,IF(A21&lt;'Données projet'!$A$218,$FB$205^A21,IF(A21='Données projet'!$A$218,'Données projet'!$B$218,FE20+FD21-FM20)))</f>
        <v>15.48807222716875</v>
      </c>
      <c r="FF21" s="18">
        <f>FE21*VLOOKUP('Données projet'!$B$16,Paramètres!$A$1:$I$89,3,0)*VLOOKUP('Données projet'!$B$16,Paramètres!$A$1:$I$89,5,0)</f>
        <v>14.980063458117616</v>
      </c>
      <c r="FG21" s="14">
        <f t="shared" si="47"/>
        <v>5.0377420781222293</v>
      </c>
      <c r="FH21" s="22">
        <f t="shared" si="22"/>
        <v>34.864344642284394</v>
      </c>
      <c r="FI21" s="60">
        <f t="shared" si="23"/>
        <v>313.53101130895107</v>
      </c>
      <c r="FJ21" s="60">
        <f ca="1">AVERAGE(OFFSET($FI$3,0,0,'Données projet'!$E$16+1,1))-AVERAGE(OFFSET($H$3,0,0,'Données projet'!$E$16+1,1))</f>
        <v>255.59755832175625</v>
      </c>
      <c r="FK21" s="60">
        <f t="shared" si="48"/>
        <v>154.0840647586964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0" t="e">
        <f t="shared" si="26"/>
        <v>#N/A</v>
      </c>
      <c r="GE21" s="60" t="e">
        <f ca="1">AVERAGE(OFFSET($GD$3,0,0,'Données projet'!$E$17+1,1))-AVERAGE(OFFSET($H$3,0,0,'Données projet'!$E$17+1,1))</f>
        <v>#N/A</v>
      </c>
      <c r="GF21" s="60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7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0" t="e">
        <f t="shared" si="29"/>
        <v>#N/A</v>
      </c>
      <c r="GZ21" s="60" t="e">
        <f ca="1">AVERAGE(OFFSET($GY$3,0,0,'Données projet'!$E$18+1,1))-AVERAGE(OFFSET($H$3,0,0,'Données projet'!$E$18+1,1))</f>
        <v>#N/A</v>
      </c>
      <c r="HA21" s="60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5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68">
        <f t="shared" si="1"/>
        <v>256.66666666666669</v>
      </c>
      <c r="I22" s="7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0" t="e">
        <f t="shared" si="0"/>
        <v>#NUM!</v>
      </c>
      <c r="S22" s="60">
        <f ca="1">AVERAGE(OFFSET($R$3,0,0,'Données projet'!$E$9+1,1))-AVERAGE(OFFSET($H$3,0,0,'Données projet'!$E$9+1,1))</f>
        <v>64.775385872852041</v>
      </c>
      <c r="T22" s="60">
        <f t="shared" si="34"/>
        <v>201.69061202990468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39.956721771140955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2.7340645056547572</v>
      </c>
      <c r="AC22" s="24">
        <f t="shared" si="3"/>
        <v>42.690786276795713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35.328466045936516</v>
      </c>
      <c r="AK22" s="14">
        <f t="shared" si="35"/>
        <v>10.751650073316766</v>
      </c>
      <c r="AL22" s="22">
        <f t="shared" si="4"/>
        <v>80.256202241032796</v>
      </c>
      <c r="AM22" s="60">
        <f t="shared" si="5"/>
        <v>360.14509112992164</v>
      </c>
      <c r="AN22" s="60">
        <f ca="1">AVERAGE(OFFSET($AM$3,0,0,'Données projet'!$E$10+1,1))-AVERAGE(OFFSET($H$3,0,0,'Données projet'!$E$10+1,1))</f>
        <v>475.47920969424894</v>
      </c>
      <c r="AO22" s="60">
        <f t="shared" si="36"/>
        <v>271.73544012419364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7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14.926923076923075</v>
      </c>
      <c r="BD22" s="13">
        <f>IF('Données projet'!$A$88&gt;35,BD21+BC22-BL21,IF(A22&lt;'Données projet'!$A$88,$BA$205^A22,IF(A22='Données projet'!$A$88,'Données projet'!$B$88,BD21+BC22-BL21)))</f>
        <v>114.10000000000001</v>
      </c>
      <c r="BE22" s="14">
        <f>BD22*VLOOKUP('Données projet'!$B$11,Paramètres!$A$1:$I$89,3,0)*VLOOKUP('Données projet'!$B$11,Paramètres!$A$1:$I$89,5,0)</f>
        <v>68.231800000000007</v>
      </c>
      <c r="BF22" s="14">
        <f t="shared" si="37"/>
        <v>19.233699497264624</v>
      </c>
      <c r="BG22" s="22">
        <f t="shared" si="7"/>
        <v>152.3357449577359</v>
      </c>
      <c r="BH22" s="60">
        <f t="shared" si="8"/>
        <v>432.22463384662478</v>
      </c>
      <c r="BI22" s="60">
        <f ca="1">AVERAGE(OFFSET($BH$3,0,0,'Données projet'!$E$11+1,1))-AVERAGE(OFFSET($H$3,0,0,'Données projet'!$E$11+1,1))</f>
        <v>260.02504691866199</v>
      </c>
      <c r="BJ22" s="60">
        <f t="shared" si="38"/>
        <v>270.11268336406368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7.0784743588995704</v>
      </c>
      <c r="BR22" s="23">
        <f>EXP(-LN(2)/2)*BR21+(1-EXP(-LN(2)/2))/(LN(2)/2)*BL22*BO22*VLOOKUP('Données projet'!$B$11,Paramètres!$A$1:$I$89,3,0)*0.475*44/12</f>
        <v>7.1236093347323894</v>
      </c>
      <c r="BS22" s="24">
        <f t="shared" si="9"/>
        <v>14.202083693631959</v>
      </c>
      <c r="BT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3.4425641025641025</v>
      </c>
      <c r="BY22" s="13">
        <f>IF('Données projet'!$A$114&gt;35,BY21+BX22-CG21,IF(A22&lt;'Données projet'!$A$114,$BV$205^A22,IF(A22='Données projet'!$A$114,'Données projet'!$B$114,BY21+BX22-CG21)))</f>
        <v>18.859727670267663</v>
      </c>
      <c r="BZ22" s="14">
        <f>BY22*VLOOKUP('Données projet'!$B$12,Paramètres!$A$1:$I$89,3,0)*VLOOKUP('Données projet'!$B$12,Paramètres!$A$1:$I$89,5,0)</f>
        <v>8.8263525496852662</v>
      </c>
      <c r="CA22" s="14">
        <f t="shared" si="39"/>
        <v>3.1567805742066648</v>
      </c>
      <c r="CB22" s="22">
        <f t="shared" si="10"/>
        <v>20.870623524111782</v>
      </c>
      <c r="CC22" s="60">
        <f t="shared" si="11"/>
        <v>300.75951241300066</v>
      </c>
      <c r="CD22" s="60">
        <f ca="1">AVERAGE(OFFSET($CC$3,0,0,'Données projet'!$E$12+1,1))-AVERAGE(OFFSET($H$3,0,0,'Données projet'!$E$12+1,1))</f>
        <v>246.72166704460847</v>
      </c>
      <c r="CE22" s="60">
        <f t="shared" si="40"/>
        <v>145.54897745089966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2.1</v>
      </c>
      <c r="CT22" s="13">
        <f>IF('Données projet'!$A$140&gt;35,CT21+CS22-DB21,IF(A22&lt;'Données projet'!$A$140,$CQ$205^A22,IF(A22='Données projet'!$A$140,'Données projet'!$B$140,CT21+CS22-DB21)))</f>
        <v>34.840696297767764</v>
      </c>
      <c r="CU22" s="18">
        <f>CT22*VLOOKUP('Données projet'!$B$13,Paramètres!$A$1:$I$89,3,0)*VLOOKUP('Données projet'!$B$13,Paramètres!$A$1:$I$89,5,0)</f>
        <v>31.52386201022027</v>
      </c>
      <c r="CV22" s="14">
        <f t="shared" si="41"/>
        <v>9.7218710074397983</v>
      </c>
      <c r="CW22" s="22">
        <f t="shared" si="13"/>
        <v>71.836318339091292</v>
      </c>
      <c r="CX22" s="60">
        <f t="shared" si="14"/>
        <v>351.72520722798015</v>
      </c>
      <c r="CY22" s="60">
        <f ca="1">AVERAGE(OFFSET($CX$3,0,0,'Données projet'!$E$13+1,1))-AVERAGE(OFFSET($H$3,0,0,'Données projet'!$E$13+1,1))</f>
        <v>428.8489304403459</v>
      </c>
      <c r="CZ22" s="60">
        <f t="shared" si="42"/>
        <v>247.01165577562966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5.7692307692307683</v>
      </c>
      <c r="DO22" s="13">
        <f>IF('Données projet'!$A$166&gt;35,DO21+DN22-DW21,IF(A22&lt;'Données projet'!$A$166,$DL$205^A22,IF(A22='Données projet'!$A$166,'Données projet'!$B$166,DO21+DN22-DW21)))</f>
        <v>53.205128205128197</v>
      </c>
      <c r="DP22" s="18">
        <f>DO22*VLOOKUP('Données projet'!$B$14,Paramètres!$A$1:$I$89,3,0)*VLOOKUP('Données projet'!$B$14,Paramètres!$A$1:$I$89,5,0)</f>
        <v>55.61</v>
      </c>
      <c r="DQ22" s="14">
        <f t="shared" si="43"/>
        <v>16.053478951715945</v>
      </c>
      <c r="DR22" s="22">
        <f t="shared" si="16"/>
        <v>124.81389250757191</v>
      </c>
      <c r="DS22" s="60">
        <f t="shared" si="17"/>
        <v>404.70278139646075</v>
      </c>
      <c r="DT22" s="60">
        <f ca="1">AVERAGE(OFFSET($DS$3,0,0,'Données projet'!$E$14+1,1))-AVERAGE(OFFSET($H$3,0,0,'Données projet'!$E$14+1,1))</f>
        <v>493.70175665335978</v>
      </c>
      <c r="DU22" s="60">
        <f t="shared" si="44"/>
        <v>325.12357781685949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4.4000000000000004</v>
      </c>
      <c r="EJ22" s="13">
        <f>IF('Données projet'!$A$192&gt;35,EJ21+EI22-ER21,IF(A22&lt;'Données projet'!$A$192,$EG$205^A22,IF(A22='Données projet'!$A$192,'Données projet'!$B$192,EJ21+EI22-ER21)))</f>
        <v>49.599999999999994</v>
      </c>
      <c r="EK22" s="18">
        <f>EJ22*VLOOKUP('Données projet'!$B$15,Paramètres!$A$1:$I$89,3,0)*VLOOKUP('Données projet'!$B$15,Paramètres!$A$1:$I$89,5,0)</f>
        <v>40.235520000000001</v>
      </c>
      <c r="EL22" s="14">
        <f t="shared" si="45"/>
        <v>12.061050163607481</v>
      </c>
      <c r="EM22" s="22">
        <f t="shared" si="19"/>
        <v>91.083193034949701</v>
      </c>
      <c r="EN22" s="60">
        <f t="shared" si="20"/>
        <v>370.97208192383857</v>
      </c>
      <c r="EO22" s="60">
        <f ca="1">AVERAGE(OFFSET($EN$3,0,0,'Données projet'!$E$15+1,1))-AVERAGE(OFFSET($H$3,0,0,'Données projet'!$E$15+1,1))</f>
        <v>236.22643401787644</v>
      </c>
      <c r="EP22" s="60">
        <f t="shared" si="46"/>
        <v>188.80444043778022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1.05</v>
      </c>
      <c r="FE22" s="13">
        <f>IF('Données projet'!$A$218&gt;35,FE21+FD22-FM21,IF(A22&lt;'Données projet'!$A$218,$FB$205^A22,IF(A22='Données projet'!$A$218,'Données projet'!$B$218,FE21+FD22-FM21)))</f>
        <v>18.034675399644545</v>
      </c>
      <c r="FF22" s="18">
        <f>FE22*VLOOKUP('Données projet'!$B$16,Paramètres!$A$1:$I$89,3,0)*VLOOKUP('Données projet'!$B$16,Paramètres!$A$1:$I$89,5,0)</f>
        <v>17.443138046536202</v>
      </c>
      <c r="FG22" s="14">
        <f t="shared" si="47"/>
        <v>5.7630392471586012</v>
      </c>
      <c r="FH22" s="22">
        <f t="shared" si="22"/>
        <v>40.417425453185118</v>
      </c>
      <c r="FI22" s="60">
        <f t="shared" si="23"/>
        <v>320.30631434207396</v>
      </c>
      <c r="FJ22" s="60">
        <f ca="1">AVERAGE(OFFSET($FI$3,0,0,'Données projet'!$E$16+1,1))-AVERAGE(OFFSET($H$3,0,0,'Données projet'!$E$16+1,1))</f>
        <v>255.59755832175625</v>
      </c>
      <c r="FK22" s="60">
        <f t="shared" si="48"/>
        <v>154.0840647586964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0" t="e">
        <f t="shared" si="26"/>
        <v>#N/A</v>
      </c>
      <c r="GE22" s="60" t="e">
        <f ca="1">AVERAGE(OFFSET($GD$3,0,0,'Données projet'!$E$17+1,1))-AVERAGE(OFFSET($H$3,0,0,'Données projet'!$E$17+1,1))</f>
        <v>#N/A</v>
      </c>
      <c r="GF22" s="60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7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0" t="e">
        <f t="shared" si="29"/>
        <v>#N/A</v>
      </c>
      <c r="GZ22" s="60" t="e">
        <f ca="1">AVERAGE(OFFSET($GY$3,0,0,'Données projet'!$E$18+1,1))-AVERAGE(OFFSET($H$3,0,0,'Données projet'!$E$18+1,1))</f>
        <v>#N/A</v>
      </c>
      <c r="HA22" s="60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5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68">
        <f t="shared" si="1"/>
        <v>256.66666666666669</v>
      </c>
      <c r="I23" s="7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0" t="e">
        <f t="shared" si="0"/>
        <v>#NUM!</v>
      </c>
      <c r="S23" s="60">
        <f ca="1">AVERAGE(OFFSET($R$3,0,0,'Données projet'!$E$9+1,1))-AVERAGE(OFFSET($H$3,0,0,'Données projet'!$E$9+1,1))</f>
        <v>64.775385872852041</v>
      </c>
      <c r="T23" s="60">
        <f t="shared" si="34"/>
        <v>201.69061202990468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6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39.173194828402707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1.9332755521499247</v>
      </c>
      <c r="AC23" s="24">
        <f t="shared" si="3"/>
        <v>41.106470380552629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42.588000000000001</v>
      </c>
      <c r="AK23" s="14">
        <f t="shared" si="35"/>
        <v>12.682073764365764</v>
      </c>
      <c r="AL23" s="22">
        <f t="shared" si="4"/>
        <v>96.262045139603686</v>
      </c>
      <c r="AM23" s="60">
        <f t="shared" si="5"/>
        <v>377.37315625071483</v>
      </c>
      <c r="AN23" s="60">
        <f ca="1">AVERAGE(OFFSET($AM$3,0,0,'Données projet'!$E$10+1,1))-AVERAGE(OFFSET($H$3,0,0,'Données projet'!$E$10+1,1))</f>
        <v>475.47920969424894</v>
      </c>
      <c r="AO23" s="60">
        <f t="shared" si="36"/>
        <v>271.73544012419364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7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14.926923076923075</v>
      </c>
      <c r="BD23" s="13">
        <f>IF('Données projet'!$A$88&gt;35,BD22+BC23-BL22,IF(A23&lt;'Données projet'!$A$88,$BA$205^A23,IF(A23='Données projet'!$A$88,'Données projet'!$B$88,BD22+BC23-BL22)))</f>
        <v>129.02692307692308</v>
      </c>
      <c r="BE23" s="14">
        <f>BD23*VLOOKUP('Données projet'!$B$11,Paramètres!$A$1:$I$89,3,0)*VLOOKUP('Données projet'!$B$11,Paramètres!$A$1:$I$89,5,0)</f>
        <v>77.158100000000005</v>
      </c>
      <c r="BF23" s="14">
        <f t="shared" si="37"/>
        <v>21.440868838738705</v>
      </c>
      <c r="BG23" s="22">
        <f t="shared" si="7"/>
        <v>171.72653739413659</v>
      </c>
      <c r="BH23" s="60">
        <f t="shared" si="8"/>
        <v>452.83764850524773</v>
      </c>
      <c r="BI23" s="60">
        <f ca="1">AVERAGE(OFFSET($BH$3,0,0,'Données projet'!$E$11+1,1))-AVERAGE(OFFSET($H$3,0,0,'Données projet'!$E$11+1,1))</f>
        <v>260.02504691866199</v>
      </c>
      <c r="BJ23" s="60">
        <f t="shared" si="38"/>
        <v>270.11268336406368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6.8849131053146735</v>
      </c>
      <c r="BR23" s="23">
        <f>EXP(-LN(2)/2)*BR22+(1-EXP(-LN(2)/2))/(LN(2)/2)*BL23*BO23*VLOOKUP('Données projet'!$B$11,Paramètres!$A$1:$I$89,3,0)*0.475*44/12</f>
        <v>5.0371524671130636</v>
      </c>
      <c r="BS23" s="24">
        <f t="shared" si="9"/>
        <v>11.922065572427737</v>
      </c>
      <c r="BT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3.4425641025641025</v>
      </c>
      <c r="BY23" s="13">
        <f>IF('Données projet'!$A$114&gt;35,BY22+BX23-CG22,IF(A23&lt;'Données projet'!$A$114,$BV$205^A23,IF(A23='Données projet'!$A$114,'Données projet'!$B$114,BY22+BX23-CG22)))</f>
        <v>22.012474220583886</v>
      </c>
      <c r="BZ23" s="14">
        <f>BY23*VLOOKUP('Données projet'!$B$12,Paramètres!$A$1:$I$89,3,0)*VLOOKUP('Données projet'!$B$12,Paramètres!$A$1:$I$89,5,0)</f>
        <v>10.301837935233259</v>
      </c>
      <c r="CA23" s="14">
        <f t="shared" si="39"/>
        <v>3.6187910342764393</v>
      </c>
      <c r="CB23" s="22">
        <f t="shared" si="10"/>
        <v>24.245095455229389</v>
      </c>
      <c r="CC23" s="60">
        <f t="shared" si="11"/>
        <v>305.35620656634052</v>
      </c>
      <c r="CD23" s="60">
        <f ca="1">AVERAGE(OFFSET($CC$3,0,0,'Données projet'!$E$12+1,1))-AVERAGE(OFFSET($H$3,0,0,'Données projet'!$E$12+1,1))</f>
        <v>246.72166704460847</v>
      </c>
      <c r="CE23" s="60">
        <f t="shared" si="40"/>
        <v>145.54897745089966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42</v>
      </c>
      <c r="CR23" s="13">
        <f>VLOOKUP(A23,'Données projet'!$A$139:$I$159,9,0)</f>
        <v>2.1</v>
      </c>
      <c r="CS23" s="13">
        <f t="array" ref="CS23">INDEX(CR:CR,MIN(IF(ISNUMBER(CR23:CR219),ROW(CR23:CR219),"")))</f>
        <v>2.1</v>
      </c>
      <c r="CT23" s="13">
        <f>IF('Données projet'!$A$140&gt;35,CT22+CS23-DB22,IF(A23&lt;'Données projet'!$A$140,$CQ$205^A23,IF(A23='Données projet'!$A$140,'Données projet'!$B$140,CT22+CS23-DB22)))</f>
        <v>42</v>
      </c>
      <c r="CU23" s="18">
        <f>CT23*VLOOKUP('Données projet'!$B$13,Paramètres!$A$1:$I$89,3,0)*VLOOKUP('Données projet'!$B$13,Paramètres!$A$1:$I$89,5,0)</f>
        <v>38.001600000000003</v>
      </c>
      <c r="CV23" s="14">
        <f t="shared" si="41"/>
        <v>11.467401227090512</v>
      </c>
      <c r="CW23" s="22">
        <f t="shared" si="13"/>
        <v>86.158510470515978</v>
      </c>
      <c r="CX23" s="60">
        <f t="shared" si="14"/>
        <v>367.26962158162712</v>
      </c>
      <c r="CY23" s="60">
        <f ca="1">AVERAGE(OFFSET($CX$3,0,0,'Données projet'!$E$13+1,1))-AVERAGE(OFFSET($H$3,0,0,'Données projet'!$E$13+1,1))</f>
        <v>428.8489304403459</v>
      </c>
      <c r="CZ23" s="60">
        <f t="shared" si="42"/>
        <v>247.01165577562966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58.974358974358971</v>
      </c>
      <c r="DM23" s="13">
        <f>VLOOKUP(A23,'Données projet'!$A$165:$I$185,9,0)</f>
        <v>5.7692307692307683</v>
      </c>
      <c r="DN23" s="13">
        <f t="array" ref="DN23">INDEX(DM:DM,MIN(IF(ISNUMBER(DM23:DM219),ROW(DM23:DM219),"")))</f>
        <v>5.7692307692307683</v>
      </c>
      <c r="DO23" s="13">
        <f>IF('Données projet'!$A$166&gt;35,DO22+DN23-DW22,IF(A23&lt;'Données projet'!$A$166,$DL$205^A23,IF(A23='Données projet'!$A$166,'Données projet'!$B$166,DO22+DN23-DW22)))</f>
        <v>58.974358974358964</v>
      </c>
      <c r="DP23" s="18">
        <f>DO23*VLOOKUP('Données projet'!$B$14,Paramètres!$A$1:$I$89,3,0)*VLOOKUP('Données projet'!$B$14,Paramètres!$A$1:$I$89,5,0)</f>
        <v>61.64</v>
      </c>
      <c r="DQ23" s="14">
        <f t="shared" si="43"/>
        <v>17.582259466632539</v>
      </c>
      <c r="DR23" s="22">
        <f t="shared" si="16"/>
        <v>137.97876857105169</v>
      </c>
      <c r="DS23" s="60">
        <f t="shared" si="17"/>
        <v>419.08987968216286</v>
      </c>
      <c r="DT23" s="60">
        <f ca="1">AVERAGE(OFFSET($DS$3,0,0,'Données projet'!$E$14+1,1))-AVERAGE(OFFSET($H$3,0,0,'Données projet'!$E$14+1,1))</f>
        <v>493.70175665335978</v>
      </c>
      <c r="DU23" s="60">
        <f t="shared" si="44"/>
        <v>325.12357781685949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54</v>
      </c>
      <c r="EH23" s="13">
        <f>VLOOKUP(A23,'Données projet'!$A$191:$I$211,9,0)</f>
        <v>4.4000000000000004</v>
      </c>
      <c r="EI23" s="13">
        <f t="array" ref="EI23">INDEX(EH:EH,MIN(IF(ISNUMBER(EH23:EH219),ROW(EH23:EH219),"")))</f>
        <v>4.4000000000000004</v>
      </c>
      <c r="EJ23" s="13">
        <f>IF('Données projet'!$A$192&gt;35,EJ22+EI23-ER22,IF(A23&lt;'Données projet'!$A$192,$EG$205^A23,IF(A23='Données projet'!$A$192,'Données projet'!$B$192,EJ22+EI23-ER22)))</f>
        <v>53.999999999999993</v>
      </c>
      <c r="EK23" s="18">
        <f>EJ23*VLOOKUP('Données projet'!$B$15,Paramètres!$A$1:$I$89,3,0)*VLOOKUP('Données projet'!$B$15,Paramètres!$A$1:$I$89,5,0)</f>
        <v>43.8048</v>
      </c>
      <c r="EL23" s="14">
        <f t="shared" si="45"/>
        <v>13.001714958042189</v>
      </c>
      <c r="EM23" s="22">
        <f t="shared" si="19"/>
        <v>98.938013551923461</v>
      </c>
      <c r="EN23" s="60">
        <f t="shared" si="20"/>
        <v>380.0491246630346</v>
      </c>
      <c r="EO23" s="60">
        <f ca="1">AVERAGE(OFFSET($EN$3,0,0,'Données projet'!$E$15+1,1))-AVERAGE(OFFSET($H$3,0,0,'Données projet'!$E$15+1,1))</f>
        <v>236.22643401787644</v>
      </c>
      <c r="EP23" s="60">
        <f t="shared" si="46"/>
        <v>188.80444043778022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21</v>
      </c>
      <c r="FC23" s="13">
        <f>VLOOKUP(A23,'Données projet'!$A$217:$I$237,9,0)</f>
        <v>1.05</v>
      </c>
      <c r="FD23" s="13">
        <f t="array" ref="FD23">INDEX(FC:FC,MIN(IF(ISNUMBER(FC23:FC219),ROW(FC23:FC219),"")))</f>
        <v>1.05</v>
      </c>
      <c r="FE23" s="13">
        <f>IF('Données projet'!$A$218&gt;35,FE22+FD23-FM22,IF(A23&lt;'Données projet'!$A$218,$FB$205^A23,IF(A23='Données projet'!$A$218,'Données projet'!$B$218,FE22+FD23-FM22)))</f>
        <v>21</v>
      </c>
      <c r="FF23" s="18">
        <f>FE23*VLOOKUP('Données projet'!$B$16,Paramètres!$A$1:$I$89,3,0)*VLOOKUP('Données projet'!$B$16,Paramètres!$A$1:$I$89,5,0)</f>
        <v>20.311199999999999</v>
      </c>
      <c r="FG23" s="14">
        <f t="shared" si="47"/>
        <v>6.5927593849088089</v>
      </c>
      <c r="FH23" s="22">
        <f t="shared" si="22"/>
        <v>46.85772926204951</v>
      </c>
      <c r="FI23" s="60">
        <f t="shared" si="23"/>
        <v>327.96884037316067</v>
      </c>
      <c r="FJ23" s="60">
        <f ca="1">AVERAGE(OFFSET($FI$3,0,0,'Données projet'!$E$16+1,1))-AVERAGE(OFFSET($H$3,0,0,'Données projet'!$E$16+1,1))</f>
        <v>255.59755832175625</v>
      </c>
      <c r="FK23" s="60">
        <f t="shared" si="48"/>
        <v>154.0840647586964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0" t="e">
        <f t="shared" si="26"/>
        <v>#N/A</v>
      </c>
      <c r="GE23" s="60" t="e">
        <f ca="1">AVERAGE(OFFSET($GD$3,0,0,'Données projet'!$E$17+1,1))-AVERAGE(OFFSET($H$3,0,0,'Données projet'!$E$17+1,1))</f>
        <v>#N/A</v>
      </c>
      <c r="GF23" s="60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7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0" t="e">
        <f t="shared" si="29"/>
        <v>#N/A</v>
      </c>
      <c r="GZ23" s="60" t="e">
        <f ca="1">AVERAGE(OFFSET($GY$3,0,0,'Données projet'!$E$18+1,1))-AVERAGE(OFFSET($H$3,0,0,'Données projet'!$E$18+1,1))</f>
        <v>#N/A</v>
      </c>
      <c r="HA23" s="60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5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68">
        <f t="shared" si="1"/>
        <v>256.66666666666669</v>
      </c>
      <c r="I24" s="7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0" t="e">
        <f t="shared" si="0"/>
        <v>#NUM!</v>
      </c>
      <c r="S24" s="60">
        <f ca="1">AVERAGE(OFFSET($R$3,0,0,'Données projet'!$E$9+1,1))-AVERAGE(OFFSET($H$3,0,0,'Données projet'!$E$9+1,1))</f>
        <v>64.775385872852041</v>
      </c>
      <c r="T24" s="60">
        <f t="shared" si="34"/>
        <v>201.69061202990468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38.40503237110731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1.3670322528273788</v>
      </c>
      <c r="AC24" s="24">
        <f t="shared" si="3"/>
        <v>39.772064623934689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48.266400000000004</v>
      </c>
      <c r="AK24" s="14">
        <f t="shared" si="35"/>
        <v>14.165134590154434</v>
      </c>
      <c r="AL24" s="22">
        <f t="shared" si="4"/>
        <v>108.73492274451898</v>
      </c>
      <c r="AM24" s="60">
        <f t="shared" si="5"/>
        <v>391.06825607785231</v>
      </c>
      <c r="AN24" s="60">
        <f ca="1">AVERAGE(OFFSET($AM$3,0,0,'Données projet'!$E$10+1,1))-AVERAGE(OFFSET($H$3,0,0,'Données projet'!$E$10+1,1))</f>
        <v>475.47920969424894</v>
      </c>
      <c r="AO24" s="60">
        <f t="shared" si="36"/>
        <v>271.73544012419364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7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14.926923076923075</v>
      </c>
      <c r="BD24" s="13">
        <f>IF('Données projet'!$A$88&gt;35,BD23+BC24-BL23,IF(A24&lt;'Données projet'!$A$88,$BA$205^A24,IF(A24='Données projet'!$A$88,'Données projet'!$B$88,BD23+BC24-BL23)))</f>
        <v>143.95384615384614</v>
      </c>
      <c r="BE24" s="14">
        <f>BD24*VLOOKUP('Données projet'!$B$11,Paramètres!$A$1:$I$89,3,0)*VLOOKUP('Données projet'!$B$11,Paramètres!$A$1:$I$89,5,0)</f>
        <v>86.084400000000002</v>
      </c>
      <c r="BF24" s="14">
        <f t="shared" si="37"/>
        <v>23.618445758177199</v>
      </c>
      <c r="BG24" s="22">
        <f t="shared" si="7"/>
        <v>191.06578969549196</v>
      </c>
      <c r="BH24" s="60">
        <f t="shared" si="8"/>
        <v>473.39912302882527</v>
      </c>
      <c r="BI24" s="60">
        <f ca="1">AVERAGE(OFFSET($BH$3,0,0,'Données projet'!$E$11+1,1))-AVERAGE(OFFSET($H$3,0,0,'Données projet'!$E$11+1,1))</f>
        <v>260.02504691866199</v>
      </c>
      <c r="BJ24" s="60">
        <f t="shared" si="38"/>
        <v>270.11268336406368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6.696644794387999</v>
      </c>
      <c r="BR24" s="23">
        <f>EXP(-LN(2)/2)*BR23+(1-EXP(-LN(2)/2))/(LN(2)/2)*BL24*BO24*VLOOKUP('Données projet'!$B$11,Paramètres!$A$1:$I$89,3,0)*0.475*44/12</f>
        <v>3.5618046673661952</v>
      </c>
      <c r="BS24" s="24">
        <f t="shared" si="9"/>
        <v>10.258449461754195</v>
      </c>
      <c r="BT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3.4425641025641025</v>
      </c>
      <c r="BY24" s="13">
        <f>IF('Données projet'!$A$114&gt;35,BY23+BX24-CG23,IF(A24&lt;'Données projet'!$A$114,$BV$205^A24,IF(A24='Données projet'!$A$114,'Données projet'!$B$114,BY23+BX24-CG23)))</f>
        <v>25.692259707215236</v>
      </c>
      <c r="BZ24" s="14">
        <f>BY24*VLOOKUP('Données projet'!$B$12,Paramètres!$A$1:$I$89,3,0)*VLOOKUP('Données projet'!$B$12,Paramètres!$A$1:$I$89,5,0)</f>
        <v>12.023977542976729</v>
      </c>
      <c r="CA24" s="14">
        <f t="shared" si="39"/>
        <v>4.1484190116858626</v>
      </c>
      <c r="CB24" s="22">
        <f t="shared" si="10"/>
        <v>28.166923999370677</v>
      </c>
      <c r="CC24" s="60">
        <f t="shared" si="11"/>
        <v>310.500257332704</v>
      </c>
      <c r="CD24" s="60">
        <f ca="1">AVERAGE(OFFSET($CC$3,0,0,'Données projet'!$E$12+1,1))-AVERAGE(OFFSET($H$3,0,0,'Données projet'!$E$12+1,1))</f>
        <v>246.72166704460847</v>
      </c>
      <c r="CE24" s="60">
        <f t="shared" si="40"/>
        <v>145.54897745089966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5.6</v>
      </c>
      <c r="CT24" s="13">
        <f>IF('Données projet'!$A$140&gt;35,CT23+CS24-DB23,IF(A24&lt;'Données projet'!$A$140,$CQ$205^A24,IF(A24='Données projet'!$A$140,'Données projet'!$B$140,CT23+CS24-DB23)))</f>
        <v>47.6</v>
      </c>
      <c r="CU24" s="18">
        <f>CT24*VLOOKUP('Données projet'!$B$13,Paramètres!$A$1:$I$89,3,0)*VLOOKUP('Données projet'!$B$13,Paramètres!$A$1:$I$89,5,0)</f>
        <v>43.068480000000001</v>
      </c>
      <c r="CV24" s="14">
        <f t="shared" si="41"/>
        <v>12.808416415102187</v>
      </c>
      <c r="CW24" s="22">
        <f t="shared" si="13"/>
        <v>97.318927922969635</v>
      </c>
      <c r="CX24" s="60">
        <f t="shared" si="14"/>
        <v>379.65226125630295</v>
      </c>
      <c r="CY24" s="60">
        <f ca="1">AVERAGE(OFFSET($CX$3,0,0,'Données projet'!$E$13+1,1))-AVERAGE(OFFSET($H$3,0,0,'Données projet'!$E$13+1,1))</f>
        <v>428.8489304403459</v>
      </c>
      <c r="CZ24" s="60">
        <f t="shared" si="42"/>
        <v>247.01165577562966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6.5384615384615374</v>
      </c>
      <c r="DO24" s="13">
        <f>IF('Données projet'!$A$166&gt;35,DO23+DN24-DW23,IF(A24&lt;'Données projet'!$A$166,$DL$205^A24,IF(A24='Données projet'!$A$166,'Données projet'!$B$166,DO23+DN24-DW23)))</f>
        <v>65.512820512820497</v>
      </c>
      <c r="DP24" s="18">
        <f>DO24*VLOOKUP('Données projet'!$B$14,Paramètres!$A$1:$I$89,3,0)*VLOOKUP('Données projet'!$B$14,Paramètres!$A$1:$I$89,5,0)</f>
        <v>68.47399999999999</v>
      </c>
      <c r="DQ24" s="14">
        <f t="shared" si="43"/>
        <v>19.294013233443497</v>
      </c>
      <c r="DR24" s="22">
        <f t="shared" si="16"/>
        <v>152.8626230482474</v>
      </c>
      <c r="DS24" s="60">
        <f t="shared" si="17"/>
        <v>435.19595638158069</v>
      </c>
      <c r="DT24" s="60">
        <f ca="1">AVERAGE(OFFSET($DS$3,0,0,'Données projet'!$E$14+1,1))-AVERAGE(OFFSET($H$3,0,0,'Données projet'!$E$14+1,1))</f>
        <v>493.70175665335978</v>
      </c>
      <c r="DU24" s="60">
        <f t="shared" si="44"/>
        <v>325.12357781685949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4.5999999999999996</v>
      </c>
      <c r="EJ24" s="13">
        <f>IF('Données projet'!$A$192&gt;35,EJ23+EI24-ER23,IF(A24&lt;'Données projet'!$A$192,$EG$205^A24,IF(A24='Données projet'!$A$192,'Données projet'!$B$192,EJ23+EI24-ER23)))</f>
        <v>58.599999999999994</v>
      </c>
      <c r="EK24" s="18">
        <f>EJ24*VLOOKUP('Données projet'!$B$15,Paramètres!$A$1:$I$89,3,0)*VLOOKUP('Données projet'!$B$15,Paramètres!$A$1:$I$89,5,0)</f>
        <v>47.536319999999996</v>
      </c>
      <c r="EL24" s="14">
        <f t="shared" si="45"/>
        <v>13.975644596726255</v>
      </c>
      <c r="EM24" s="22">
        <f t="shared" si="19"/>
        <v>107.13333833929822</v>
      </c>
      <c r="EN24" s="60">
        <f t="shared" si="20"/>
        <v>389.46667167263155</v>
      </c>
      <c r="EO24" s="60">
        <f ca="1">AVERAGE(OFFSET($EN$3,0,0,'Données projet'!$E$15+1,1))-AVERAGE(OFFSET($H$3,0,0,'Données projet'!$E$15+1,1))</f>
        <v>236.22643401787644</v>
      </c>
      <c r="EP24" s="60">
        <f t="shared" si="46"/>
        <v>188.80444043778022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3</v>
      </c>
      <c r="FE24" s="13">
        <f>IF('Données projet'!$A$218&gt;35,FE23+FD24-FM23,IF(A24&lt;'Données projet'!$A$218,$FB$205^A24,IF(A24='Données projet'!$A$218,'Données projet'!$B$218,FE23+FD24-FM23)))</f>
        <v>24</v>
      </c>
      <c r="FF24" s="18">
        <f>FE24*VLOOKUP('Données projet'!$B$16,Paramètres!$A$1:$I$89,3,0)*VLOOKUP('Données projet'!$B$16,Paramètres!$A$1:$I$89,5,0)</f>
        <v>23.212799999999998</v>
      </c>
      <c r="FG24" s="14">
        <f t="shared" si="47"/>
        <v>7.4183771657915161</v>
      </c>
      <c r="FH24" s="22">
        <f t="shared" si="22"/>
        <v>53.349300230420219</v>
      </c>
      <c r="FI24" s="60">
        <f t="shared" si="23"/>
        <v>335.68263356375354</v>
      </c>
      <c r="FJ24" s="60">
        <f ca="1">AVERAGE(OFFSET($FI$3,0,0,'Données projet'!$E$16+1,1))-AVERAGE(OFFSET($H$3,0,0,'Données projet'!$E$16+1,1))</f>
        <v>255.59755832175625</v>
      </c>
      <c r="FK24" s="60">
        <f t="shared" si="48"/>
        <v>154.0840647586964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0" t="e">
        <f t="shared" si="26"/>
        <v>#N/A</v>
      </c>
      <c r="GE24" s="60" t="e">
        <f ca="1">AVERAGE(OFFSET($GD$3,0,0,'Données projet'!$E$17+1,1))-AVERAGE(OFFSET($H$3,0,0,'Données projet'!$E$17+1,1))</f>
        <v>#N/A</v>
      </c>
      <c r="GF24" s="60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7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0" t="e">
        <f t="shared" si="29"/>
        <v>#N/A</v>
      </c>
      <c r="GZ24" s="60" t="e">
        <f ca="1">AVERAGE(OFFSET($GY$3,0,0,'Données projet'!$E$18+1,1))-AVERAGE(OFFSET($H$3,0,0,'Données projet'!$E$18+1,1))</f>
        <v>#N/A</v>
      </c>
      <c r="HA24" s="60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5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68">
        <f t="shared" si="1"/>
        <v>256.66666666666669</v>
      </c>
      <c r="I25" s="7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0" t="e">
        <f t="shared" si="0"/>
        <v>#NUM!</v>
      </c>
      <c r="S25" s="60">
        <f ca="1">AVERAGE(OFFSET($R$3,0,0,'Données projet'!$E$9+1,1))-AVERAGE(OFFSET($H$3,0,0,'Données projet'!$E$9+1,1))</f>
        <v>64.775385872852041</v>
      </c>
      <c r="T25" s="60">
        <f t="shared" si="34"/>
        <v>201.69061202990468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37.65193311106664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0.9666377760749626</v>
      </c>
      <c r="AC25" s="24">
        <f t="shared" si="3"/>
        <v>38.618570887141601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53.944800000000008</v>
      </c>
      <c r="AK25" s="14">
        <f t="shared" si="35"/>
        <v>15.627975445731321</v>
      </c>
      <c r="AL25" s="22">
        <f t="shared" si="4"/>
        <v>121.17258390131538</v>
      </c>
      <c r="AM25" s="60">
        <f t="shared" si="5"/>
        <v>404.72813945687091</v>
      </c>
      <c r="AN25" s="60">
        <f ca="1">AVERAGE(OFFSET($AM$3,0,0,'Données projet'!$E$10+1,1))-AVERAGE(OFFSET($H$3,0,0,'Données projet'!$E$10+1,1))</f>
        <v>475.47920969424894</v>
      </c>
      <c r="AO25" s="60">
        <f t="shared" si="36"/>
        <v>271.73544012419364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7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14.926923076923075</v>
      </c>
      <c r="BD25" s="13">
        <f>IF('Données projet'!$A$88&gt;35,BD24+BC25-BL24,IF(A25&lt;'Données projet'!$A$88,$BA$205^A25,IF(A25='Données projet'!$A$88,'Données projet'!$B$88,BD24+BC25-BL24)))</f>
        <v>158.8807692307692</v>
      </c>
      <c r="BE25" s="14">
        <f>BD25*VLOOKUP('Données projet'!$B$11,Paramètres!$A$1:$I$89,3,0)*VLOOKUP('Données projet'!$B$11,Paramètres!$A$1:$I$89,5,0)</f>
        <v>95.0107</v>
      </c>
      <c r="BF25" s="14">
        <f t="shared" si="37"/>
        <v>25.769848277327686</v>
      </c>
      <c r="BG25" s="22">
        <f t="shared" si="7"/>
        <v>210.3594549163457</v>
      </c>
      <c r="BH25" s="60">
        <f t="shared" si="8"/>
        <v>493.91501047190127</v>
      </c>
      <c r="BI25" s="60">
        <f ca="1">AVERAGE(OFFSET($BH$3,0,0,'Données projet'!$E$11+1,1))-AVERAGE(OFFSET($H$3,0,0,'Données projet'!$E$11+1,1))</f>
        <v>260.02504691866199</v>
      </c>
      <c r="BJ25" s="60">
        <f t="shared" si="38"/>
        <v>270.11268336406368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6.513524690324215</v>
      </c>
      <c r="BR25" s="23">
        <f>EXP(-LN(2)/2)*BR24+(1-EXP(-LN(2)/2))/(LN(2)/2)*BL25*BO25*VLOOKUP('Données projet'!$B$11,Paramètres!$A$1:$I$89,3,0)*0.475*44/12</f>
        <v>2.5185762335565318</v>
      </c>
      <c r="BS25" s="24">
        <f t="shared" si="9"/>
        <v>9.0321009238807477</v>
      </c>
      <c r="BT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3.4425641025641025</v>
      </c>
      <c r="BY25" s="13">
        <f>IF('Données projet'!$A$114&gt;35,BY24+BX25-CG24,IF(A25&lt;'Données projet'!$A$114,$BV$205^A25,IF(A25='Données projet'!$A$114,'Données projet'!$B$114,BY24+BX25-CG24)))</f>
        <v>29.987188275534368</v>
      </c>
      <c r="BZ25" s="14">
        <f>BY25*VLOOKUP('Données projet'!$B$12,Paramètres!$A$1:$I$89,3,0)*VLOOKUP('Données projet'!$B$12,Paramètres!$A$1:$I$89,5,0)</f>
        <v>14.034004112950084</v>
      </c>
      <c r="CA25" s="14">
        <f t="shared" si="39"/>
        <v>4.7555606647394173</v>
      </c>
      <c r="CB25" s="22">
        <f t="shared" si="10"/>
        <v>32.725158654475884</v>
      </c>
      <c r="CC25" s="60">
        <f t="shared" si="11"/>
        <v>316.28071421003142</v>
      </c>
      <c r="CD25" s="60">
        <f ca="1">AVERAGE(OFFSET($CC$3,0,0,'Données projet'!$E$12+1,1))-AVERAGE(OFFSET($H$3,0,0,'Données projet'!$E$12+1,1))</f>
        <v>246.72166704460847</v>
      </c>
      <c r="CE25" s="60">
        <f t="shared" si="40"/>
        <v>145.54897745089966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5.6</v>
      </c>
      <c r="CT25" s="13">
        <f>IF('Données projet'!$A$140&gt;35,CT24+CS25-DB24,IF(A25&lt;'Données projet'!$A$140,$CQ$205^A25,IF(A25='Données projet'!$A$140,'Données projet'!$B$140,CT24+CS25-DB24)))</f>
        <v>53.2</v>
      </c>
      <c r="CU25" s="18">
        <f>CT25*VLOOKUP('Données projet'!$B$13,Paramètres!$A$1:$I$89,3,0)*VLOOKUP('Données projet'!$B$13,Paramètres!$A$1:$I$89,5,0)</f>
        <v>48.135359999999999</v>
      </c>
      <c r="CV25" s="14">
        <f t="shared" si="41"/>
        <v>14.131148275361113</v>
      </c>
      <c r="CW25" s="22">
        <f t="shared" si="13"/>
        <v>108.4475019129206</v>
      </c>
      <c r="CX25" s="60">
        <f t="shared" si="14"/>
        <v>392.00305746847613</v>
      </c>
      <c r="CY25" s="60">
        <f ca="1">AVERAGE(OFFSET($CX$3,0,0,'Données projet'!$E$13+1,1))-AVERAGE(OFFSET($H$3,0,0,'Données projet'!$E$13+1,1))</f>
        <v>428.8489304403459</v>
      </c>
      <c r="CZ25" s="60">
        <f t="shared" si="42"/>
        <v>247.01165577562966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6.5384615384615374</v>
      </c>
      <c r="DO25" s="13">
        <f>IF('Données projet'!$A$166&gt;35,DO24+DN25-DW24,IF(A25&lt;'Données projet'!$A$166,$DL$205^A25,IF(A25='Données projet'!$A$166,'Données projet'!$B$166,DO24+DN25-DW24)))</f>
        <v>72.05128205128203</v>
      </c>
      <c r="DP25" s="18">
        <f>DO25*VLOOKUP('Données projet'!$B$14,Paramètres!$A$1:$I$89,3,0)*VLOOKUP('Données projet'!$B$14,Paramètres!$A$1:$I$89,5,0)</f>
        <v>75.307999999999979</v>
      </c>
      <c r="DQ25" s="14">
        <f t="shared" si="43"/>
        <v>20.985961565400835</v>
      </c>
      <c r="DR25" s="22">
        <f t="shared" si="16"/>
        <v>167.71198305973977</v>
      </c>
      <c r="DS25" s="60">
        <f t="shared" si="17"/>
        <v>451.26753861529528</v>
      </c>
      <c r="DT25" s="60">
        <f ca="1">AVERAGE(OFFSET($DS$3,0,0,'Données projet'!$E$14+1,1))-AVERAGE(OFFSET($H$3,0,0,'Données projet'!$E$14+1,1))</f>
        <v>493.70175665335978</v>
      </c>
      <c r="DU25" s="60">
        <f t="shared" si="44"/>
        <v>325.12357781685949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4.5999999999999996</v>
      </c>
      <c r="EJ25" s="13">
        <f>IF('Données projet'!$A$192&gt;35,EJ24+EI25-ER24,IF(A25&lt;'Données projet'!$A$192,$EG$205^A25,IF(A25='Données projet'!$A$192,'Données projet'!$B$192,EJ24+EI25-ER24)))</f>
        <v>63.199999999999996</v>
      </c>
      <c r="EK25" s="18">
        <f>EJ25*VLOOKUP('Données projet'!$B$15,Paramètres!$A$1:$I$89,3,0)*VLOOKUP('Données projet'!$B$15,Paramètres!$A$1:$I$89,5,0)</f>
        <v>51.26784</v>
      </c>
      <c r="EL25" s="14">
        <f t="shared" si="45"/>
        <v>14.940706168637671</v>
      </c>
      <c r="EM25" s="22">
        <f t="shared" si="19"/>
        <v>115.31321791037726</v>
      </c>
      <c r="EN25" s="60">
        <f t="shared" si="20"/>
        <v>398.8687734659328</v>
      </c>
      <c r="EO25" s="60">
        <f ca="1">AVERAGE(OFFSET($EN$3,0,0,'Données projet'!$E$15+1,1))-AVERAGE(OFFSET($H$3,0,0,'Données projet'!$E$15+1,1))</f>
        <v>236.22643401787644</v>
      </c>
      <c r="EP25" s="60">
        <f t="shared" si="46"/>
        <v>188.80444043778022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3</v>
      </c>
      <c r="FE25" s="13">
        <f>IF('Données projet'!$A$218&gt;35,FE24+FD25-FM24,IF(A25&lt;'Données projet'!$A$218,$FB$205^A25,IF(A25='Données projet'!$A$218,'Données projet'!$B$218,FE24+FD25-FM24)))</f>
        <v>27</v>
      </c>
      <c r="FF25" s="18">
        <f>FE25*VLOOKUP('Données projet'!$B$16,Paramètres!$A$1:$I$89,3,0)*VLOOKUP('Données projet'!$B$16,Paramètres!$A$1:$I$89,5,0)</f>
        <v>26.1144</v>
      </c>
      <c r="FG25" s="14">
        <f t="shared" si="47"/>
        <v>8.232036337964395</v>
      </c>
      <c r="FH25" s="22">
        <f t="shared" si="22"/>
        <v>59.820043288621314</v>
      </c>
      <c r="FI25" s="60">
        <f t="shared" si="23"/>
        <v>343.37559884417686</v>
      </c>
      <c r="FJ25" s="60">
        <f ca="1">AVERAGE(OFFSET($FI$3,0,0,'Données projet'!$E$16+1,1))-AVERAGE(OFFSET($H$3,0,0,'Données projet'!$E$16+1,1))</f>
        <v>255.59755832175625</v>
      </c>
      <c r="FK25" s="60">
        <f t="shared" si="48"/>
        <v>154.0840647586964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0" t="e">
        <f t="shared" si="26"/>
        <v>#N/A</v>
      </c>
      <c r="GE25" s="60" t="e">
        <f ca="1">AVERAGE(OFFSET($GD$3,0,0,'Données projet'!$E$17+1,1))-AVERAGE(OFFSET($H$3,0,0,'Données projet'!$E$17+1,1))</f>
        <v>#N/A</v>
      </c>
      <c r="GF25" s="60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7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0" t="e">
        <f t="shared" si="29"/>
        <v>#N/A</v>
      </c>
      <c r="GZ25" s="60" t="e">
        <f ca="1">AVERAGE(OFFSET($GY$3,0,0,'Données projet'!$E$18+1,1))-AVERAGE(OFFSET($H$3,0,0,'Données projet'!$E$18+1,1))</f>
        <v>#N/A</v>
      </c>
      <c r="HA25" s="60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5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68">
        <f t="shared" si="1"/>
        <v>256.66666666666669</v>
      </c>
      <c r="I26" s="7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0" t="e">
        <f t="shared" si="0"/>
        <v>#NUM!</v>
      </c>
      <c r="S26" s="60">
        <f ca="1">AVERAGE(OFFSET($R$3,0,0,'Données projet'!$E$9+1,1))-AVERAGE(OFFSET($H$3,0,0,'Données projet'!$E$9+1,1))</f>
        <v>64.775385872852041</v>
      </c>
      <c r="T26" s="60">
        <f t="shared" si="34"/>
        <v>201.69061202990468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36.913601668170173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0.68351612641368953</v>
      </c>
      <c r="AC26" s="24">
        <f t="shared" si="3"/>
        <v>37.597117794583866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59.623200000000011</v>
      </c>
      <c r="AK26" s="14">
        <f t="shared" si="35"/>
        <v>17.072967249098898</v>
      </c>
      <c r="AL26" s="22">
        <f t="shared" si="4"/>
        <v>133.57915795884725</v>
      </c>
      <c r="AM26" s="60">
        <f t="shared" si="5"/>
        <v>418.35693573662502</v>
      </c>
      <c r="AN26" s="60">
        <f ca="1">AVERAGE(OFFSET($AM$3,0,0,'Données projet'!$E$10+1,1))-AVERAGE(OFFSET($H$3,0,0,'Données projet'!$E$10+1,1))</f>
        <v>475.47920969424894</v>
      </c>
      <c r="AO26" s="60">
        <f t="shared" si="36"/>
        <v>271.73544012419364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7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>
        <f>VLOOKUP(A26,'Données projet'!$A$87:$I$107,2,0)</f>
        <v>173.80769230769229</v>
      </c>
      <c r="BB26" s="13">
        <f>VLOOKUP(A26,'Données projet'!$A$87:$I$107,9,0)</f>
        <v>14.926923076923075</v>
      </c>
      <c r="BC26" s="13">
        <f t="array" ref="BC26">INDEX(BB:BB,MIN(IF(ISNUMBER(BB26:BB222),ROW(BB26:BB222),"")))</f>
        <v>14.926923076923075</v>
      </c>
      <c r="BD26" s="13">
        <f>IF('Données projet'!$A$88&gt;35,BD25+BC26-BL25,IF(A26&lt;'Données projet'!$A$88,$BA$205^A26,IF(A26='Données projet'!$A$88,'Données projet'!$B$88,BD25+BC26-BL25)))</f>
        <v>173.80769230769226</v>
      </c>
      <c r="BE26" s="14">
        <f>BD26*VLOOKUP('Données projet'!$B$11,Paramètres!$A$1:$I$89,3,0)*VLOOKUP('Données projet'!$B$11,Paramètres!$A$1:$I$89,5,0)</f>
        <v>103.93699999999998</v>
      </c>
      <c r="BF26" s="14">
        <f t="shared" si="37"/>
        <v>27.897815230264825</v>
      </c>
      <c r="BG26" s="22">
        <f t="shared" si="7"/>
        <v>229.61230319271121</v>
      </c>
      <c r="BH26" s="60">
        <f t="shared" si="8"/>
        <v>514.39008097048895</v>
      </c>
      <c r="BI26" s="60">
        <f ca="1">AVERAGE(OFFSET($BH$3,0,0,'Données projet'!$E$11+1,1))-AVERAGE(OFFSET($H$3,0,0,'Données projet'!$E$11+1,1))</f>
        <v>260.02504691866199</v>
      </c>
      <c r="BJ26" s="60">
        <f t="shared" si="38"/>
        <v>270.11268336406368</v>
      </c>
      <c r="BK26" s="16">
        <f>IF(ISNA(VLOOKUP(A26,'Données projet'!$A$87:$I$107,3,0)),0,VLOOKUP(A26,'Données projet'!$A$87:$I$107,3,0))</f>
        <v>2</v>
      </c>
      <c r="BL26" s="16">
        <f>IF(ISNA(VLOOKUP(A26,'Données projet'!$A$87:$I$107,4,0)),0,VLOOKUP(A26,'Données projet'!$A$87:$I$107,4,0))</f>
        <v>54.099999999999987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0.22500000000000001</v>
      </c>
      <c r="BO26" s="17">
        <f>IF(ISNA(VLOOKUP(A26,'Données projet'!$A$87:$I$107,7,0)),0%,VLOOKUP(A26,'Données projet'!$A$87:$I$107,7,0))</f>
        <v>0.5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15.953659896191899</v>
      </c>
      <c r="BR26" s="23">
        <f>EXP(-LN(2)/2)*BR25+(1-EXP(-LN(2)/2))/(LN(2)/2)*BL26*BO26*VLOOKUP('Données projet'!$B$11,Paramètres!$A$1:$I$89,3,0)*0.475*44/12</f>
        <v>20.095778755241454</v>
      </c>
      <c r="BS26" s="24">
        <f t="shared" si="9"/>
        <v>36.049438651433356</v>
      </c>
      <c r="BT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3.4425641025641025</v>
      </c>
      <c r="BY26" s="13">
        <f>IF('Données projet'!$A$114&gt;35,BY25+BX26-CG25,IF(A26&lt;'Données projet'!$A$114,$BV$205^A26,IF(A26='Données projet'!$A$114,'Données projet'!$B$114,BY25+BX26-CG25)))</f>
        <v>35.000092281482424</v>
      </c>
      <c r="BZ26" s="14">
        <f>BY26*VLOOKUP('Données projet'!$B$12,Paramètres!$A$1:$I$89,3,0)*VLOOKUP('Données projet'!$B$12,Paramètres!$A$1:$I$89,5,0)</f>
        <v>16.380043187733772</v>
      </c>
      <c r="CA26" s="14">
        <f t="shared" si="39"/>
        <v>5.4515605034859353</v>
      </c>
      <c r="CB26" s="22">
        <f t="shared" si="10"/>
        <v>38.023376428874322</v>
      </c>
      <c r="CC26" s="60">
        <f t="shared" si="11"/>
        <v>322.80115420665209</v>
      </c>
      <c r="CD26" s="60">
        <f ca="1">AVERAGE(OFFSET($CC$3,0,0,'Données projet'!$E$12+1,1))-AVERAGE(OFFSET($H$3,0,0,'Données projet'!$E$12+1,1))</f>
        <v>246.72166704460847</v>
      </c>
      <c r="CE26" s="60">
        <f t="shared" si="40"/>
        <v>145.54897745089966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5.6</v>
      </c>
      <c r="CT26" s="13">
        <f>IF('Données projet'!$A$140&gt;35,CT25+CS26-DB25,IF(A26&lt;'Données projet'!$A$140,$CQ$205^A26,IF(A26='Données projet'!$A$140,'Données projet'!$B$140,CT25+CS26-DB25)))</f>
        <v>58.800000000000004</v>
      </c>
      <c r="CU26" s="18">
        <f>CT26*VLOOKUP('Données projet'!$B$13,Paramètres!$A$1:$I$89,3,0)*VLOOKUP('Données projet'!$B$13,Paramètres!$A$1:$I$89,5,0)</f>
        <v>53.202240000000003</v>
      </c>
      <c r="CV26" s="14">
        <f t="shared" si="41"/>
        <v>15.437740642425908</v>
      </c>
      <c r="CW26" s="22">
        <f t="shared" si="13"/>
        <v>119.54796628555846</v>
      </c>
      <c r="CX26" s="60">
        <f t="shared" si="14"/>
        <v>404.32574406333623</v>
      </c>
      <c r="CY26" s="60">
        <f ca="1">AVERAGE(OFFSET($CX$3,0,0,'Données projet'!$E$13+1,1))-AVERAGE(OFFSET($H$3,0,0,'Données projet'!$E$13+1,1))</f>
        <v>428.8489304403459</v>
      </c>
      <c r="CZ26" s="60">
        <f t="shared" si="42"/>
        <v>247.01165577562966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6.5384615384615374</v>
      </c>
      <c r="DO26" s="13">
        <f>IF('Données projet'!$A$166&gt;35,DO25+DN26-DW25,IF(A26&lt;'Données projet'!$A$166,$DL$205^A26,IF(A26='Données projet'!$A$166,'Données projet'!$B$166,DO25+DN26-DW25)))</f>
        <v>78.589743589743563</v>
      </c>
      <c r="DP26" s="18">
        <f>DO26*VLOOKUP('Données projet'!$B$14,Paramètres!$A$1:$I$89,3,0)*VLOOKUP('Données projet'!$B$14,Paramètres!$A$1:$I$89,5,0)</f>
        <v>82.141999999999982</v>
      </c>
      <c r="DQ26" s="14">
        <f t="shared" si="43"/>
        <v>22.660106151503225</v>
      </c>
      <c r="DR26" s="22">
        <f t="shared" si="16"/>
        <v>182.53033488053475</v>
      </c>
      <c r="DS26" s="60">
        <f t="shared" si="17"/>
        <v>467.30811265831255</v>
      </c>
      <c r="DT26" s="60">
        <f ca="1">AVERAGE(OFFSET($DS$3,0,0,'Données projet'!$E$14+1,1))-AVERAGE(OFFSET($H$3,0,0,'Données projet'!$E$14+1,1))</f>
        <v>493.70175665335978</v>
      </c>
      <c r="DU26" s="60">
        <f t="shared" si="44"/>
        <v>325.12357781685949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4.5999999999999996</v>
      </c>
      <c r="EJ26" s="13">
        <f>IF('Données projet'!$A$192&gt;35,EJ25+EI26-ER25,IF(A26&lt;'Données projet'!$A$192,$EG$205^A26,IF(A26='Données projet'!$A$192,'Données projet'!$B$192,EJ25+EI26-ER25)))</f>
        <v>67.8</v>
      </c>
      <c r="EK26" s="18">
        <f>EJ26*VLOOKUP('Données projet'!$B$15,Paramètres!$A$1:$I$89,3,0)*VLOOKUP('Données projet'!$B$15,Paramètres!$A$1:$I$89,5,0)</f>
        <v>54.999360000000003</v>
      </c>
      <c r="EL26" s="14">
        <f t="shared" si="45"/>
        <v>15.897618537944966</v>
      </c>
      <c r="EM26" s="22">
        <f t="shared" si="19"/>
        <v>123.47890428692084</v>
      </c>
      <c r="EN26" s="60">
        <f t="shared" si="20"/>
        <v>408.25668206469862</v>
      </c>
      <c r="EO26" s="60">
        <f ca="1">AVERAGE(OFFSET($EN$3,0,0,'Données projet'!$E$15+1,1))-AVERAGE(OFFSET($H$3,0,0,'Données projet'!$E$15+1,1))</f>
        <v>236.22643401787644</v>
      </c>
      <c r="EP26" s="60">
        <f t="shared" si="46"/>
        <v>188.80444043778022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3</v>
      </c>
      <c r="FE26" s="13">
        <f>IF('Données projet'!$A$218&gt;35,FE25+FD26-FM25,IF(A26&lt;'Données projet'!$A$218,$FB$205^A26,IF(A26='Données projet'!$A$218,'Données projet'!$B$218,FE25+FD26-FM25)))</f>
        <v>30</v>
      </c>
      <c r="FF26" s="18">
        <f>FE26*VLOOKUP('Données projet'!$B$16,Paramètres!$A$1:$I$89,3,0)*VLOOKUP('Données projet'!$B$16,Paramètres!$A$1:$I$89,5,0)</f>
        <v>29.016000000000002</v>
      </c>
      <c r="FG26" s="14">
        <f t="shared" si="47"/>
        <v>9.0352172071357728</v>
      </c>
      <c r="FH26" s="22">
        <f t="shared" si="22"/>
        <v>66.272536635761469</v>
      </c>
      <c r="FI26" s="60">
        <f t="shared" si="23"/>
        <v>351.05031441353924</v>
      </c>
      <c r="FJ26" s="60">
        <f ca="1">AVERAGE(OFFSET($FI$3,0,0,'Données projet'!$E$16+1,1))-AVERAGE(OFFSET($H$3,0,0,'Données projet'!$E$16+1,1))</f>
        <v>255.59755832175625</v>
      </c>
      <c r="FK26" s="60">
        <f t="shared" si="48"/>
        <v>154.0840647586964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0" t="e">
        <f t="shared" si="26"/>
        <v>#N/A</v>
      </c>
      <c r="GE26" s="60" t="e">
        <f ca="1">AVERAGE(OFFSET($GD$3,0,0,'Données projet'!$E$17+1,1))-AVERAGE(OFFSET($H$3,0,0,'Données projet'!$E$17+1,1))</f>
        <v>#N/A</v>
      </c>
      <c r="GF26" s="60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7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0" t="e">
        <f t="shared" si="29"/>
        <v>#N/A</v>
      </c>
      <c r="GZ26" s="60" t="e">
        <f ca="1">AVERAGE(OFFSET($GY$3,0,0,'Données projet'!$E$18+1,1))-AVERAGE(OFFSET($H$3,0,0,'Données projet'!$E$18+1,1))</f>
        <v>#N/A</v>
      </c>
      <c r="HA26" s="60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5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68">
        <f t="shared" si="1"/>
        <v>256.66666666666669</v>
      </c>
      <c r="I27" s="7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0" t="e">
        <f t="shared" si="0"/>
        <v>#NUM!</v>
      </c>
      <c r="S27" s="60">
        <f ca="1">AVERAGE(OFFSET($R$3,0,0,'Données projet'!$E$9+1,1))-AVERAGE(OFFSET($H$3,0,0,'Données projet'!$E$9+1,1))</f>
        <v>64.775385872852041</v>
      </c>
      <c r="T27" s="60">
        <f t="shared" si="34"/>
        <v>201.69061202990468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36.189748454531198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0.48331888803748135</v>
      </c>
      <c r="AC27" s="24">
        <f t="shared" si="3"/>
        <v>36.673067342568679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65.301600000000008</v>
      </c>
      <c r="AK27" s="14">
        <f t="shared" si="35"/>
        <v>18.502003309535596</v>
      </c>
      <c r="AL27" s="22">
        <f t="shared" si="4"/>
        <v>145.95794243077449</v>
      </c>
      <c r="AM27" s="60">
        <f t="shared" si="5"/>
        <v>431.95794243077449</v>
      </c>
      <c r="AN27" s="60">
        <f ca="1">AVERAGE(OFFSET($AM$3,0,0,'Données projet'!$E$10+1,1))-AVERAGE(OFFSET($H$3,0,0,'Données projet'!$E$10+1,1))</f>
        <v>475.47920969424894</v>
      </c>
      <c r="AO27" s="60">
        <f t="shared" si="36"/>
        <v>271.73544012419364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7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15.073076923076925</v>
      </c>
      <c r="BD27" s="13">
        <f>IF('Données projet'!$A$88&gt;35,BD26+BC27-BL26,IF(A27&lt;'Données projet'!$A$88,$BA$205^A27,IF(A27='Données projet'!$A$88,'Données projet'!$B$88,BD26+BC27-BL26)))</f>
        <v>134.78076923076921</v>
      </c>
      <c r="BE27" s="14">
        <f>BD27*VLOOKUP('Données projet'!$B$11,Paramètres!$A$1:$I$89,3,0)*VLOOKUP('Données projet'!$B$11,Paramètres!$A$1:$I$89,5,0)</f>
        <v>80.598899999999986</v>
      </c>
      <c r="BF27" s="14">
        <f t="shared" si="37"/>
        <v>22.283554667877272</v>
      </c>
      <c r="BG27" s="22">
        <f t="shared" si="7"/>
        <v>179.18694187988618</v>
      </c>
      <c r="BH27" s="60">
        <f t="shared" si="8"/>
        <v>465.18694187988615</v>
      </c>
      <c r="BI27" s="60">
        <f ca="1">AVERAGE(OFFSET($BH$3,0,0,'Données projet'!$E$11+1,1))-AVERAGE(OFFSET($H$3,0,0,'Données projet'!$E$11+1,1))</f>
        <v>260.02504691866199</v>
      </c>
      <c r="BJ27" s="60">
        <f t="shared" si="38"/>
        <v>270.11268336406368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15.51740622736402</v>
      </c>
      <c r="BR27" s="23">
        <f>EXP(-LN(2)/2)*BR26+(1-EXP(-LN(2)/2))/(LN(2)/2)*BL27*BO27*VLOOKUP('Données projet'!$B$11,Paramètres!$A$1:$I$89,3,0)*0.475*44/12</f>
        <v>14.20986143105579</v>
      </c>
      <c r="BS27" s="24">
        <f t="shared" si="9"/>
        <v>29.727267658419812</v>
      </c>
      <c r="BT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3.4425641025641025</v>
      </c>
      <c r="BY27" s="13">
        <f>IF('Données projet'!$A$114&gt;35,BY26+BX27-CG26,IF(A27&lt;'Données projet'!$A$114,$BV$205^A27,IF(A27='Données projet'!$A$114,'Données projet'!$B$114,BY26+BX27-CG26)))</f>
        <v>40.850994379880916</v>
      </c>
      <c r="BZ27" s="14">
        <f>BY27*VLOOKUP('Données projet'!$B$12,Paramètres!$A$1:$I$89,3,0)*VLOOKUP('Données projet'!$B$12,Paramètres!$A$1:$I$89,5,0)</f>
        <v>19.118265369784268</v>
      </c>
      <c r="CA27" s="14">
        <f t="shared" si="39"/>
        <v>6.2494233631643379</v>
      </c>
      <c r="CB27" s="22">
        <f t="shared" si="10"/>
        <v>44.182057876552157</v>
      </c>
      <c r="CC27" s="60">
        <f t="shared" si="11"/>
        <v>330.18205787655216</v>
      </c>
      <c r="CD27" s="60">
        <f ca="1">AVERAGE(OFFSET($CC$3,0,0,'Données projet'!$E$12+1,1))-AVERAGE(OFFSET($H$3,0,0,'Données projet'!$E$12+1,1))</f>
        <v>246.72166704460847</v>
      </c>
      <c r="CE27" s="60">
        <f t="shared" si="40"/>
        <v>145.54897745089966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5.6</v>
      </c>
      <c r="CT27" s="13">
        <f>IF('Données projet'!$A$140&gt;35,CT26+CS27-DB26,IF(A27&lt;'Données projet'!$A$140,$CQ$205^A27,IF(A27='Données projet'!$A$140,'Données projet'!$B$140,CT26+CS27-DB26)))</f>
        <v>64.400000000000006</v>
      </c>
      <c r="CU27" s="18">
        <f>CT27*VLOOKUP('Données projet'!$B$13,Paramètres!$A$1:$I$89,3,0)*VLOOKUP('Données projet'!$B$13,Paramètres!$A$1:$I$89,5,0)</f>
        <v>58.269120000000008</v>
      </c>
      <c r="CV27" s="14">
        <f t="shared" si="41"/>
        <v>16.729905486873804</v>
      </c>
      <c r="CW27" s="22">
        <f t="shared" si="13"/>
        <v>130.62330272297189</v>
      </c>
      <c r="CX27" s="60">
        <f t="shared" si="14"/>
        <v>416.62330272297186</v>
      </c>
      <c r="CY27" s="60">
        <f ca="1">AVERAGE(OFFSET($CX$3,0,0,'Données projet'!$E$13+1,1))-AVERAGE(OFFSET($H$3,0,0,'Données projet'!$E$13+1,1))</f>
        <v>428.8489304403459</v>
      </c>
      <c r="CZ27" s="60">
        <f t="shared" si="42"/>
        <v>247.01165577562966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6.5384615384615374</v>
      </c>
      <c r="DO27" s="13">
        <f>IF('Données projet'!$A$166&gt;35,DO26+DN27-DW26,IF(A27&lt;'Données projet'!$A$166,$DL$205^A27,IF(A27='Données projet'!$A$166,'Données projet'!$B$166,DO26+DN27-DW26)))</f>
        <v>85.128205128205096</v>
      </c>
      <c r="DP27" s="18">
        <f>DO27*VLOOKUP('Données projet'!$B$14,Paramètres!$A$1:$I$89,3,0)*VLOOKUP('Données projet'!$B$14,Paramètres!$A$1:$I$89,5,0)</f>
        <v>88.975999999999971</v>
      </c>
      <c r="DQ27" s="14">
        <f t="shared" si="43"/>
        <v>24.318096618795476</v>
      </c>
      <c r="DR27" s="22">
        <f t="shared" si="16"/>
        <v>197.32055161106871</v>
      </c>
      <c r="DS27" s="60">
        <f t="shared" si="17"/>
        <v>483.32055161106871</v>
      </c>
      <c r="DT27" s="60">
        <f ca="1">AVERAGE(OFFSET($DS$3,0,0,'Données projet'!$E$14+1,1))-AVERAGE(OFFSET($H$3,0,0,'Données projet'!$E$14+1,1))</f>
        <v>493.70175665335978</v>
      </c>
      <c r="DU27" s="60">
        <f t="shared" si="44"/>
        <v>325.12357781685949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4.5999999999999996</v>
      </c>
      <c r="EJ27" s="13">
        <f>IF('Données projet'!$A$192&gt;35,EJ26+EI27-ER26,IF(A27&lt;'Données projet'!$A$192,$EG$205^A27,IF(A27='Données projet'!$A$192,'Données projet'!$B$192,EJ26+EI27-ER26)))</f>
        <v>72.399999999999991</v>
      </c>
      <c r="EK27" s="18">
        <f>EJ27*VLOOKUP('Données projet'!$B$15,Paramètres!$A$1:$I$89,3,0)*VLOOKUP('Données projet'!$B$15,Paramètres!$A$1:$I$89,5,0)</f>
        <v>58.730879999999999</v>
      </c>
      <c r="EL27" s="14">
        <f t="shared" si="45"/>
        <v>16.846997503350572</v>
      </c>
      <c r="EM27" s="22">
        <f t="shared" si="19"/>
        <v>131.63146998500227</v>
      </c>
      <c r="EN27" s="60">
        <f t="shared" si="20"/>
        <v>417.63146998500224</v>
      </c>
      <c r="EO27" s="60">
        <f ca="1">AVERAGE(OFFSET($EN$3,0,0,'Données projet'!$E$15+1,1))-AVERAGE(OFFSET($H$3,0,0,'Données projet'!$E$15+1,1))</f>
        <v>236.22643401787644</v>
      </c>
      <c r="EP27" s="60">
        <f t="shared" si="46"/>
        <v>188.80444043778022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3</v>
      </c>
      <c r="FE27" s="13">
        <f>IF('Données projet'!$A$218&gt;35,FE26+FD27-FM26,IF(A27&lt;'Données projet'!$A$218,$FB$205^A27,IF(A27='Données projet'!$A$218,'Données projet'!$B$218,FE26+FD27-FM26)))</f>
        <v>33</v>
      </c>
      <c r="FF27" s="18">
        <f>FE27*VLOOKUP('Données projet'!$B$16,Paramètres!$A$1:$I$89,3,0)*VLOOKUP('Données projet'!$B$16,Paramètres!$A$1:$I$89,5,0)</f>
        <v>31.917600000000004</v>
      </c>
      <c r="FG27" s="14">
        <f t="shared" si="47"/>
        <v>9.829086885605312</v>
      </c>
      <c r="FH27" s="22">
        <f t="shared" si="22"/>
        <v>72.708812992429259</v>
      </c>
      <c r="FI27" s="60">
        <f t="shared" si="23"/>
        <v>358.70881299242927</v>
      </c>
      <c r="FJ27" s="60">
        <f ca="1">AVERAGE(OFFSET($FI$3,0,0,'Données projet'!$E$16+1,1))-AVERAGE(OFFSET($H$3,0,0,'Données projet'!$E$16+1,1))</f>
        <v>255.59755832175625</v>
      </c>
      <c r="FK27" s="60">
        <f t="shared" si="48"/>
        <v>154.0840647586964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0" t="e">
        <f t="shared" si="26"/>
        <v>#N/A</v>
      </c>
      <c r="GE27" s="60" t="e">
        <f ca="1">AVERAGE(OFFSET($GD$3,0,0,'Données projet'!$E$17+1,1))-AVERAGE(OFFSET($H$3,0,0,'Données projet'!$E$17+1,1))</f>
        <v>#N/A</v>
      </c>
      <c r="GF27" s="60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7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0" t="e">
        <f t="shared" si="29"/>
        <v>#N/A</v>
      </c>
      <c r="GZ27" s="60" t="e">
        <f ca="1">AVERAGE(OFFSET($GY$3,0,0,'Données projet'!$E$18+1,1))-AVERAGE(OFFSET($H$3,0,0,'Données projet'!$E$18+1,1))</f>
        <v>#N/A</v>
      </c>
      <c r="HA27" s="60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5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68">
        <f t="shared" si="1"/>
        <v>256.66666666666669</v>
      </c>
      <c r="I28" s="7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0" t="e">
        <f t="shared" si="0"/>
        <v>#NUM!</v>
      </c>
      <c r="S28" s="60">
        <f ca="1">AVERAGE(OFFSET($R$3,0,0,'Données projet'!$E$9+1,1))-AVERAGE(OFFSET($H$3,0,0,'Données projet'!$E$9+1,1))</f>
        <v>64.775385872852041</v>
      </c>
      <c r="T28" s="60">
        <f t="shared" si="34"/>
        <v>201.69061202990468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35.480089560904815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0.34175806320684482</v>
      </c>
      <c r="AC28" s="24">
        <f t="shared" si="3"/>
        <v>35.821847624111662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70.98</v>
      </c>
      <c r="AK28" s="14">
        <f t="shared" si="35"/>
        <v>19.916628839746853</v>
      </c>
      <c r="AL28" s="22">
        <f t="shared" si="4"/>
        <v>158.31162856255909</v>
      </c>
      <c r="AM28" s="60">
        <f t="shared" si="5"/>
        <v>445.53385078478129</v>
      </c>
      <c r="AN28" s="60">
        <f ca="1">AVERAGE(OFFSET($AM$3,0,0,'Données projet'!$E$10+1,1))-AVERAGE(OFFSET($H$3,0,0,'Données projet'!$E$10+1,1))</f>
        <v>475.47920969424894</v>
      </c>
      <c r="AO28" s="60">
        <f t="shared" si="36"/>
        <v>271.73544012419364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7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15.073076923076925</v>
      </c>
      <c r="BD28" s="13">
        <f>IF('Données projet'!$A$88&gt;35,BD27+BC28-BL27,IF(A28&lt;'Données projet'!$A$88,$BA$205^A28,IF(A28='Données projet'!$A$88,'Données projet'!$B$88,BD27+BC28-BL27)))</f>
        <v>149.85384615384612</v>
      </c>
      <c r="BE28" s="14">
        <f>BD28*VLOOKUP('Données projet'!$B$11,Paramètres!$A$1:$I$89,3,0)*VLOOKUP('Données projet'!$B$11,Paramètres!$A$1:$I$89,5,0)</f>
        <v>89.6126</v>
      </c>
      <c r="BF28" s="14">
        <f t="shared" si="37"/>
        <v>24.471769998555317</v>
      </c>
      <c r="BG28" s="22">
        <f t="shared" si="7"/>
        <v>198.69694441415049</v>
      </c>
      <c r="BH28" s="60">
        <f t="shared" si="8"/>
        <v>485.91916663637272</v>
      </c>
      <c r="BI28" s="60">
        <f ca="1">AVERAGE(OFFSET($BH$3,0,0,'Données projet'!$E$11+1,1))-AVERAGE(OFFSET($H$3,0,0,'Données projet'!$E$11+1,1))</f>
        <v>260.02504691866199</v>
      </c>
      <c r="BJ28" s="60">
        <f t="shared" si="38"/>
        <v>270.11268336406368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15.093081938051823</v>
      </c>
      <c r="BR28" s="23">
        <f>EXP(-LN(2)/2)*BR27+(1-EXP(-LN(2)/2))/(LN(2)/2)*BL28*BO28*VLOOKUP('Données projet'!$B$11,Paramètres!$A$1:$I$89,3,0)*0.475*44/12</f>
        <v>10.047889377620729</v>
      </c>
      <c r="BS28" s="24">
        <f t="shared" si="9"/>
        <v>25.140971315672552</v>
      </c>
      <c r="BT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3.4425641025641025</v>
      </c>
      <c r="BY28" s="13">
        <f>IF('Données projet'!$A$114&gt;35,BY27+BX28-CG27,IF(A28&lt;'Données projet'!$A$114,$BV$205^A28,IF(A28='Données projet'!$A$114,'Données projet'!$B$114,BY27+BX28-CG27)))</f>
        <v>47.679981195591871</v>
      </c>
      <c r="BZ28" s="14">
        <f>BY28*VLOOKUP('Données projet'!$B$12,Paramètres!$A$1:$I$89,3,0)*VLOOKUP('Données projet'!$B$12,Paramètres!$A$1:$I$89,5,0)</f>
        <v>22.314231199536998</v>
      </c>
      <c r="CA28" s="14">
        <f t="shared" si="39"/>
        <v>7.1640574010122027</v>
      </c>
      <c r="CB28" s="22">
        <f t="shared" si="10"/>
        <v>51.341352645956526</v>
      </c>
      <c r="CC28" s="60">
        <f t="shared" si="11"/>
        <v>338.56357486817876</v>
      </c>
      <c r="CD28" s="60">
        <f ca="1">AVERAGE(OFFSET($CC$3,0,0,'Données projet'!$E$12+1,1))-AVERAGE(OFFSET($H$3,0,0,'Données projet'!$E$12+1,1))</f>
        <v>246.72166704460847</v>
      </c>
      <c r="CE28" s="60">
        <f t="shared" si="40"/>
        <v>145.54897745089966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70</v>
      </c>
      <c r="CR28" s="13">
        <f>VLOOKUP(A28,'Données projet'!$A$139:$I$159,9,0)</f>
        <v>5.6</v>
      </c>
      <c r="CS28" s="13">
        <f t="array" ref="CS28">INDEX(CR:CR,MIN(IF(ISNUMBER(CR28:CR224),ROW(CR28:CR224),"")))</f>
        <v>5.6</v>
      </c>
      <c r="CT28" s="13">
        <f>IF('Données projet'!$A$140&gt;35,CT27+CS28-DB27,IF(A28&lt;'Données projet'!$A$140,$CQ$205^A28,IF(A28='Données projet'!$A$140,'Données projet'!$B$140,CT27+CS28-DB27)))</f>
        <v>70</v>
      </c>
      <c r="CU28" s="18">
        <f>CT28*VLOOKUP('Données projet'!$B$13,Paramètres!$A$1:$I$89,3,0)*VLOOKUP('Données projet'!$B$13,Paramètres!$A$1:$I$89,5,0)</f>
        <v>63.335999999999991</v>
      </c>
      <c r="CV28" s="14">
        <f t="shared" si="41"/>
        <v>18.009040022946227</v>
      </c>
      <c r="CW28" s="22">
        <f t="shared" si="13"/>
        <v>141.67594470663133</v>
      </c>
      <c r="CX28" s="60">
        <f t="shared" si="14"/>
        <v>428.89816692885358</v>
      </c>
      <c r="CY28" s="60">
        <f ca="1">AVERAGE(OFFSET($CX$3,0,0,'Données projet'!$E$13+1,1))-AVERAGE(OFFSET($H$3,0,0,'Données projet'!$E$13+1,1))</f>
        <v>428.8489304403459</v>
      </c>
      <c r="CZ28" s="60">
        <f t="shared" si="42"/>
        <v>247.01165577562966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91.666666666666657</v>
      </c>
      <c r="DM28" s="13">
        <f>VLOOKUP(A28,'Données projet'!$A$165:$I$185,9,0)</f>
        <v>6.5384615384615374</v>
      </c>
      <c r="DN28" s="13">
        <f t="array" ref="DN28">INDEX(DM:DM,MIN(IF(ISNUMBER(DM28:DM224),ROW(DM28:DM224),"")))</f>
        <v>6.5384615384615374</v>
      </c>
      <c r="DO28" s="13">
        <f>IF('Données projet'!$A$166&gt;35,DO27+DN28-DW27,IF(A28&lt;'Données projet'!$A$166,$DL$205^A28,IF(A28='Données projet'!$A$166,'Données projet'!$B$166,DO27+DN28-DW27)))</f>
        <v>91.666666666666629</v>
      </c>
      <c r="DP28" s="18">
        <f>DO28*VLOOKUP('Données projet'!$B$14,Paramètres!$A$1:$I$89,3,0)*VLOOKUP('Données projet'!$B$14,Paramètres!$A$1:$I$89,5,0)</f>
        <v>95.80999999999996</v>
      </c>
      <c r="DQ28" s="14">
        <f t="shared" si="43"/>
        <v>25.961314793499493</v>
      </c>
      <c r="DR28" s="22">
        <f t="shared" si="16"/>
        <v>212.08503993201154</v>
      </c>
      <c r="DS28" s="60">
        <f t="shared" si="17"/>
        <v>499.30726215423374</v>
      </c>
      <c r="DT28" s="60">
        <f ca="1">AVERAGE(OFFSET($DS$3,0,0,'Données projet'!$E$14+1,1))-AVERAGE(OFFSET($H$3,0,0,'Données projet'!$E$14+1,1))</f>
        <v>493.70175665335978</v>
      </c>
      <c r="DU28" s="60">
        <f t="shared" si="44"/>
        <v>325.12357781685949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77</v>
      </c>
      <c r="EH28" s="13">
        <f>VLOOKUP(A28,'Données projet'!$A$191:$I$211,9,0)</f>
        <v>4.5999999999999996</v>
      </c>
      <c r="EI28" s="13">
        <f t="array" ref="EI28">INDEX(EH:EH,MIN(IF(ISNUMBER(EH28:EH224),ROW(EH28:EH224),"")))</f>
        <v>4.5999999999999996</v>
      </c>
      <c r="EJ28" s="13">
        <f>IF('Données projet'!$A$192&gt;35,EJ27+EI28-ER27,IF(A28&lt;'Données projet'!$A$192,$EG$205^A28,IF(A28='Données projet'!$A$192,'Données projet'!$B$192,EJ27+EI28-ER27)))</f>
        <v>76.999999999999986</v>
      </c>
      <c r="EK28" s="18">
        <f>EJ28*VLOOKUP('Données projet'!$B$15,Paramètres!$A$1:$I$89,3,0)*VLOOKUP('Données projet'!$B$15,Paramètres!$A$1:$I$89,5,0)</f>
        <v>62.462399999999988</v>
      </c>
      <c r="EL28" s="14">
        <f t="shared" si="45"/>
        <v>17.789376189256878</v>
      </c>
      <c r="EM28" s="22">
        <f t="shared" si="19"/>
        <v>139.7718435296224</v>
      </c>
      <c r="EN28" s="60">
        <f t="shared" si="20"/>
        <v>426.99406575184463</v>
      </c>
      <c r="EO28" s="60">
        <f ca="1">AVERAGE(OFFSET($EN$3,0,0,'Données projet'!$E$15+1,1))-AVERAGE(OFFSET($H$3,0,0,'Données projet'!$E$15+1,1))</f>
        <v>236.22643401787644</v>
      </c>
      <c r="EP28" s="60">
        <f t="shared" si="46"/>
        <v>188.80444043778022</v>
      </c>
      <c r="EQ28" s="16">
        <f>IF(ISNA(VLOOKUP(A28,'Données projet'!$A$191:$I$211,3,0)),0,VLOOKUP(A28,'Données projet'!$A$191:$I$211,3,0))</f>
        <v>1</v>
      </c>
      <c r="ER28" s="16">
        <f>IF(ISNA(VLOOKUP(A28,'Données projet'!$A$191:$I$211,4,0)),0,VLOOKUP(A28,'Données projet'!$A$191:$I$211,4,0))</f>
        <v>13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36</v>
      </c>
      <c r="FC28" s="13">
        <f>VLOOKUP(A28,'Données projet'!$A$217:$I$237,9,0)</f>
        <v>3</v>
      </c>
      <c r="FD28" s="13">
        <f t="array" ref="FD28">INDEX(FC:FC,MIN(IF(ISNUMBER(FC28:FC224),ROW(FC28:FC224),"")))</f>
        <v>3</v>
      </c>
      <c r="FE28" s="13">
        <f>IF('Données projet'!$A$218&gt;35,FE27+FD28-FM27,IF(A28&lt;'Données projet'!$A$218,$FB$205^A28,IF(A28='Données projet'!$A$218,'Données projet'!$B$218,FE27+FD28-FM27)))</f>
        <v>36</v>
      </c>
      <c r="FF28" s="18">
        <f>FE28*VLOOKUP('Données projet'!$B$16,Paramètres!$A$1:$I$89,3,0)*VLOOKUP('Données projet'!$B$16,Paramètres!$A$1:$I$89,5,0)</f>
        <v>34.819200000000002</v>
      </c>
      <c r="FG28" s="14">
        <f t="shared" si="47"/>
        <v>10.61458811221417</v>
      </c>
      <c r="FH28" s="22">
        <f t="shared" si="22"/>
        <v>79.130514295439681</v>
      </c>
      <c r="FI28" s="60">
        <f t="shared" si="23"/>
        <v>366.35273651766192</v>
      </c>
      <c r="FJ28" s="60">
        <f ca="1">AVERAGE(OFFSET($FI$3,0,0,'Données projet'!$E$16+1,1))-AVERAGE(OFFSET($H$3,0,0,'Données projet'!$E$16+1,1))</f>
        <v>255.59755832175625</v>
      </c>
      <c r="FK28" s="60">
        <f t="shared" si="48"/>
        <v>154.0840647586964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0" t="e">
        <f t="shared" si="26"/>
        <v>#N/A</v>
      </c>
      <c r="GE28" s="60" t="e">
        <f ca="1">AVERAGE(OFFSET($GD$3,0,0,'Données projet'!$E$17+1,1))-AVERAGE(OFFSET($H$3,0,0,'Données projet'!$E$17+1,1))</f>
        <v>#N/A</v>
      </c>
      <c r="GF28" s="60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7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0" t="e">
        <f t="shared" si="29"/>
        <v>#N/A</v>
      </c>
      <c r="GZ28" s="60" t="e">
        <f ca="1">AVERAGE(OFFSET($GY$3,0,0,'Données projet'!$E$18+1,1))-AVERAGE(OFFSET($H$3,0,0,'Données projet'!$E$18+1,1))</f>
        <v>#N/A</v>
      </c>
      <c r="HA28" s="60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5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68">
        <f t="shared" si="1"/>
        <v>256.66666666666669</v>
      </c>
      <c r="I29" s="7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0" t="e">
        <f t="shared" si="0"/>
        <v>#NUM!</v>
      </c>
      <c r="S29" s="60">
        <f ca="1">AVERAGE(OFFSET($R$3,0,0,'Données projet'!$E$9+1,1))-AVERAGE(OFFSET($H$3,0,0,'Données projet'!$E$9+1,1))</f>
        <v>64.775385872852041</v>
      </c>
      <c r="T29" s="60">
        <f t="shared" si="34"/>
        <v>201.69061202990468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34.784346645333258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0.2416594440187407</v>
      </c>
      <c r="AC29" s="24">
        <f t="shared" si="3"/>
        <v>35.026006089352002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78.078000000000003</v>
      </c>
      <c r="AK29" s="14">
        <f t="shared" si="35"/>
        <v>21.666582091642084</v>
      </c>
      <c r="AL29" s="22">
        <f t="shared" si="4"/>
        <v>173.72181380960993</v>
      </c>
      <c r="AM29" s="60">
        <f t="shared" si="5"/>
        <v>462.16625825405436</v>
      </c>
      <c r="AN29" s="60">
        <f ca="1">AVERAGE(OFFSET($AM$3,0,0,'Données projet'!$E$10+1,1))-AVERAGE(OFFSET($H$3,0,0,'Données projet'!$E$10+1,1))</f>
        <v>475.47920969424894</v>
      </c>
      <c r="AO29" s="60">
        <f t="shared" si="36"/>
        <v>271.73544012419364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7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15.073076923076925</v>
      </c>
      <c r="BD29" s="13">
        <f>IF('Données projet'!$A$88&gt;35,BD28+BC29-BL28,IF(A29&lt;'Données projet'!$A$88,$BA$205^A29,IF(A29='Données projet'!$A$88,'Données projet'!$B$88,BD28+BC29-BL28)))</f>
        <v>164.92692307692306</v>
      </c>
      <c r="BE29" s="14">
        <f>BD29*VLOOKUP('Données projet'!$B$11,Paramètres!$A$1:$I$89,3,0)*VLOOKUP('Données projet'!$B$11,Paramètres!$A$1:$I$89,5,0)</f>
        <v>98.626300000000001</v>
      </c>
      <c r="BF29" s="14">
        <f t="shared" si="37"/>
        <v>26.634469472597342</v>
      </c>
      <c r="BG29" s="22">
        <f t="shared" si="7"/>
        <v>218.16250683144037</v>
      </c>
      <c r="BH29" s="60">
        <f t="shared" si="8"/>
        <v>506.60695127588485</v>
      </c>
      <c r="BI29" s="60">
        <f ca="1">AVERAGE(OFFSET($BH$3,0,0,'Données projet'!$E$11+1,1))-AVERAGE(OFFSET($H$3,0,0,'Données projet'!$E$11+1,1))</f>
        <v>260.02504691866199</v>
      </c>
      <c r="BJ29" s="60">
        <f t="shared" si="38"/>
        <v>270.11268336406368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14.680360818745113</v>
      </c>
      <c r="BR29" s="23">
        <f>EXP(-LN(2)/2)*BR28+(1-EXP(-LN(2)/2))/(LN(2)/2)*BL29*BO29*VLOOKUP('Données projet'!$B$11,Paramètres!$A$1:$I$89,3,0)*0.475*44/12</f>
        <v>7.1049307155278969</v>
      </c>
      <c r="BS29" s="24">
        <f t="shared" si="9"/>
        <v>21.785291534273011</v>
      </c>
      <c r="BT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3.4425641025641025</v>
      </c>
      <c r="BY29" s="13">
        <f>IF('Données projet'!$A$114&gt;35,BY28+BX29-CG28,IF(A29&lt;'Données projet'!$A$114,$BV$205^A29,IF(A29='Données projet'!$A$114,'Données projet'!$B$114,BY28+BX29-CG28)))</f>
        <v>55.650557381086244</v>
      </c>
      <c r="BZ29" s="14">
        <f>BY29*VLOOKUP('Données projet'!$B$12,Paramètres!$A$1:$I$89,3,0)*VLOOKUP('Données projet'!$B$12,Paramètres!$A$1:$I$89,5,0)</f>
        <v>26.044460854348362</v>
      </c>
      <c r="CA29" s="14">
        <f t="shared" si="39"/>
        <v>8.2125526568599181</v>
      </c>
      <c r="CB29" s="22">
        <f t="shared" si="10"/>
        <v>59.664298532021071</v>
      </c>
      <c r="CC29" s="60">
        <f t="shared" si="11"/>
        <v>348.10874297646552</v>
      </c>
      <c r="CD29" s="60">
        <f ca="1">AVERAGE(OFFSET($CC$3,0,0,'Données projet'!$E$12+1,1))-AVERAGE(OFFSET($H$3,0,0,'Données projet'!$E$12+1,1))</f>
        <v>246.72166704460847</v>
      </c>
      <c r="CE29" s="60">
        <f t="shared" si="40"/>
        <v>145.54897745089966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77</v>
      </c>
      <c r="CU29" s="18">
        <f>CT29*VLOOKUP('Données projet'!$B$13,Paramètres!$A$1:$I$89,3,0)*VLOOKUP('Données projet'!$B$13,Paramètres!$A$1:$I$89,5,0)</f>
        <v>69.669600000000003</v>
      </c>
      <c r="CV29" s="14">
        <f t="shared" si="41"/>
        <v>19.591385027476957</v>
      </c>
      <c r="CW29" s="22">
        <f t="shared" si="13"/>
        <v>155.46288225618903</v>
      </c>
      <c r="CX29" s="60">
        <f t="shared" si="14"/>
        <v>443.90732670063346</v>
      </c>
      <c r="CY29" s="60">
        <f ca="1">AVERAGE(OFFSET($CX$3,0,0,'Données projet'!$E$13+1,1))-AVERAGE(OFFSET($H$3,0,0,'Données projet'!$E$13+1,1))</f>
        <v>428.8489304403459</v>
      </c>
      <c r="CZ29" s="60">
        <f t="shared" si="42"/>
        <v>247.01165577562966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6.7948717948717956</v>
      </c>
      <c r="DO29" s="13">
        <f>IF('Données projet'!$A$166&gt;35,DO28+DN29-DW28,IF(A29&lt;'Données projet'!$A$166,$DL$205^A29,IF(A29='Données projet'!$A$166,'Données projet'!$B$166,DO28+DN29-DW28)))</f>
        <v>98.461538461538424</v>
      </c>
      <c r="DP29" s="18">
        <f>DO29*VLOOKUP('Données projet'!$B$14,Paramètres!$A$1:$I$89,3,0)*VLOOKUP('Données projet'!$B$14,Paramètres!$A$1:$I$89,5,0)</f>
        <v>102.91199999999996</v>
      </c>
      <c r="DQ29" s="14">
        <f t="shared" si="43"/>
        <v>27.65457819507073</v>
      </c>
      <c r="DR29" s="22">
        <f t="shared" si="16"/>
        <v>227.40345702308142</v>
      </c>
      <c r="DS29" s="60">
        <f t="shared" si="17"/>
        <v>515.84790146752584</v>
      </c>
      <c r="DT29" s="60">
        <f ca="1">AVERAGE(OFFSET($DS$3,0,0,'Données projet'!$E$14+1,1))-AVERAGE(OFFSET($H$3,0,0,'Données projet'!$E$14+1,1))</f>
        <v>493.70175665335978</v>
      </c>
      <c r="DU29" s="60">
        <f t="shared" si="44"/>
        <v>325.12357781685949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4</v>
      </c>
      <c r="EJ29" s="13">
        <f>IF('Données projet'!$A$192&gt;35,EJ28+EI29-ER28,IF(A29&lt;'Données projet'!$A$192,$EG$205^A29,IF(A29='Données projet'!$A$192,'Données projet'!$B$192,EJ28+EI29-ER28)))</f>
        <v>67.999999999999986</v>
      </c>
      <c r="EK29" s="18">
        <f>EJ29*VLOOKUP('Données projet'!$B$15,Paramètres!$A$1:$I$89,3,0)*VLOOKUP('Données projet'!$B$15,Paramètres!$A$1:$I$89,5,0)</f>
        <v>55.161599999999993</v>
      </c>
      <c r="EL29" s="14">
        <f t="shared" si="45"/>
        <v>15.939048410367359</v>
      </c>
      <c r="EM29" s="22">
        <f t="shared" si="19"/>
        <v>123.83362931472313</v>
      </c>
      <c r="EN29" s="60">
        <f t="shared" si="20"/>
        <v>412.27807375916757</v>
      </c>
      <c r="EO29" s="60">
        <f ca="1">AVERAGE(OFFSET($EN$3,0,0,'Données projet'!$E$15+1,1))-AVERAGE(OFFSET($H$3,0,0,'Données projet'!$E$15+1,1))</f>
        <v>236.22643401787644</v>
      </c>
      <c r="EP29" s="60">
        <f t="shared" si="46"/>
        <v>188.80444043778022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3.6</v>
      </c>
      <c r="FE29" s="13">
        <f>IF('Données projet'!$A$218&gt;35,FE28+FD29-FM28,IF(A29&lt;'Données projet'!$A$218,$FB$205^A29,IF(A29='Données projet'!$A$218,'Données projet'!$B$218,FE28+FD29-FM28)))</f>
        <v>39.6</v>
      </c>
      <c r="FF29" s="18">
        <f>FE29*VLOOKUP('Données projet'!$B$16,Paramètres!$A$1:$I$89,3,0)*VLOOKUP('Données projet'!$B$16,Paramètres!$A$1:$I$89,5,0)</f>
        <v>38.301119999999997</v>
      </c>
      <c r="FG29" s="14">
        <f t="shared" si="47"/>
        <v>11.547227522927502</v>
      </c>
      <c r="FH29" s="22">
        <f t="shared" si="22"/>
        <v>86.819205269098731</v>
      </c>
      <c r="FI29" s="60">
        <f t="shared" si="23"/>
        <v>375.2636497135432</v>
      </c>
      <c r="FJ29" s="60">
        <f ca="1">AVERAGE(OFFSET($FI$3,0,0,'Données projet'!$E$16+1,1))-AVERAGE(OFFSET($H$3,0,0,'Données projet'!$E$16+1,1))</f>
        <v>255.59755832175625</v>
      </c>
      <c r="FK29" s="60">
        <f t="shared" si="48"/>
        <v>154.0840647586964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0" t="e">
        <f t="shared" si="26"/>
        <v>#N/A</v>
      </c>
      <c r="GE29" s="60" t="e">
        <f ca="1">AVERAGE(OFFSET($GD$3,0,0,'Données projet'!$E$17+1,1))-AVERAGE(OFFSET($H$3,0,0,'Données projet'!$E$17+1,1))</f>
        <v>#N/A</v>
      </c>
      <c r="GF29" s="60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7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0" t="e">
        <f t="shared" si="29"/>
        <v>#N/A</v>
      </c>
      <c r="GZ29" s="60" t="e">
        <f ca="1">AVERAGE(OFFSET($GY$3,0,0,'Données projet'!$E$18+1,1))-AVERAGE(OFFSET($H$3,0,0,'Données projet'!$E$18+1,1))</f>
        <v>#N/A</v>
      </c>
      <c r="HA29" s="60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5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68">
        <f t="shared" si="1"/>
        <v>256.66666666666669</v>
      </c>
      <c r="I30" s="7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0" t="e">
        <f t="shared" si="0"/>
        <v>#NUM!</v>
      </c>
      <c r="S30" s="60">
        <f ca="1">AVERAGE(OFFSET($R$3,0,0,'Données projet'!$E$9+1,1))-AVERAGE(OFFSET($H$3,0,0,'Données projet'!$E$9+1,1))</f>
        <v>64.775385872852041</v>
      </c>
      <c r="T30" s="60">
        <f t="shared" si="34"/>
        <v>201.69061202990468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34.102246823974788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0.17087903160342244</v>
      </c>
      <c r="AC30" s="24">
        <f t="shared" si="3"/>
        <v>34.273125855578208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85.176000000000002</v>
      </c>
      <c r="AK30" s="14">
        <f t="shared" si="35"/>
        <v>23.398088487656441</v>
      </c>
      <c r="AL30" s="22">
        <f t="shared" si="4"/>
        <v>189.09987078266829</v>
      </c>
      <c r="AM30" s="60">
        <f t="shared" si="5"/>
        <v>478.76653744933498</v>
      </c>
      <c r="AN30" s="60">
        <f ca="1">AVERAGE(OFFSET($AM$3,0,0,'Données projet'!$E$10+1,1))-AVERAGE(OFFSET($H$3,0,0,'Données projet'!$E$10+1,1))</f>
        <v>475.47920969424894</v>
      </c>
      <c r="AO30" s="60">
        <f t="shared" si="36"/>
        <v>271.73544012419364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7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15.073076923076925</v>
      </c>
      <c r="BD30" s="13">
        <f>IF('Données projet'!$A$88&gt;35,BD29+BC30-BL29,IF(A30&lt;'Données projet'!$A$88,$BA$205^A30,IF(A30='Données projet'!$A$88,'Données projet'!$B$88,BD29+BC30-BL29)))</f>
        <v>180</v>
      </c>
      <c r="BE30" s="14">
        <f>BD30*VLOOKUP('Données projet'!$B$11,Paramètres!$A$1:$I$89,3,0)*VLOOKUP('Données projet'!$B$11,Paramètres!$A$1:$I$89,5,0)</f>
        <v>107.64</v>
      </c>
      <c r="BF30" s="14">
        <f t="shared" si="37"/>
        <v>28.774250263353583</v>
      </c>
      <c r="BG30" s="22">
        <f t="shared" si="7"/>
        <v>237.58815254200749</v>
      </c>
      <c r="BH30" s="60">
        <f t="shared" si="8"/>
        <v>527.25481920867423</v>
      </c>
      <c r="BI30" s="60">
        <f ca="1">AVERAGE(OFFSET($BH$3,0,0,'Données projet'!$E$11+1,1))-AVERAGE(OFFSET($H$3,0,0,'Données projet'!$E$11+1,1))</f>
        <v>260.02504691866199</v>
      </c>
      <c r="BJ30" s="60">
        <f t="shared" si="38"/>
        <v>270.11268336406368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14.278925580149904</v>
      </c>
      <c r="BR30" s="23">
        <f>EXP(-LN(2)/2)*BR29+(1-EXP(-LN(2)/2))/(LN(2)/2)*BL30*BO30*VLOOKUP('Données projet'!$B$11,Paramètres!$A$1:$I$89,3,0)*0.475*44/12</f>
        <v>5.0239446888103654</v>
      </c>
      <c r="BS30" s="24">
        <f t="shared" si="9"/>
        <v>19.30287026896027</v>
      </c>
      <c r="BT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3.4425641025641025</v>
      </c>
      <c r="BY30" s="13">
        <f>IF('Données projet'!$A$114&gt;35,BY29+BX30-CG29,IF(A30&lt;'Données projet'!$A$114,$BV$205^A30,IF(A30='Données projet'!$A$114,'Données projet'!$B$114,BY29+BX30-CG29)))</f>
        <v>64.953560365747308</v>
      </c>
      <c r="BZ30" s="14">
        <f>BY30*VLOOKUP('Données projet'!$B$12,Paramètres!$A$1:$I$89,3,0)*VLOOKUP('Données projet'!$B$12,Paramètres!$A$1:$I$89,5,0)</f>
        <v>30.398266251169741</v>
      </c>
      <c r="CA30" s="14">
        <f t="shared" si="39"/>
        <v>9.4145003824463398</v>
      </c>
      <c r="CB30" s="22">
        <f t="shared" si="10"/>
        <v>69.340568553547996</v>
      </c>
      <c r="CC30" s="60">
        <f t="shared" si="11"/>
        <v>359.00723522021468</v>
      </c>
      <c r="CD30" s="60">
        <f ca="1">AVERAGE(OFFSET($CC$3,0,0,'Données projet'!$E$12+1,1))-AVERAGE(OFFSET($H$3,0,0,'Données projet'!$E$12+1,1))</f>
        <v>246.72166704460847</v>
      </c>
      <c r="CE30" s="60">
        <f t="shared" si="40"/>
        <v>145.54897745089966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84</v>
      </c>
      <c r="CU30" s="18">
        <f>CT30*VLOOKUP('Données projet'!$B$13,Paramètres!$A$1:$I$89,3,0)*VLOOKUP('Données projet'!$B$13,Paramètres!$A$1:$I$89,5,0)</f>
        <v>76.003200000000007</v>
      </c>
      <c r="CV30" s="14">
        <f t="shared" si="41"/>
        <v>21.157049992000456</v>
      </c>
      <c r="CW30" s="22">
        <f t="shared" si="13"/>
        <v>169.22076873606747</v>
      </c>
      <c r="CX30" s="60">
        <f t="shared" si="14"/>
        <v>458.88743540273413</v>
      </c>
      <c r="CY30" s="60">
        <f ca="1">AVERAGE(OFFSET($CX$3,0,0,'Données projet'!$E$13+1,1))-AVERAGE(OFFSET($H$3,0,0,'Données projet'!$E$13+1,1))</f>
        <v>428.8489304403459</v>
      </c>
      <c r="CZ30" s="60">
        <f t="shared" si="42"/>
        <v>247.01165577562966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6.7948717948717956</v>
      </c>
      <c r="DO30" s="13">
        <f>IF('Données projet'!$A$166&gt;35,DO29+DN30-DW29,IF(A30&lt;'Données projet'!$A$166,$DL$205^A30,IF(A30='Données projet'!$A$166,'Données projet'!$B$166,DO29+DN30-DW29)))</f>
        <v>105.25641025641022</v>
      </c>
      <c r="DP30" s="18">
        <f>DO30*VLOOKUP('Données projet'!$B$14,Paramètres!$A$1:$I$89,3,0)*VLOOKUP('Données projet'!$B$14,Paramètres!$A$1:$I$89,5,0)</f>
        <v>110.01399999999998</v>
      </c>
      <c r="DQ30" s="14">
        <f t="shared" si="43"/>
        <v>29.334283057323191</v>
      </c>
      <c r="DR30" s="22">
        <f t="shared" si="16"/>
        <v>242.69825965817117</v>
      </c>
      <c r="DS30" s="60">
        <f t="shared" si="17"/>
        <v>532.36492632483782</v>
      </c>
      <c r="DT30" s="60">
        <f ca="1">AVERAGE(OFFSET($DS$3,0,0,'Données projet'!$E$14+1,1))-AVERAGE(OFFSET($H$3,0,0,'Données projet'!$E$14+1,1))</f>
        <v>493.70175665335978</v>
      </c>
      <c r="DU30" s="60">
        <f t="shared" si="44"/>
        <v>325.12357781685949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4</v>
      </c>
      <c r="EJ30" s="13">
        <f>IF('Données projet'!$A$192&gt;35,EJ29+EI30-ER29,IF(A30&lt;'Données projet'!$A$192,$EG$205^A30,IF(A30='Données projet'!$A$192,'Données projet'!$B$192,EJ29+EI30-ER29)))</f>
        <v>71.999999999999986</v>
      </c>
      <c r="EK30" s="18">
        <f>EJ30*VLOOKUP('Données projet'!$B$15,Paramètres!$A$1:$I$89,3,0)*VLOOKUP('Données projet'!$B$15,Paramètres!$A$1:$I$89,5,0)</f>
        <v>58.406399999999991</v>
      </c>
      <c r="EL30" s="14">
        <f t="shared" si="45"/>
        <v>16.764727871227809</v>
      </c>
      <c r="EM30" s="22">
        <f t="shared" si="19"/>
        <v>130.92304770905506</v>
      </c>
      <c r="EN30" s="60">
        <f t="shared" si="20"/>
        <v>420.58971437572177</v>
      </c>
      <c r="EO30" s="60">
        <f ca="1">AVERAGE(OFFSET($EN$3,0,0,'Données projet'!$E$15+1,1))-AVERAGE(OFFSET($H$3,0,0,'Données projet'!$E$15+1,1))</f>
        <v>236.22643401787644</v>
      </c>
      <c r="EP30" s="60">
        <f t="shared" si="46"/>
        <v>188.80444043778022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3.6</v>
      </c>
      <c r="FE30" s="13">
        <f>IF('Données projet'!$A$218&gt;35,FE29+FD30-FM29,IF(A30&lt;'Données projet'!$A$218,$FB$205^A30,IF(A30='Données projet'!$A$218,'Données projet'!$B$218,FE29+FD30-FM29)))</f>
        <v>43.2</v>
      </c>
      <c r="FF30" s="18">
        <f>FE30*VLOOKUP('Données projet'!$B$16,Paramètres!$A$1:$I$89,3,0)*VLOOKUP('Données projet'!$B$16,Paramètres!$A$1:$I$89,5,0)</f>
        <v>41.783040000000007</v>
      </c>
      <c r="FG30" s="14">
        <f t="shared" si="47"/>
        <v>12.470035662559953</v>
      </c>
      <c r="FH30" s="22">
        <f t="shared" si="22"/>
        <v>94.490773445625265</v>
      </c>
      <c r="FI30" s="60">
        <f t="shared" si="23"/>
        <v>384.15744011229197</v>
      </c>
      <c r="FJ30" s="60">
        <f ca="1">AVERAGE(OFFSET($FI$3,0,0,'Données projet'!$E$16+1,1))-AVERAGE(OFFSET($H$3,0,0,'Données projet'!$E$16+1,1))</f>
        <v>255.59755832175625</v>
      </c>
      <c r="FK30" s="60">
        <f t="shared" si="48"/>
        <v>154.0840647586964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0" t="e">
        <f t="shared" si="26"/>
        <v>#N/A</v>
      </c>
      <c r="GE30" s="60" t="e">
        <f ca="1">AVERAGE(OFFSET($GD$3,0,0,'Données projet'!$E$17+1,1))-AVERAGE(OFFSET($H$3,0,0,'Données projet'!$E$17+1,1))</f>
        <v>#N/A</v>
      </c>
      <c r="GF30" s="60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7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0" t="e">
        <f t="shared" si="29"/>
        <v>#N/A</v>
      </c>
      <c r="GZ30" s="60" t="e">
        <f ca="1">AVERAGE(OFFSET($GY$3,0,0,'Données projet'!$E$18+1,1))-AVERAGE(OFFSET($H$3,0,0,'Données projet'!$E$18+1,1))</f>
        <v>#N/A</v>
      </c>
      <c r="HA30" s="60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5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68">
        <f t="shared" si="1"/>
        <v>256.66666666666669</v>
      </c>
      <c r="I31" s="7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0" t="e">
        <f t="shared" si="0"/>
        <v>#NUM!</v>
      </c>
      <c r="S31" s="60">
        <f ca="1">AVERAGE(OFFSET($R$3,0,0,'Données projet'!$E$9+1,1))-AVERAGE(OFFSET($H$3,0,0,'Données projet'!$E$9+1,1))</f>
        <v>64.775385872852041</v>
      </c>
      <c r="T31" s="60">
        <f t="shared" si="34"/>
        <v>201.69061202990468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33.433522564073343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0.12082972200937038</v>
      </c>
      <c r="AC31" s="24">
        <f t="shared" si="3"/>
        <v>33.554352286082711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92.274000000000001</v>
      </c>
      <c r="AK31" s="14">
        <f t="shared" si="35"/>
        <v>25.112860036087575</v>
      </c>
      <c r="AL31" s="22">
        <f t="shared" si="4"/>
        <v>204.4487812295192</v>
      </c>
      <c r="AM31" s="60">
        <f t="shared" si="5"/>
        <v>495.33767011840803</v>
      </c>
      <c r="AN31" s="60">
        <f ca="1">AVERAGE(OFFSET($AM$3,0,0,'Données projet'!$E$10+1,1))-AVERAGE(OFFSET($H$3,0,0,'Données projet'!$E$10+1,1))</f>
        <v>475.47920969424894</v>
      </c>
      <c r="AO31" s="60">
        <f t="shared" si="36"/>
        <v>271.73544012419364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7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15.073076923076925</v>
      </c>
      <c r="BD31" s="13">
        <f>IF('Données projet'!$A$88&gt;35,BD30+BC31-BL30,IF(A31&lt;'Données projet'!$A$88,$BA$205^A31,IF(A31='Données projet'!$A$88,'Données projet'!$B$88,BD30+BC31-BL30)))</f>
        <v>195.07307692307694</v>
      </c>
      <c r="BE31" s="14">
        <f>BD31*VLOOKUP('Données projet'!$B$11,Paramètres!$A$1:$I$89,3,0)*VLOOKUP('Données projet'!$B$11,Paramètres!$A$1:$I$89,5,0)</f>
        <v>116.65370000000001</v>
      </c>
      <c r="BF31" s="14">
        <f t="shared" si="37"/>
        <v>30.893249762406356</v>
      </c>
      <c r="BG31" s="22">
        <f t="shared" si="7"/>
        <v>256.9776041695244</v>
      </c>
      <c r="BH31" s="60">
        <f t="shared" si="8"/>
        <v>547.8664930584132</v>
      </c>
      <c r="BI31" s="60">
        <f ca="1">AVERAGE(OFFSET($BH$3,0,0,'Données projet'!$E$11+1,1))-AVERAGE(OFFSET($H$3,0,0,'Données projet'!$E$11+1,1))</f>
        <v>260.02504691866199</v>
      </c>
      <c r="BJ31" s="60">
        <f t="shared" si="38"/>
        <v>270.11268336406368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13.888467609264644</v>
      </c>
      <c r="BR31" s="23">
        <f>EXP(-LN(2)/2)*BR30+(1-EXP(-LN(2)/2))/(LN(2)/2)*BL31*BO31*VLOOKUP('Données projet'!$B$11,Paramètres!$A$1:$I$89,3,0)*0.475*44/12</f>
        <v>3.5524653577639489</v>
      </c>
      <c r="BS31" s="24">
        <f t="shared" si="9"/>
        <v>17.440932967028594</v>
      </c>
      <c r="BT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3.4425641025641025</v>
      </c>
      <c r="BY31" s="13">
        <f>IF('Données projet'!$A$114&gt;35,BY30+BX31-CG30,IF(A31&lt;'Données projet'!$A$114,$BV$205^A31,IF(A31='Données projet'!$A$114,'Données projet'!$B$114,BY30+BX31-CG30)))</f>
        <v>75.81172952673181</v>
      </c>
      <c r="BZ31" s="14">
        <f>BY31*VLOOKUP('Données projet'!$B$12,Paramètres!$A$1:$I$89,3,0)*VLOOKUP('Données projet'!$B$12,Paramètres!$A$1:$I$89,5,0)</f>
        <v>35.479889418510488</v>
      </c>
      <c r="CA31" s="14">
        <f t="shared" si="39"/>
        <v>10.7923591061602</v>
      </c>
      <c r="CB31" s="22">
        <f t="shared" si="10"/>
        <v>80.590832847134777</v>
      </c>
      <c r="CC31" s="60">
        <f t="shared" si="11"/>
        <v>371.47972173602363</v>
      </c>
      <c r="CD31" s="60">
        <f ca="1">AVERAGE(OFFSET($CC$3,0,0,'Données projet'!$E$12+1,1))-AVERAGE(OFFSET($H$3,0,0,'Données projet'!$E$12+1,1))</f>
        <v>246.72166704460847</v>
      </c>
      <c r="CE31" s="60">
        <f t="shared" si="40"/>
        <v>145.54897745089966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91</v>
      </c>
      <c r="CU31" s="18">
        <f>CT31*VLOOKUP('Données projet'!$B$13,Paramètres!$A$1:$I$89,3,0)*VLOOKUP('Données projet'!$B$13,Paramètres!$A$1:$I$89,5,0)</f>
        <v>82.336799999999997</v>
      </c>
      <c r="CV31" s="14">
        <f t="shared" si="41"/>
        <v>22.707582950885364</v>
      </c>
      <c r="CW31" s="22">
        <f t="shared" si="13"/>
        <v>182.95230030612535</v>
      </c>
      <c r="CX31" s="60">
        <f t="shared" si="14"/>
        <v>473.84118919501418</v>
      </c>
      <c r="CY31" s="60">
        <f ca="1">AVERAGE(OFFSET($CX$3,0,0,'Données projet'!$E$13+1,1))-AVERAGE(OFFSET($H$3,0,0,'Données projet'!$E$13+1,1))</f>
        <v>428.8489304403459</v>
      </c>
      <c r="CZ31" s="60">
        <f t="shared" si="42"/>
        <v>247.01165577562966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6.7948717948717956</v>
      </c>
      <c r="DO31" s="13">
        <f>IF('Données projet'!$A$166&gt;35,DO30+DN31-DW30,IF(A31&lt;'Données projet'!$A$166,$DL$205^A31,IF(A31='Données projet'!$A$166,'Données projet'!$B$166,DO30+DN31-DW30)))</f>
        <v>112.05128205128202</v>
      </c>
      <c r="DP31" s="18">
        <f>DO31*VLOOKUP('Données projet'!$B$14,Paramètres!$A$1:$I$89,3,0)*VLOOKUP('Données projet'!$B$14,Paramètres!$A$1:$I$89,5,0)</f>
        <v>117.11599999999999</v>
      </c>
      <c r="DQ31" s="14">
        <f t="shared" si="43"/>
        <v>31.001404275140228</v>
      </c>
      <c r="DR31" s="22">
        <f t="shared" si="16"/>
        <v>257.97114577920252</v>
      </c>
      <c r="DS31" s="60">
        <f t="shared" si="17"/>
        <v>548.86003466809143</v>
      </c>
      <c r="DT31" s="60">
        <f ca="1">AVERAGE(OFFSET($DS$3,0,0,'Données projet'!$E$14+1,1))-AVERAGE(OFFSET($H$3,0,0,'Données projet'!$E$14+1,1))</f>
        <v>493.70175665335978</v>
      </c>
      <c r="DU31" s="60">
        <f t="shared" si="44"/>
        <v>325.12357781685949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4</v>
      </c>
      <c r="EJ31" s="13">
        <f>IF('Données projet'!$A$192&gt;35,EJ30+EI31-ER30,IF(A31&lt;'Données projet'!$A$192,$EG$205^A31,IF(A31='Données projet'!$A$192,'Données projet'!$B$192,EJ30+EI31-ER30)))</f>
        <v>75.999999999999986</v>
      </c>
      <c r="EK31" s="18">
        <f>EJ31*VLOOKUP('Données projet'!$B$15,Paramètres!$A$1:$I$89,3,0)*VLOOKUP('Données projet'!$B$15,Paramètres!$A$1:$I$89,5,0)</f>
        <v>61.651199999999996</v>
      </c>
      <c r="EL31" s="14">
        <f t="shared" si="45"/>
        <v>17.585082273674896</v>
      </c>
      <c r="EM31" s="22">
        <f t="shared" si="19"/>
        <v>138.00319162665042</v>
      </c>
      <c r="EN31" s="60">
        <f t="shared" si="20"/>
        <v>428.89208051553931</v>
      </c>
      <c r="EO31" s="60">
        <f ca="1">AVERAGE(OFFSET($EN$3,0,0,'Données projet'!$E$15+1,1))-AVERAGE(OFFSET($H$3,0,0,'Données projet'!$E$15+1,1))</f>
        <v>236.22643401787644</v>
      </c>
      <c r="EP31" s="60">
        <f t="shared" si="46"/>
        <v>188.80444043778022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3.6</v>
      </c>
      <c r="FE31" s="13">
        <f>IF('Données projet'!$A$218&gt;35,FE30+FD31-FM30,IF(A31&lt;'Données projet'!$A$218,$FB$205^A31,IF(A31='Données projet'!$A$218,'Données projet'!$B$218,FE30+FD31-FM30)))</f>
        <v>46.800000000000004</v>
      </c>
      <c r="FF31" s="18">
        <f>FE31*VLOOKUP('Données projet'!$B$16,Paramètres!$A$1:$I$89,3,0)*VLOOKUP('Données projet'!$B$16,Paramètres!$A$1:$I$89,5,0)</f>
        <v>45.264960000000002</v>
      </c>
      <c r="FG31" s="14">
        <f t="shared" si="47"/>
        <v>13.383924947719283</v>
      </c>
      <c r="FH31" s="22">
        <f t="shared" si="22"/>
        <v>102.14680795061109</v>
      </c>
      <c r="FI31" s="60">
        <f t="shared" si="23"/>
        <v>393.03569683949996</v>
      </c>
      <c r="FJ31" s="60">
        <f ca="1">AVERAGE(OFFSET($FI$3,0,0,'Données projet'!$E$16+1,1))-AVERAGE(OFFSET($H$3,0,0,'Données projet'!$E$16+1,1))</f>
        <v>255.59755832175625</v>
      </c>
      <c r="FK31" s="60">
        <f t="shared" si="48"/>
        <v>154.0840647586964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0" t="e">
        <f t="shared" si="26"/>
        <v>#N/A</v>
      </c>
      <c r="GE31" s="60" t="e">
        <f ca="1">AVERAGE(OFFSET($GD$3,0,0,'Données projet'!$E$17+1,1))-AVERAGE(OFFSET($H$3,0,0,'Données projet'!$E$17+1,1))</f>
        <v>#N/A</v>
      </c>
      <c r="GF31" s="60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7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0" t="e">
        <f t="shared" si="29"/>
        <v>#N/A</v>
      </c>
      <c r="GZ31" s="60" t="e">
        <f ca="1">AVERAGE(OFFSET($GY$3,0,0,'Données projet'!$E$18+1,1))-AVERAGE(OFFSET($H$3,0,0,'Données projet'!$E$18+1,1))</f>
        <v>#N/A</v>
      </c>
      <c r="HA31" s="60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5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68">
        <f t="shared" si="1"/>
        <v>256.66666666666669</v>
      </c>
      <c r="I32" s="7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0" t="e">
        <f t="shared" si="0"/>
        <v>#NUM!</v>
      </c>
      <c r="S32" s="60">
        <f ca="1">AVERAGE(OFFSET($R$3,0,0,'Données projet'!$E$9+1,1))-AVERAGE(OFFSET($H$3,0,0,'Données projet'!$E$9+1,1))</f>
        <v>64.775385872852041</v>
      </c>
      <c r="T32" s="60">
        <f t="shared" si="34"/>
        <v>201.69061202990468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32.777911579027041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8.5439515801711233E-2</v>
      </c>
      <c r="AC32" s="24">
        <f t="shared" si="3"/>
        <v>32.863351094828751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99.372000000000014</v>
      </c>
      <c r="AK32" s="14">
        <f t="shared" si="35"/>
        <v>26.812330397327713</v>
      </c>
      <c r="AL32" s="22">
        <f t="shared" si="4"/>
        <v>219.7710421086791</v>
      </c>
      <c r="AM32" s="60">
        <f t="shared" si="5"/>
        <v>511.88215321979021</v>
      </c>
      <c r="AN32" s="60">
        <f ca="1">AVERAGE(OFFSET($AM$3,0,0,'Données projet'!$E$10+1,1))-AVERAGE(OFFSET($H$3,0,0,'Données projet'!$E$10+1,1))</f>
        <v>475.47920969424894</v>
      </c>
      <c r="AO32" s="60">
        <f t="shared" si="36"/>
        <v>271.73544012419364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7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>
        <f>VLOOKUP(A32,'Données projet'!$A$87:$I$107,2,0)</f>
        <v>210.14615384615385</v>
      </c>
      <c r="BB32" s="13">
        <f>VLOOKUP(A32,'Données projet'!$A$87:$I$107,9,0)</f>
        <v>15.073076923076925</v>
      </c>
      <c r="BC32" s="13">
        <f t="array" ref="BC32">INDEX(BB:BB,MIN(IF(ISNUMBER(BB32:BB228),ROW(BB32:BB228),"")))</f>
        <v>15.073076923076925</v>
      </c>
      <c r="BD32" s="13">
        <f>IF('Données projet'!$A$88&gt;35,BD31+BC32-BL31,IF(A32&lt;'Données projet'!$A$88,$BA$205^A32,IF(A32='Données projet'!$A$88,'Données projet'!$B$88,BD31+BC32-BL31)))</f>
        <v>210.14615384615388</v>
      </c>
      <c r="BE32" s="14">
        <f>BD32*VLOOKUP('Données projet'!$B$11,Paramètres!$A$1:$I$89,3,0)*VLOOKUP('Données projet'!$B$11,Paramètres!$A$1:$I$89,5,0)</f>
        <v>125.66740000000003</v>
      </c>
      <c r="BF32" s="14">
        <f t="shared" si="37"/>
        <v>32.993256286656127</v>
      </c>
      <c r="BG32" s="22">
        <f t="shared" si="7"/>
        <v>276.33397636592611</v>
      </c>
      <c r="BH32" s="60">
        <f t="shared" si="8"/>
        <v>568.4450874770373</v>
      </c>
      <c r="BI32" s="60">
        <f ca="1">AVERAGE(OFFSET($BH$3,0,0,'Données projet'!$E$11+1,1))-AVERAGE(OFFSET($H$3,0,0,'Données projet'!$E$11+1,1))</f>
        <v>260.02504691866199</v>
      </c>
      <c r="BJ32" s="60">
        <f t="shared" si="38"/>
        <v>270.11268336406368</v>
      </c>
      <c r="BK32" s="16">
        <f>IF(ISNA(VLOOKUP(A32,'Données projet'!$A$87:$I$107,3,0)),0,VLOOKUP(A32,'Données projet'!$A$87:$I$107,3,0))</f>
        <v>3</v>
      </c>
      <c r="BL32" s="16">
        <f>IF(ISNA(VLOOKUP(A32,'Données projet'!$A$87:$I$107,4,0)),0,VLOOKUP(A32,'Données projet'!$A$87:$I$107,4,0))</f>
        <v>47.661538461538463</v>
      </c>
      <c r="BM32" s="17">
        <f>IF(ISNA(VLOOKUP(A32,'Données projet'!$A$87:$I$107,5,0)),0%,VLOOKUP(A32,'Données projet'!$A$87:$I$107,5,0)*VLOOKUP('Données projet'!$B$11,Paramètres!$A$1:$I$89,7,0))</f>
        <v>0.27</v>
      </c>
      <c r="BN32" s="17">
        <f>IF(ISNA(VLOOKUP(A32,'Données projet'!$A$87:$I$107,6,0)),0%,VLOOKUP(A32,'Données projet'!$A$87:$I$107,6,0)*VLOOKUP('Données projet'!$B$11,Paramètres!$A$1:$I$89,7,0))</f>
        <v>9.0000000000000011E-2</v>
      </c>
      <c r="BO32" s="17">
        <f>IF(ISNA(VLOOKUP(A32,'Données projet'!$A$87:$I$107,7,0)),0%,VLOOKUP(A32,'Données projet'!$A$87:$I$107,7,0))</f>
        <v>0.2</v>
      </c>
      <c r="BP32" s="23">
        <f>EXP(-LN(2)/35)*BP31+(1-EXP(-LN(2)/35))/(LN(2)/35)*BL32*BM32*VLOOKUP('Données projet'!$B$11,Paramètres!$A$1:$I$89,3,0)*0.475*44/12</f>
        <v>10.208486560452011</v>
      </c>
      <c r="BQ32" s="23">
        <f>EXP(-LN(2)/25)*BQ31+(1-EXP(-LN(2)/25))/(LN(2)/25)*Calculateur!BL32*Calculateur!BN32*VLOOKUP('Données projet'!$B$11,Paramètres!$A$1:$I$89,3,0)*0.475*44/12</f>
        <v>16.89811735183493</v>
      </c>
      <c r="BR32" s="23">
        <f>EXP(-LN(2)/2)*BR31+(1-EXP(-LN(2)/2))/(LN(2)/2)*BL32*BO32*VLOOKUP('Données projet'!$B$11,Paramètres!$A$1:$I$89,3,0)*0.475*44/12</f>
        <v>8.9660587546412494</v>
      </c>
      <c r="BS32" s="24">
        <f t="shared" si="9"/>
        <v>36.072662666928196</v>
      </c>
      <c r="BT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3.4425641025641025</v>
      </c>
      <c r="BY32" s="13">
        <f>IF('Données projet'!$A$114&gt;35,BY31+BX32-CG31,IF(A32&lt;'Données projet'!$A$114,$BV$205^A32,IF(A32='Données projet'!$A$114,'Données projet'!$B$114,BY31+BX32-CG31)))</f>
        <v>88.485039179856727</v>
      </c>
      <c r="BZ32" s="14">
        <f>BY32*VLOOKUP('Données projet'!$B$12,Paramètres!$A$1:$I$89,3,0)*VLOOKUP('Données projet'!$B$12,Paramètres!$A$1:$I$89,5,0)</f>
        <v>41.410998336172952</v>
      </c>
      <c r="CA32" s="14">
        <f t="shared" si="39"/>
        <v>12.371874273168087</v>
      </c>
      <c r="CB32" s="22">
        <f t="shared" si="10"/>
        <v>93.671836461268967</v>
      </c>
      <c r="CC32" s="60">
        <f t="shared" si="11"/>
        <v>385.78294757238012</v>
      </c>
      <c r="CD32" s="60">
        <f ca="1">AVERAGE(OFFSET($CC$3,0,0,'Données projet'!$E$12+1,1))-AVERAGE(OFFSET($H$3,0,0,'Données projet'!$E$12+1,1))</f>
        <v>246.72166704460847</v>
      </c>
      <c r="CE32" s="60">
        <f t="shared" si="40"/>
        <v>145.54897745089966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98</v>
      </c>
      <c r="CU32" s="18">
        <f>CT32*VLOOKUP('Données projet'!$B$13,Paramètres!$A$1:$I$89,3,0)*VLOOKUP('Données projet'!$B$13,Paramètres!$A$1:$I$89,5,0)</f>
        <v>88.670400000000001</v>
      </c>
      <c r="CV32" s="14">
        <f t="shared" si="41"/>
        <v>24.244280250395512</v>
      </c>
      <c r="CW32" s="22">
        <f t="shared" si="13"/>
        <v>196.65973476943884</v>
      </c>
      <c r="CX32" s="60">
        <f t="shared" si="14"/>
        <v>488.77084588054998</v>
      </c>
      <c r="CY32" s="60">
        <f ca="1">AVERAGE(OFFSET($CX$3,0,0,'Données projet'!$E$13+1,1))-AVERAGE(OFFSET($H$3,0,0,'Données projet'!$E$13+1,1))</f>
        <v>428.8489304403459</v>
      </c>
      <c r="CZ32" s="60">
        <f t="shared" si="42"/>
        <v>247.01165577562966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6.7948717948717956</v>
      </c>
      <c r="DO32" s="13">
        <f>IF('Données projet'!$A$166&gt;35,DO31+DN32-DW31,IF(A32&lt;'Données projet'!$A$166,$DL$205^A32,IF(A32='Données projet'!$A$166,'Données projet'!$B$166,DO31+DN32-DW31)))</f>
        <v>118.84615384615381</v>
      </c>
      <c r="DP32" s="18">
        <f>DO32*VLOOKUP('Données projet'!$B$14,Paramètres!$A$1:$I$89,3,0)*VLOOKUP('Données projet'!$B$14,Paramètres!$A$1:$I$89,5,0)</f>
        <v>124.21799999999999</v>
      </c>
      <c r="DQ32" s="14">
        <f t="shared" si="43"/>
        <v>32.656791825983653</v>
      </c>
      <c r="DR32" s="22">
        <f t="shared" si="16"/>
        <v>273.22359576358815</v>
      </c>
      <c r="DS32" s="60">
        <f t="shared" si="17"/>
        <v>565.33470687469935</v>
      </c>
      <c r="DT32" s="60">
        <f ca="1">AVERAGE(OFFSET($DS$3,0,0,'Données projet'!$E$14+1,1))-AVERAGE(OFFSET($H$3,0,0,'Données projet'!$E$14+1,1))</f>
        <v>493.70175665335978</v>
      </c>
      <c r="DU32" s="60">
        <f t="shared" si="44"/>
        <v>325.12357781685949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4</v>
      </c>
      <c r="EJ32" s="13">
        <f>IF('Données projet'!$A$192&gt;35,EJ31+EI32-ER31,IF(A32&lt;'Données projet'!$A$192,$EG$205^A32,IF(A32='Données projet'!$A$192,'Données projet'!$B$192,EJ31+EI32-ER31)))</f>
        <v>79.999999999999986</v>
      </c>
      <c r="EK32" s="18">
        <f>EJ32*VLOOKUP('Données projet'!$B$15,Paramètres!$A$1:$I$89,3,0)*VLOOKUP('Données projet'!$B$15,Paramètres!$A$1:$I$89,5,0)</f>
        <v>64.895999999999987</v>
      </c>
      <c r="EL32" s="14">
        <f t="shared" si="45"/>
        <v>18.400423846102949</v>
      </c>
      <c r="EM32" s="22">
        <f t="shared" si="19"/>
        <v>145.07460486529592</v>
      </c>
      <c r="EN32" s="60">
        <f t="shared" si="20"/>
        <v>437.1857159764071</v>
      </c>
      <c r="EO32" s="60">
        <f ca="1">AVERAGE(OFFSET($EN$3,0,0,'Données projet'!$E$15+1,1))-AVERAGE(OFFSET($H$3,0,0,'Données projet'!$E$15+1,1))</f>
        <v>236.22643401787644</v>
      </c>
      <c r="EP32" s="60">
        <f t="shared" si="46"/>
        <v>188.80444043778022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3.6</v>
      </c>
      <c r="FE32" s="13">
        <f>IF('Données projet'!$A$218&gt;35,FE31+FD32-FM31,IF(A32&lt;'Données projet'!$A$218,$FB$205^A32,IF(A32='Données projet'!$A$218,'Données projet'!$B$218,FE31+FD32-FM31)))</f>
        <v>50.400000000000006</v>
      </c>
      <c r="FF32" s="18">
        <f>FE32*VLOOKUP('Données projet'!$B$16,Paramètres!$A$1:$I$89,3,0)*VLOOKUP('Données projet'!$B$16,Paramètres!$A$1:$I$89,5,0)</f>
        <v>48.746880000000012</v>
      </c>
      <c r="FG32" s="14">
        <f t="shared" si="47"/>
        <v>14.2896594492068</v>
      </c>
      <c r="FH32" s="22">
        <f t="shared" si="22"/>
        <v>109.78863954070187</v>
      </c>
      <c r="FI32" s="60">
        <f t="shared" si="23"/>
        <v>401.89975065181301</v>
      </c>
      <c r="FJ32" s="60">
        <f ca="1">AVERAGE(OFFSET($FI$3,0,0,'Données projet'!$E$16+1,1))-AVERAGE(OFFSET($H$3,0,0,'Données projet'!$E$16+1,1))</f>
        <v>255.59755832175625</v>
      </c>
      <c r="FK32" s="60">
        <f t="shared" si="48"/>
        <v>154.0840647586964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0" t="e">
        <f t="shared" si="26"/>
        <v>#N/A</v>
      </c>
      <c r="GE32" s="60" t="e">
        <f ca="1">AVERAGE(OFFSET($GD$3,0,0,'Données projet'!$E$17+1,1))-AVERAGE(OFFSET($H$3,0,0,'Données projet'!$E$17+1,1))</f>
        <v>#N/A</v>
      </c>
      <c r="GF32" s="60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7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0" t="e">
        <f t="shared" si="29"/>
        <v>#N/A</v>
      </c>
      <c r="GZ32" s="60" t="e">
        <f ca="1">AVERAGE(OFFSET($GY$3,0,0,'Données projet'!$E$18+1,1))-AVERAGE(OFFSET($H$3,0,0,'Données projet'!$E$18+1,1))</f>
        <v>#N/A</v>
      </c>
      <c r="HA32" s="60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5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68">
        <f t="shared" si="1"/>
        <v>256.66666666666669</v>
      </c>
      <c r="I33" s="7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0" t="e">
        <f t="shared" si="0"/>
        <v>#NUM!</v>
      </c>
      <c r="S33" s="60">
        <f ca="1">AVERAGE(OFFSET($R$3,0,0,'Données projet'!$E$9+1,1))-AVERAGE(OFFSET($H$3,0,0,'Données projet'!$E$9+1,1))</f>
        <v>64.775385872852041</v>
      </c>
      <c r="T33" s="60">
        <f t="shared" si="34"/>
        <v>201.69061202990468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32.135156725514285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6.0414861004685197E-2</v>
      </c>
      <c r="AC33" s="24">
        <f t="shared" si="3"/>
        <v>32.195571586518973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106.47</v>
      </c>
      <c r="AK33" s="14">
        <f t="shared" si="35"/>
        <v>28.49771681771891</v>
      </c>
      <c r="AL33" s="22">
        <f t="shared" si="4"/>
        <v>235.06877345752704</v>
      </c>
      <c r="AM33" s="60">
        <f t="shared" si="5"/>
        <v>528.40210679086033</v>
      </c>
      <c r="AN33" s="60">
        <f ca="1">AVERAGE(OFFSET($AM$3,0,0,'Données projet'!$E$10+1,1))-AVERAGE(OFFSET($H$3,0,0,'Données projet'!$E$10+1,1))</f>
        <v>475.47920969424894</v>
      </c>
      <c r="AO33" s="60">
        <f t="shared" si="36"/>
        <v>271.73544012419364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7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14.298901098901101</v>
      </c>
      <c r="BD33" s="13">
        <f>IF('Données projet'!$A$88&gt;35,BD32+BC33-BL32,IF(A33&lt;'Données projet'!$A$88,$BA$205^A33,IF(A33='Données projet'!$A$88,'Données projet'!$B$88,BD32+BC33-BL32)))</f>
        <v>176.78351648351651</v>
      </c>
      <c r="BE33" s="14">
        <f>BD33*VLOOKUP('Données projet'!$B$11,Paramètres!$A$1:$I$89,3,0)*VLOOKUP('Données projet'!$B$11,Paramètres!$A$1:$I$89,5,0)</f>
        <v>105.71654285714287</v>
      </c>
      <c r="BF33" s="14">
        <f t="shared" si="37"/>
        <v>28.319447591123378</v>
      </c>
      <c r="BG33" s="22">
        <f t="shared" si="7"/>
        <v>233.44601669739703</v>
      </c>
      <c r="BH33" s="60">
        <f t="shared" si="8"/>
        <v>526.77935003073037</v>
      </c>
      <c r="BI33" s="60">
        <f ca="1">AVERAGE(OFFSET($BH$3,0,0,'Données projet'!$E$11+1,1))-AVERAGE(OFFSET($H$3,0,0,'Données projet'!$E$11+1,1))</f>
        <v>260.02504691866199</v>
      </c>
      <c r="BJ33" s="60">
        <f t="shared" si="38"/>
        <v>270.11268336406368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10.008304365563527</v>
      </c>
      <c r="BQ33" s="23">
        <f>EXP(-LN(2)/25)*BQ32+(1-EXP(-LN(2)/25))/(LN(2)/25)*Calculateur!BL33*Calculateur!BN33*VLOOKUP('Données projet'!$B$11,Paramètres!$A$1:$I$89,3,0)*0.475*44/12</f>
        <v>16.436037444215632</v>
      </c>
      <c r="BR33" s="23">
        <f>EXP(-LN(2)/2)*BR32+(1-EXP(-LN(2)/2))/(LN(2)/2)*BL33*BO33*VLOOKUP('Données projet'!$B$11,Paramètres!$A$1:$I$89,3,0)*0.475*44/12</f>
        <v>6.3399609459238393</v>
      </c>
      <c r="BS33" s="24">
        <f t="shared" si="9"/>
        <v>32.784302755703003</v>
      </c>
      <c r="BT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103.27692307692307</v>
      </c>
      <c r="BW33" s="13">
        <f>VLOOKUP(A33,'Données projet'!$A$113:$I$133,9,0)</f>
        <v>3.4425641025641025</v>
      </c>
      <c r="BX33" s="13">
        <f t="array" ref="BX33">INDEX(BW:BW,MIN(IF(ISNUMBER(BW33:BW229),ROW(BW33:BW229),"")))</f>
        <v>3.4425641025641025</v>
      </c>
      <c r="BY33" s="13">
        <f>IF('Données projet'!$A$114&gt;35,BY32+BX33-CG32,IF(A33&lt;'Données projet'!$A$114,$BV$205^A33,IF(A33='Données projet'!$A$114,'Données projet'!$B$114,BY32+BX33-CG32)))</f>
        <v>103.27692307692307</v>
      </c>
      <c r="BZ33" s="14">
        <f>BY33*VLOOKUP('Données projet'!$B$12,Paramètres!$A$1:$I$89,3,0)*VLOOKUP('Données projet'!$B$12,Paramètres!$A$1:$I$89,5,0)</f>
        <v>48.333599999999997</v>
      </c>
      <c r="CA33" s="14">
        <f t="shared" si="39"/>
        <v>14.182559301951969</v>
      </c>
      <c r="CB33" s="22">
        <f t="shared" si="10"/>
        <v>108.88231078423301</v>
      </c>
      <c r="CC33" s="60">
        <f t="shared" si="11"/>
        <v>402.21564411756634</v>
      </c>
      <c r="CD33" s="60">
        <f ca="1">AVERAGE(OFFSET($CC$3,0,0,'Données projet'!$E$12+1,1))-AVERAGE(OFFSET($H$3,0,0,'Données projet'!$E$12+1,1))</f>
        <v>246.72166704460847</v>
      </c>
      <c r="CE33" s="60">
        <f t="shared" si="40"/>
        <v>145.54897745089966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105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105</v>
      </c>
      <c r="CU33" s="18">
        <f>CT33*VLOOKUP('Données projet'!$B$13,Paramètres!$A$1:$I$89,3,0)*VLOOKUP('Données projet'!$B$13,Paramètres!$A$1:$I$89,5,0)</f>
        <v>95.004000000000005</v>
      </c>
      <c r="CV33" s="14">
        <f t="shared" si="41"/>
        <v>25.768242550600785</v>
      </c>
      <c r="CW33" s="22">
        <f t="shared" si="13"/>
        <v>210.34498910896306</v>
      </c>
      <c r="CX33" s="60">
        <f t="shared" si="14"/>
        <v>503.67832244229635</v>
      </c>
      <c r="CY33" s="60">
        <f ca="1">AVERAGE(OFFSET($CX$3,0,0,'Données projet'!$E$13+1,1))-AVERAGE(OFFSET($H$3,0,0,'Données projet'!$E$13+1,1))</f>
        <v>428.8489304403459</v>
      </c>
      <c r="CZ33" s="60">
        <f t="shared" si="42"/>
        <v>247.01165577562966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29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125.64102564102564</v>
      </c>
      <c r="DM33" s="13">
        <f>VLOOKUP(A33,'Données projet'!$A$165:$I$185,9,0)</f>
        <v>6.7948717948717956</v>
      </c>
      <c r="DN33" s="13">
        <f t="array" ref="DN33">INDEX(DM:DM,MIN(IF(ISNUMBER(DM33:DM229),ROW(DM33:DM229),"")))</f>
        <v>6.7948717948717956</v>
      </c>
      <c r="DO33" s="13">
        <f>IF('Données projet'!$A$166&gt;35,DO32+DN33-DW32,IF(A33&lt;'Données projet'!$A$166,$DL$205^A33,IF(A33='Données projet'!$A$166,'Données projet'!$B$166,DO32+DN33-DW32)))</f>
        <v>125.64102564102561</v>
      </c>
      <c r="DP33" s="18">
        <f>DO33*VLOOKUP('Données projet'!$B$14,Paramètres!$A$1:$I$89,3,0)*VLOOKUP('Données projet'!$B$14,Paramètres!$A$1:$I$89,5,0)</f>
        <v>131.32</v>
      </c>
      <c r="DQ33" s="14">
        <f t="shared" si="43"/>
        <v>34.30119300489546</v>
      </c>
      <c r="DR33" s="22">
        <f t="shared" si="16"/>
        <v>288.45691115019287</v>
      </c>
      <c r="DS33" s="60">
        <f t="shared" si="17"/>
        <v>581.79024448352618</v>
      </c>
      <c r="DT33" s="60">
        <f ca="1">AVERAGE(OFFSET($DS$3,0,0,'Données projet'!$E$14+1,1))-AVERAGE(OFFSET($H$3,0,0,'Données projet'!$E$14+1,1))</f>
        <v>493.70175665335978</v>
      </c>
      <c r="DU33" s="60">
        <f t="shared" si="44"/>
        <v>325.12357781685949</v>
      </c>
      <c r="DV33" s="16">
        <f>IF(ISNA(VLOOKUP(A33,'Données projet'!$A$165:$I$185,3,0)),0,VLOOKUP(A33,'Données projet'!$A$165:$I$185,3,0))</f>
        <v>1</v>
      </c>
      <c r="DW33" s="16">
        <f>IF(ISNA(VLOOKUP(A33,'Données projet'!$A$165:$I$185,4,0)),0,VLOOKUP(A33,'Données projet'!$A$165:$I$185,4,0))</f>
        <v>28.205128205128204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84</v>
      </c>
      <c r="EH33" s="13">
        <f>VLOOKUP(A33,'Données projet'!$A$191:$I$211,9,0)</f>
        <v>4</v>
      </c>
      <c r="EI33" s="13">
        <f t="array" ref="EI33">INDEX(EH:EH,MIN(IF(ISNUMBER(EH33:EH229),ROW(EH33:EH229),"")))</f>
        <v>4</v>
      </c>
      <c r="EJ33" s="13">
        <f>IF('Données projet'!$A$192&gt;35,EJ32+EI33-ER32,IF(A33&lt;'Données projet'!$A$192,$EG$205^A33,IF(A33='Données projet'!$A$192,'Données projet'!$B$192,EJ32+EI33-ER32)))</f>
        <v>83.999999999999986</v>
      </c>
      <c r="EK33" s="18">
        <f>EJ33*VLOOKUP('Données projet'!$B$15,Paramètres!$A$1:$I$89,3,0)*VLOOKUP('Données projet'!$B$15,Paramètres!$A$1:$I$89,5,0)</f>
        <v>68.140799999999984</v>
      </c>
      <c r="EL33" s="14">
        <f t="shared" si="45"/>
        <v>19.21103183030446</v>
      </c>
      <c r="EM33" s="22">
        <f t="shared" si="19"/>
        <v>152.13777377111359</v>
      </c>
      <c r="EN33" s="60">
        <f t="shared" si="20"/>
        <v>445.4711071044469</v>
      </c>
      <c r="EO33" s="60">
        <f ca="1">AVERAGE(OFFSET($EN$3,0,0,'Données projet'!$E$15+1,1))-AVERAGE(OFFSET($H$3,0,0,'Données projet'!$E$15+1,1))</f>
        <v>236.22643401787644</v>
      </c>
      <c r="EP33" s="60">
        <f t="shared" si="46"/>
        <v>188.80444043778022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54</v>
      </c>
      <c r="FC33" s="13">
        <f>VLOOKUP(A33,'Données projet'!$A$217:$I$237,9,0)</f>
        <v>3.6</v>
      </c>
      <c r="FD33" s="13">
        <f t="array" ref="FD33">INDEX(FC:FC,MIN(IF(ISNUMBER(FC33:FC229),ROW(FC33:FC229),"")))</f>
        <v>3.6</v>
      </c>
      <c r="FE33" s="13">
        <f>IF('Données projet'!$A$218&gt;35,FE32+FD33-FM32,IF(A33&lt;'Données projet'!$A$218,$FB$205^A33,IF(A33='Données projet'!$A$218,'Données projet'!$B$218,FE32+FD33-FM32)))</f>
        <v>54.000000000000007</v>
      </c>
      <c r="FF33" s="18">
        <f>FE33*VLOOKUP('Données projet'!$B$16,Paramètres!$A$1:$I$89,3,0)*VLOOKUP('Données projet'!$B$16,Paramètres!$A$1:$I$89,5,0)</f>
        <v>52.228800000000007</v>
      </c>
      <c r="FG33" s="14">
        <f t="shared" si="47"/>
        <v>15.18788789973001</v>
      </c>
      <c r="FH33" s="22">
        <f t="shared" si="22"/>
        <v>117.41739809202979</v>
      </c>
      <c r="FI33" s="60">
        <f t="shared" si="23"/>
        <v>410.75073142536309</v>
      </c>
      <c r="FJ33" s="60">
        <f ca="1">AVERAGE(OFFSET($FI$3,0,0,'Données projet'!$E$16+1,1))-AVERAGE(OFFSET($H$3,0,0,'Données projet'!$E$16+1,1))</f>
        <v>255.59755832175625</v>
      </c>
      <c r="FK33" s="60">
        <f t="shared" si="48"/>
        <v>154.0840647586964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0" t="e">
        <f t="shared" si="26"/>
        <v>#N/A</v>
      </c>
      <c r="GE33" s="60" t="e">
        <f ca="1">AVERAGE(OFFSET($GD$3,0,0,'Données projet'!$E$17+1,1))-AVERAGE(OFFSET($H$3,0,0,'Données projet'!$E$17+1,1))</f>
        <v>#N/A</v>
      </c>
      <c r="GF33" s="60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7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0" t="e">
        <f t="shared" si="29"/>
        <v>#N/A</v>
      </c>
      <c r="GZ33" s="60" t="e">
        <f ca="1">AVERAGE(OFFSET($GY$3,0,0,'Données projet'!$E$18+1,1))-AVERAGE(OFFSET($H$3,0,0,'Données projet'!$E$18+1,1))</f>
        <v>#N/A</v>
      </c>
      <c r="HA33" s="60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5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68">
        <f t="shared" si="1"/>
        <v>256.66666666666669</v>
      </c>
      <c r="I34" s="7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0" t="e">
        <f t="shared" si="0"/>
        <v>#NUM!</v>
      </c>
      <c r="S34" s="60">
        <f ca="1">AVERAGE(OFFSET($R$3,0,0,'Données projet'!$E$9+1,1))-AVERAGE(OFFSET($H$3,0,0,'Données projet'!$E$9+1,1))</f>
        <v>64.775385872852041</v>
      </c>
      <c r="T34" s="60">
        <f t="shared" si="34"/>
        <v>201.69061202990468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31.505005902637162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4.2719757900855623E-2</v>
      </c>
      <c r="AC34" s="24">
        <f t="shared" si="3"/>
        <v>31.547725660538017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85.176000000000002</v>
      </c>
      <c r="AK34" s="14">
        <f t="shared" si="35"/>
        <v>23.398088487656441</v>
      </c>
      <c r="AL34" s="22">
        <f t="shared" si="4"/>
        <v>189.09987078266829</v>
      </c>
      <c r="AM34" s="60">
        <f t="shared" si="5"/>
        <v>482.4332041160016</v>
      </c>
      <c r="AN34" s="60">
        <f ca="1">AVERAGE(OFFSET($AM$3,0,0,'Données projet'!$E$10+1,1))-AVERAGE(OFFSET($H$3,0,0,'Données projet'!$E$10+1,1))</f>
        <v>475.47920969424894</v>
      </c>
      <c r="AO34" s="60">
        <f t="shared" si="36"/>
        <v>271.73544012419364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7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14.298901098901101</v>
      </c>
      <c r="BD34" s="13">
        <f>IF('Données projet'!$A$88&gt;35,BD33+BC34-BL33,IF(A34&lt;'Données projet'!$A$88,$BA$205^A34,IF(A34='Données projet'!$A$88,'Données projet'!$B$88,BD33+BC34-BL33)))</f>
        <v>191.08241758241761</v>
      </c>
      <c r="BE34" s="14">
        <f>BD34*VLOOKUP('Données projet'!$B$11,Paramètres!$A$1:$I$89,3,0)*VLOOKUP('Données projet'!$B$11,Paramètres!$A$1:$I$89,5,0)</f>
        <v>114.26728571428573</v>
      </c>
      <c r="BF34" s="14">
        <f t="shared" si="37"/>
        <v>30.334152496808123</v>
      </c>
      <c r="BG34" s="22">
        <f t="shared" si="7"/>
        <v>251.84750488432181</v>
      </c>
      <c r="BH34" s="60">
        <f t="shared" si="8"/>
        <v>545.18083821765515</v>
      </c>
      <c r="BI34" s="60">
        <f ca="1">AVERAGE(OFFSET($BH$3,0,0,'Données projet'!$E$11+1,1))-AVERAGE(OFFSET($H$3,0,0,'Données projet'!$E$11+1,1))</f>
        <v>260.02504691866199</v>
      </c>
      <c r="BJ34" s="60">
        <f t="shared" si="38"/>
        <v>270.11268336406368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9.8120476214177241</v>
      </c>
      <c r="BQ34" s="23">
        <f>EXP(-LN(2)/25)*BQ33+(1-EXP(-LN(2)/25))/(LN(2)/25)*Calculateur!BL34*Calculateur!BN34*VLOOKUP('Données projet'!$B$11,Paramètres!$A$1:$I$89,3,0)*0.475*44/12</f>
        <v>15.986593135969912</v>
      </c>
      <c r="BR34" s="23">
        <f>EXP(-LN(2)/2)*BR33+(1-EXP(-LN(2)/2))/(LN(2)/2)*BL34*BO34*VLOOKUP('Données projet'!$B$11,Paramètres!$A$1:$I$89,3,0)*0.475*44/12</f>
        <v>4.4830293773206256</v>
      </c>
      <c r="BS34" s="24">
        <f t="shared" si="9"/>
        <v>30.281670134708264</v>
      </c>
      <c r="BT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10.407692307692306</v>
      </c>
      <c r="BY34" s="13">
        <f>IF('Données projet'!$A$114&gt;35,BY33+BX34-CG33,IF(A34&lt;'Données projet'!$A$114,$BV$205^A34,IF(A34='Données projet'!$A$114,'Données projet'!$B$114,BY33+BX34-CG33)))</f>
        <v>113.68461538461537</v>
      </c>
      <c r="BZ34" s="14">
        <f>BY34*VLOOKUP('Données projet'!$B$12,Paramètres!$A$1:$I$89,3,0)*VLOOKUP('Données projet'!$B$12,Paramètres!$A$1:$I$89,5,0)</f>
        <v>53.204399999999993</v>
      </c>
      <c r="CA34" s="14">
        <f t="shared" si="39"/>
        <v>15.43829445428918</v>
      </c>
      <c r="CB34" s="22">
        <f t="shared" si="10"/>
        <v>119.55269284122029</v>
      </c>
      <c r="CC34" s="60">
        <f t="shared" si="11"/>
        <v>412.88602617455359</v>
      </c>
      <c r="CD34" s="60">
        <f ca="1">AVERAGE(OFFSET($CC$3,0,0,'Données projet'!$E$12+1,1))-AVERAGE(OFFSET($H$3,0,0,'Données projet'!$E$12+1,1))</f>
        <v>246.72166704460847</v>
      </c>
      <c r="CE34" s="60">
        <f t="shared" si="40"/>
        <v>145.54897745089966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8</v>
      </c>
      <c r="CT34" s="13">
        <f>IF('Données projet'!$A$140&gt;35,CT33+CS34-DB33,IF(A34&lt;'Données projet'!$A$140,$CQ$205^A34,IF(A34='Données projet'!$A$140,'Données projet'!$B$140,CT33+CS34-DB33)))</f>
        <v>84</v>
      </c>
      <c r="CU34" s="18">
        <f>CT34*VLOOKUP('Données projet'!$B$13,Paramètres!$A$1:$I$89,3,0)*VLOOKUP('Données projet'!$B$13,Paramètres!$A$1:$I$89,5,0)</f>
        <v>76.003200000000007</v>
      </c>
      <c r="CV34" s="14">
        <f t="shared" si="41"/>
        <v>21.157049992000456</v>
      </c>
      <c r="CW34" s="22">
        <f t="shared" si="13"/>
        <v>169.22076873606747</v>
      </c>
      <c r="CX34" s="60">
        <f t="shared" si="14"/>
        <v>462.55410206940076</v>
      </c>
      <c r="CY34" s="60">
        <f ca="1">AVERAGE(OFFSET($CX$3,0,0,'Données projet'!$E$13+1,1))-AVERAGE(OFFSET($H$3,0,0,'Données projet'!$E$13+1,1))</f>
        <v>428.8489304403459</v>
      </c>
      <c r="CZ34" s="60">
        <f t="shared" si="42"/>
        <v>247.01165577562966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6.7948717948717956</v>
      </c>
      <c r="DO34" s="13">
        <f>IF('Données projet'!$A$166&gt;35,DO33+DN34-DW33,IF(A34&lt;'Données projet'!$A$166,$DL$205^A34,IF(A34='Données projet'!$A$166,'Données projet'!$B$166,DO33+DN34-DW33)))</f>
        <v>104.2307692307692</v>
      </c>
      <c r="DP34" s="18">
        <f>DO34*VLOOKUP('Données projet'!$B$14,Paramètres!$A$1:$I$89,3,0)*VLOOKUP('Données projet'!$B$14,Paramètres!$A$1:$I$89,5,0)</f>
        <v>108.94199999999996</v>
      </c>
      <c r="DQ34" s="14">
        <f t="shared" si="43"/>
        <v>29.08157148085148</v>
      </c>
      <c r="DR34" s="22">
        <f t="shared" si="16"/>
        <v>240.39105366248293</v>
      </c>
      <c r="DS34" s="60">
        <f t="shared" si="17"/>
        <v>533.7243869958163</v>
      </c>
      <c r="DT34" s="60">
        <f ca="1">AVERAGE(OFFSET($DS$3,0,0,'Données projet'!$E$14+1,1))-AVERAGE(OFFSET($H$3,0,0,'Données projet'!$E$14+1,1))</f>
        <v>493.70175665335978</v>
      </c>
      <c r="DU34" s="60">
        <f t="shared" si="44"/>
        <v>325.12357781685949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4.8</v>
      </c>
      <c r="EJ34" s="13">
        <f>IF('Données projet'!$A$192&gt;35,EJ33+EI34-ER33,IF(A34&lt;'Données projet'!$A$192,$EG$205^A34,IF(A34='Données projet'!$A$192,'Données projet'!$B$192,EJ33+EI34-ER33)))</f>
        <v>88.799999999999983</v>
      </c>
      <c r="EK34" s="18">
        <f>EJ34*VLOOKUP('Données projet'!$B$15,Paramètres!$A$1:$I$89,3,0)*VLOOKUP('Données projet'!$B$15,Paramètres!$A$1:$I$89,5,0)</f>
        <v>72.034559999999999</v>
      </c>
      <c r="EL34" s="14">
        <f t="shared" si="45"/>
        <v>20.177864949465988</v>
      </c>
      <c r="EM34" s="22">
        <f t="shared" si="19"/>
        <v>160.60330678698656</v>
      </c>
      <c r="EN34" s="60">
        <f t="shared" si="20"/>
        <v>453.93664012031991</v>
      </c>
      <c r="EO34" s="60">
        <f ca="1">AVERAGE(OFFSET($EN$3,0,0,'Données projet'!$E$15+1,1))-AVERAGE(OFFSET($H$3,0,0,'Données projet'!$E$15+1,1))</f>
        <v>236.22643401787644</v>
      </c>
      <c r="EP34" s="60">
        <f t="shared" si="46"/>
        <v>188.80444043778022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3.6</v>
      </c>
      <c r="FE34" s="13">
        <f>IF('Données projet'!$A$218&gt;35,FE33+FD34-FM33,IF(A34&lt;'Données projet'!$A$218,$FB$205^A34,IF(A34='Données projet'!$A$218,'Données projet'!$B$218,FE33+FD34-FM33)))</f>
        <v>57.600000000000009</v>
      </c>
      <c r="FF34" s="18">
        <f>FE34*VLOOKUP('Données projet'!$B$16,Paramètres!$A$1:$I$89,3,0)*VLOOKUP('Données projet'!$B$16,Paramètres!$A$1:$I$89,5,0)</f>
        <v>55.710720000000009</v>
      </c>
      <c r="FG34" s="14">
        <f t="shared" si="47"/>
        <v>16.079167640728176</v>
      </c>
      <c r="FH34" s="22">
        <f t="shared" si="22"/>
        <v>125.03405430760159</v>
      </c>
      <c r="FI34" s="60">
        <f t="shared" si="23"/>
        <v>418.36738764093491</v>
      </c>
      <c r="FJ34" s="60">
        <f ca="1">AVERAGE(OFFSET($FI$3,0,0,'Données projet'!$E$16+1,1))-AVERAGE(OFFSET($H$3,0,0,'Données projet'!$E$16+1,1))</f>
        <v>255.59755832175625</v>
      </c>
      <c r="FK34" s="60">
        <f t="shared" si="48"/>
        <v>154.0840647586964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0" t="e">
        <f t="shared" si="26"/>
        <v>#N/A</v>
      </c>
      <c r="GE34" s="60" t="e">
        <f ca="1">AVERAGE(OFFSET($GD$3,0,0,'Données projet'!$E$17+1,1))-AVERAGE(OFFSET($H$3,0,0,'Données projet'!$E$17+1,1))</f>
        <v>#N/A</v>
      </c>
      <c r="GF34" s="60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7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0" t="e">
        <f t="shared" si="29"/>
        <v>#N/A</v>
      </c>
      <c r="GZ34" s="60" t="e">
        <f ca="1">AVERAGE(OFFSET($GY$3,0,0,'Données projet'!$E$18+1,1))-AVERAGE(OFFSET($H$3,0,0,'Données projet'!$E$18+1,1))</f>
        <v>#N/A</v>
      </c>
      <c r="HA34" s="60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5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68">
        <f t="shared" si="1"/>
        <v>256.66666666666669</v>
      </c>
      <c r="I35" s="7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0" t="e">
        <f t="shared" si="0"/>
        <v>#NUM!</v>
      </c>
      <c r="S35" s="60">
        <f ca="1">AVERAGE(OFFSET($R$3,0,0,'Données projet'!$E$9+1,1))-AVERAGE(OFFSET($H$3,0,0,'Données projet'!$E$9+1,1))</f>
        <v>64.775385872852041</v>
      </c>
      <c r="T35" s="60">
        <f t="shared" si="34"/>
        <v>201.69061202990468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30.887211953042609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3.0207430502342605E-2</v>
      </c>
      <c r="AC35" s="24">
        <f t="shared" si="3"/>
        <v>30.917419383544953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93.288000000000011</v>
      </c>
      <c r="AK35" s="14">
        <f t="shared" si="35"/>
        <v>25.356547829040977</v>
      </c>
      <c r="AL35" s="22">
        <f t="shared" si="4"/>
        <v>206.63925413557971</v>
      </c>
      <c r="AM35" s="60">
        <f t="shared" si="5"/>
        <v>499.97258746891305</v>
      </c>
      <c r="AN35" s="60">
        <f ca="1">AVERAGE(OFFSET($AM$3,0,0,'Données projet'!$E$10+1,1))-AVERAGE(OFFSET($H$3,0,0,'Données projet'!$E$10+1,1))</f>
        <v>475.47920969424894</v>
      </c>
      <c r="AO35" s="60">
        <f t="shared" si="36"/>
        <v>271.73544012419364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7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14.298901098901101</v>
      </c>
      <c r="BD35" s="13">
        <f>IF('Données projet'!$A$88&gt;35,BD34+BC35-BL34,IF(A35&lt;'Données projet'!$A$88,$BA$205^A35,IF(A35='Données projet'!$A$88,'Données projet'!$B$88,BD34+BC35-BL34)))</f>
        <v>205.3813186813187</v>
      </c>
      <c r="BE35" s="14">
        <f>BD35*VLOOKUP('Données projet'!$B$11,Paramètres!$A$1:$I$89,3,0)*VLOOKUP('Données projet'!$B$11,Paramètres!$A$1:$I$89,5,0)</f>
        <v>122.81802857142858</v>
      </c>
      <c r="BF35" s="14">
        <f t="shared" si="37"/>
        <v>32.331367630744694</v>
      </c>
      <c r="BG35" s="22">
        <f t="shared" si="7"/>
        <v>270.21853171878513</v>
      </c>
      <c r="BH35" s="60">
        <f t="shared" si="8"/>
        <v>563.5518650521185</v>
      </c>
      <c r="BI35" s="60">
        <f ca="1">AVERAGE(OFFSET($BH$3,0,0,'Données projet'!$E$11+1,1))-AVERAGE(OFFSET($H$3,0,0,'Données projet'!$E$11+1,1))</f>
        <v>260.02504691866199</v>
      </c>
      <c r="BJ35" s="60">
        <f t="shared" si="38"/>
        <v>270.11268336406368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9.619639352319826</v>
      </c>
      <c r="BQ35" s="23">
        <f>EXP(-LN(2)/25)*BQ34+(1-EXP(-LN(2)/25))/(LN(2)/25)*Calculateur!BL35*Calculateur!BN35*VLOOKUP('Données projet'!$B$11,Paramètres!$A$1:$I$89,3,0)*0.475*44/12</f>
        <v>15.549438905968419</v>
      </c>
      <c r="BR35" s="23">
        <f>EXP(-LN(2)/2)*BR34+(1-EXP(-LN(2)/2))/(LN(2)/2)*BL35*BO35*VLOOKUP('Données projet'!$B$11,Paramètres!$A$1:$I$89,3,0)*0.475*44/12</f>
        <v>3.1699804729619201</v>
      </c>
      <c r="BS35" s="24">
        <f t="shared" si="9"/>
        <v>28.339058731250166</v>
      </c>
      <c r="BT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10.407692307692306</v>
      </c>
      <c r="BY35" s="13">
        <f>IF('Données projet'!$A$114&gt;35,BY34+BX35-CG34,IF(A35&lt;'Données projet'!$A$114,$BV$205^A35,IF(A35='Données projet'!$A$114,'Données projet'!$B$114,BY34+BX35-CG34)))</f>
        <v>124.09230769230767</v>
      </c>
      <c r="BZ35" s="14">
        <f>BY35*VLOOKUP('Données projet'!$B$12,Paramètres!$A$1:$I$89,3,0)*VLOOKUP('Données projet'!$B$12,Paramètres!$A$1:$I$89,5,0)</f>
        <v>58.075199999999995</v>
      </c>
      <c r="CA35" s="14">
        <f t="shared" si="39"/>
        <v>16.680699544623803</v>
      </c>
      <c r="CB35" s="22">
        <f t="shared" si="10"/>
        <v>130.19985837355313</v>
      </c>
      <c r="CC35" s="60">
        <f t="shared" si="11"/>
        <v>423.53319170688644</v>
      </c>
      <c r="CD35" s="60">
        <f ca="1">AVERAGE(OFFSET($CC$3,0,0,'Données projet'!$E$12+1,1))-AVERAGE(OFFSET($H$3,0,0,'Données projet'!$E$12+1,1))</f>
        <v>246.72166704460847</v>
      </c>
      <c r="CE35" s="60">
        <f t="shared" si="40"/>
        <v>145.54897745089966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8</v>
      </c>
      <c r="CT35" s="13">
        <f>IF('Données projet'!$A$140&gt;35,CT34+CS35-DB34,IF(A35&lt;'Données projet'!$A$140,$CQ$205^A35,IF(A35='Données projet'!$A$140,'Données projet'!$B$140,CT34+CS35-DB34)))</f>
        <v>92</v>
      </c>
      <c r="CU35" s="18">
        <f>CT35*VLOOKUP('Données projet'!$B$13,Paramètres!$A$1:$I$89,3,0)*VLOOKUP('Données projet'!$B$13,Paramètres!$A$1:$I$89,5,0)</f>
        <v>83.241600000000005</v>
      </c>
      <c r="CV35" s="14">
        <f t="shared" si="41"/>
        <v>22.927930643846508</v>
      </c>
      <c r="CW35" s="22">
        <f t="shared" si="13"/>
        <v>184.91193253803269</v>
      </c>
      <c r="CX35" s="60">
        <f t="shared" si="14"/>
        <v>478.24526587136597</v>
      </c>
      <c r="CY35" s="60">
        <f ca="1">AVERAGE(OFFSET($CX$3,0,0,'Données projet'!$E$13+1,1))-AVERAGE(OFFSET($H$3,0,0,'Données projet'!$E$13+1,1))</f>
        <v>428.8489304403459</v>
      </c>
      <c r="CZ35" s="60">
        <f t="shared" si="42"/>
        <v>247.01165577562966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6.7948717948717956</v>
      </c>
      <c r="DO35" s="13">
        <f>IF('Données projet'!$A$166&gt;35,DO34+DN35-DW34,IF(A35&lt;'Données projet'!$A$166,$DL$205^A35,IF(A35='Données projet'!$A$166,'Données projet'!$B$166,DO34+DN35-DW34)))</f>
        <v>111.02564102564099</v>
      </c>
      <c r="DP35" s="18">
        <f>DO35*VLOOKUP('Données projet'!$B$14,Paramètres!$A$1:$I$89,3,0)*VLOOKUP('Données projet'!$B$14,Paramètres!$A$1:$I$89,5,0)</f>
        <v>116.04399999999997</v>
      </c>
      <c r="DQ35" s="14">
        <f t="shared" si="43"/>
        <v>30.750534860350001</v>
      </c>
      <c r="DR35" s="22">
        <f t="shared" si="16"/>
        <v>255.66714821510956</v>
      </c>
      <c r="DS35" s="60">
        <f t="shared" si="17"/>
        <v>549.00048154844285</v>
      </c>
      <c r="DT35" s="60">
        <f ca="1">AVERAGE(OFFSET($DS$3,0,0,'Données projet'!$E$14+1,1))-AVERAGE(OFFSET($H$3,0,0,'Données projet'!$E$14+1,1))</f>
        <v>493.70175665335978</v>
      </c>
      <c r="DU35" s="60">
        <f t="shared" si="44"/>
        <v>325.12357781685949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4.8</v>
      </c>
      <c r="EJ35" s="13">
        <f>IF('Données projet'!$A$192&gt;35,EJ34+EI35-ER34,IF(A35&lt;'Données projet'!$A$192,$EG$205^A35,IF(A35='Données projet'!$A$192,'Données projet'!$B$192,EJ34+EI35-ER34)))</f>
        <v>93.59999999999998</v>
      </c>
      <c r="EK35" s="18">
        <f>EJ35*VLOOKUP('Données projet'!$B$15,Paramètres!$A$1:$I$89,3,0)*VLOOKUP('Données projet'!$B$15,Paramètres!$A$1:$I$89,5,0)</f>
        <v>75.928319999999985</v>
      </c>
      <c r="EL35" s="14">
        <f t="shared" si="45"/>
        <v>21.138630837616763</v>
      </c>
      <c r="EM35" s="22">
        <f t="shared" si="19"/>
        <v>169.05827270884916</v>
      </c>
      <c r="EN35" s="60">
        <f t="shared" si="20"/>
        <v>462.3916060421825</v>
      </c>
      <c r="EO35" s="60">
        <f ca="1">AVERAGE(OFFSET($EN$3,0,0,'Données projet'!$E$15+1,1))-AVERAGE(OFFSET($H$3,0,0,'Données projet'!$E$15+1,1))</f>
        <v>236.22643401787644</v>
      </c>
      <c r="EP35" s="60">
        <f t="shared" si="46"/>
        <v>188.80444043778022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3.6</v>
      </c>
      <c r="FE35" s="13">
        <f>IF('Données projet'!$A$218&gt;35,FE34+FD35-FM34,IF(A35&lt;'Données projet'!$A$218,$FB$205^A35,IF(A35='Données projet'!$A$218,'Données projet'!$B$218,FE34+FD35-FM34)))</f>
        <v>61.20000000000001</v>
      </c>
      <c r="FF35" s="18">
        <f>FE35*VLOOKUP('Données projet'!$B$16,Paramètres!$A$1:$I$89,3,0)*VLOOKUP('Données projet'!$B$16,Paramètres!$A$1:$I$89,5,0)</f>
        <v>59.192640000000004</v>
      </c>
      <c r="FG35" s="14">
        <f t="shared" si="47"/>
        <v>16.963982408330725</v>
      </c>
      <c r="FH35" s="22">
        <f t="shared" si="22"/>
        <v>132.63945069450935</v>
      </c>
      <c r="FI35" s="60">
        <f t="shared" si="23"/>
        <v>425.97278402784264</v>
      </c>
      <c r="FJ35" s="60">
        <f ca="1">AVERAGE(OFFSET($FI$3,0,0,'Données projet'!$E$16+1,1))-AVERAGE(OFFSET($H$3,0,0,'Données projet'!$E$16+1,1))</f>
        <v>255.59755832175625</v>
      </c>
      <c r="FK35" s="60">
        <f t="shared" si="48"/>
        <v>154.0840647586964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0" t="e">
        <f t="shared" si="26"/>
        <v>#N/A</v>
      </c>
      <c r="GE35" s="60" t="e">
        <f ca="1">AVERAGE(OFFSET($GD$3,0,0,'Données projet'!$E$17+1,1))-AVERAGE(OFFSET($H$3,0,0,'Données projet'!$E$17+1,1))</f>
        <v>#N/A</v>
      </c>
      <c r="GF35" s="60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7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0" t="e">
        <f t="shared" si="29"/>
        <v>#N/A</v>
      </c>
      <c r="GZ35" s="60" t="e">
        <f ca="1">AVERAGE(OFFSET($GY$3,0,0,'Données projet'!$E$18+1,1))-AVERAGE(OFFSET($H$3,0,0,'Données projet'!$E$18+1,1))</f>
        <v>#N/A</v>
      </c>
      <c r="HA35" s="60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5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68">
        <f t="shared" si="1"/>
        <v>256.66666666666669</v>
      </c>
      <c r="I36" s="7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0" t="e">
        <f t="shared" si="0"/>
        <v>#NUM!</v>
      </c>
      <c r="S36" s="60">
        <f ca="1">AVERAGE(OFFSET($R$3,0,0,'Données projet'!$E$9+1,1))-AVERAGE(OFFSET($H$3,0,0,'Données projet'!$E$9+1,1))</f>
        <v>64.775385872852041</v>
      </c>
      <c r="T36" s="60">
        <f t="shared" si="34"/>
        <v>201.69061202990468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30.281532565982506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2.1359878950427815E-2</v>
      </c>
      <c r="AC36" s="24">
        <f t="shared" si="3"/>
        <v>30.302892444932933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101.4</v>
      </c>
      <c r="AK36" s="14">
        <f t="shared" si="35"/>
        <v>27.295257887453797</v>
      </c>
      <c r="AL36" s="22">
        <f t="shared" si="4"/>
        <v>224.14424082064872</v>
      </c>
      <c r="AM36" s="60">
        <f t="shared" si="5"/>
        <v>517.477574153982</v>
      </c>
      <c r="AN36" s="60">
        <f ca="1">AVERAGE(OFFSET($AM$3,0,0,'Données projet'!$E$10+1,1))-AVERAGE(OFFSET($H$3,0,0,'Données projet'!$E$10+1,1))</f>
        <v>475.47920969424894</v>
      </c>
      <c r="AO36" s="60">
        <f t="shared" si="36"/>
        <v>271.73544012419364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7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14.298901098901101</v>
      </c>
      <c r="BD36" s="13">
        <f>IF('Données projet'!$A$88&gt;35,BD35+BC36-BL35,IF(A36&lt;'Données projet'!$A$88,$BA$205^A36,IF(A36='Données projet'!$A$88,'Données projet'!$B$88,BD35+BC36-BL35)))</f>
        <v>219.6802197802198</v>
      </c>
      <c r="BE36" s="14">
        <f>BD36*VLOOKUP('Données projet'!$B$11,Paramètres!$A$1:$I$89,3,0)*VLOOKUP('Données projet'!$B$11,Paramètres!$A$1:$I$89,5,0)</f>
        <v>131.36877142857145</v>
      </c>
      <c r="BF36" s="14">
        <f t="shared" si="37"/>
        <v>34.312449162076589</v>
      </c>
      <c r="BG36" s="22">
        <f t="shared" si="7"/>
        <v>288.56145919537863</v>
      </c>
      <c r="BH36" s="60">
        <f t="shared" si="8"/>
        <v>581.89479252871195</v>
      </c>
      <c r="BI36" s="60">
        <f ca="1">AVERAGE(OFFSET($BH$3,0,0,'Données projet'!$E$11+1,1))-AVERAGE(OFFSET($H$3,0,0,'Données projet'!$E$11+1,1))</f>
        <v>260.02504691866199</v>
      </c>
      <c r="BJ36" s="60">
        <f t="shared" si="38"/>
        <v>270.11268336406368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9.4310040920214817</v>
      </c>
      <c r="BQ36" s="23">
        <f>EXP(-LN(2)/25)*BQ35+(1-EXP(-LN(2)/25))/(LN(2)/25)*Calculateur!BL36*Calculateur!BN36*VLOOKUP('Données projet'!$B$11,Paramètres!$A$1:$I$89,3,0)*0.475*44/12</f>
        <v>15.124238681375259</v>
      </c>
      <c r="BR36" s="23">
        <f>EXP(-LN(2)/2)*BR35+(1-EXP(-LN(2)/2))/(LN(2)/2)*BL36*BO36*VLOOKUP('Données projet'!$B$11,Paramètres!$A$1:$I$89,3,0)*0.475*44/12</f>
        <v>2.2415146886603132</v>
      </c>
      <c r="BS36" s="24">
        <f t="shared" si="9"/>
        <v>26.796757462057055</v>
      </c>
      <c r="BT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10.407692307692306</v>
      </c>
      <c r="BY36" s="13">
        <f>IF('Données projet'!$A$114&gt;35,BY35+BX36-CG35,IF(A36&lt;'Données projet'!$A$114,$BV$205^A36,IF(A36='Données projet'!$A$114,'Données projet'!$B$114,BY35+BX36-CG35)))</f>
        <v>134.49999999999997</v>
      </c>
      <c r="BZ36" s="14">
        <f>BY36*VLOOKUP('Données projet'!$B$12,Paramètres!$A$1:$I$89,3,0)*VLOOKUP('Données projet'!$B$12,Paramètres!$A$1:$I$89,5,0)</f>
        <v>62.945999999999984</v>
      </c>
      <c r="CA36" s="14">
        <f t="shared" si="39"/>
        <v>17.911019680519317</v>
      </c>
      <c r="CB36" s="22">
        <f t="shared" si="10"/>
        <v>140.82597594357108</v>
      </c>
      <c r="CC36" s="60">
        <f t="shared" si="11"/>
        <v>434.15930927690442</v>
      </c>
      <c r="CD36" s="60">
        <f ca="1">AVERAGE(OFFSET($CC$3,0,0,'Données projet'!$E$12+1,1))-AVERAGE(OFFSET($H$3,0,0,'Données projet'!$E$12+1,1))</f>
        <v>246.72166704460847</v>
      </c>
      <c r="CE36" s="60">
        <f t="shared" si="40"/>
        <v>145.54897745089966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8</v>
      </c>
      <c r="CT36" s="13">
        <f>IF('Données projet'!$A$140&gt;35,CT35+CS36-DB35,IF(A36&lt;'Données projet'!$A$140,$CQ$205^A36,IF(A36='Données projet'!$A$140,'Données projet'!$B$140,CT35+CS36-DB35)))</f>
        <v>100</v>
      </c>
      <c r="CU36" s="18">
        <f>CT36*VLOOKUP('Données projet'!$B$13,Paramètres!$A$1:$I$89,3,0)*VLOOKUP('Données projet'!$B$13,Paramètres!$A$1:$I$89,5,0)</f>
        <v>90.47999999999999</v>
      </c>
      <c r="CV36" s="14">
        <f t="shared" si="41"/>
        <v>24.680953573367994</v>
      </c>
      <c r="CW36" s="22">
        <f t="shared" si="13"/>
        <v>200.57199414028256</v>
      </c>
      <c r="CX36" s="60">
        <f t="shared" si="14"/>
        <v>493.9053274736159</v>
      </c>
      <c r="CY36" s="60">
        <f ca="1">AVERAGE(OFFSET($CX$3,0,0,'Données projet'!$E$13+1,1))-AVERAGE(OFFSET($H$3,0,0,'Données projet'!$E$13+1,1))</f>
        <v>428.8489304403459</v>
      </c>
      <c r="CZ36" s="60">
        <f t="shared" si="42"/>
        <v>247.01165577562966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6.7948717948717956</v>
      </c>
      <c r="DO36" s="13">
        <f>IF('Données projet'!$A$166&gt;35,DO35+DN36-DW35,IF(A36&lt;'Données projet'!$A$166,$DL$205^A36,IF(A36='Données projet'!$A$166,'Données projet'!$B$166,DO35+DN36-DW35)))</f>
        <v>117.82051282051279</v>
      </c>
      <c r="DP36" s="18">
        <f>DO36*VLOOKUP('Données projet'!$B$14,Paramètres!$A$1:$I$89,3,0)*VLOOKUP('Données projet'!$B$14,Paramètres!$A$1:$I$89,5,0)</f>
        <v>123.14599999999997</v>
      </c>
      <c r="DQ36" s="14">
        <f t="shared" si="43"/>
        <v>32.407643337050729</v>
      </c>
      <c r="DR36" s="22">
        <f t="shared" si="16"/>
        <v>270.92259547869656</v>
      </c>
      <c r="DS36" s="60">
        <f t="shared" si="17"/>
        <v>564.25592881202988</v>
      </c>
      <c r="DT36" s="60">
        <f ca="1">AVERAGE(OFFSET($DS$3,0,0,'Données projet'!$E$14+1,1))-AVERAGE(OFFSET($H$3,0,0,'Données projet'!$E$14+1,1))</f>
        <v>493.70175665335978</v>
      </c>
      <c r="DU36" s="60">
        <f t="shared" si="44"/>
        <v>325.12357781685949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4.8</v>
      </c>
      <c r="EJ36" s="13">
        <f>IF('Données projet'!$A$192&gt;35,EJ35+EI36-ER35,IF(A36&lt;'Données projet'!$A$192,$EG$205^A36,IF(A36='Données projet'!$A$192,'Données projet'!$B$192,EJ35+EI36-ER35)))</f>
        <v>98.399999999999977</v>
      </c>
      <c r="EK36" s="18">
        <f>EJ36*VLOOKUP('Données projet'!$B$15,Paramètres!$A$1:$I$89,3,0)*VLOOKUP('Données projet'!$B$15,Paramètres!$A$1:$I$89,5,0)</f>
        <v>79.822079999999985</v>
      </c>
      <c r="EL36" s="14">
        <f t="shared" si="45"/>
        <v>22.093676128235838</v>
      </c>
      <c r="EM36" s="22">
        <f t="shared" si="19"/>
        <v>177.5032752566774</v>
      </c>
      <c r="EN36" s="60">
        <f t="shared" si="20"/>
        <v>470.83660859001071</v>
      </c>
      <c r="EO36" s="60">
        <f ca="1">AVERAGE(OFFSET($EN$3,0,0,'Données projet'!$E$15+1,1))-AVERAGE(OFFSET($H$3,0,0,'Données projet'!$E$15+1,1))</f>
        <v>236.22643401787644</v>
      </c>
      <c r="EP36" s="60">
        <f t="shared" si="46"/>
        <v>188.80444043778022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3.6</v>
      </c>
      <c r="FE36" s="13">
        <f>IF('Données projet'!$A$218&gt;35,FE35+FD36-FM35,IF(A36&lt;'Données projet'!$A$218,$FB$205^A36,IF(A36='Données projet'!$A$218,'Données projet'!$B$218,FE35+FD36-FM35)))</f>
        <v>64.800000000000011</v>
      </c>
      <c r="FF36" s="18">
        <f>FE36*VLOOKUP('Données projet'!$B$16,Paramètres!$A$1:$I$89,3,0)*VLOOKUP('Données projet'!$B$16,Paramètres!$A$1:$I$89,5,0)</f>
        <v>62.674560000000014</v>
      </c>
      <c r="FG36" s="14">
        <f t="shared" si="47"/>
        <v>17.8427558136393</v>
      </c>
      <c r="FH36" s="22">
        <f t="shared" si="22"/>
        <v>140.23432504208844</v>
      </c>
      <c r="FI36" s="60">
        <f t="shared" si="23"/>
        <v>433.56765837542173</v>
      </c>
      <c r="FJ36" s="60">
        <f ca="1">AVERAGE(OFFSET($FI$3,0,0,'Données projet'!$E$16+1,1))-AVERAGE(OFFSET($H$3,0,0,'Données projet'!$E$16+1,1))</f>
        <v>255.59755832175625</v>
      </c>
      <c r="FK36" s="60">
        <f t="shared" si="48"/>
        <v>154.0840647586964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0" t="e">
        <f t="shared" si="26"/>
        <v>#N/A</v>
      </c>
      <c r="GE36" s="60" t="e">
        <f ca="1">AVERAGE(OFFSET($GD$3,0,0,'Données projet'!$E$17+1,1))-AVERAGE(OFFSET($H$3,0,0,'Données projet'!$E$17+1,1))</f>
        <v>#N/A</v>
      </c>
      <c r="GF36" s="60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7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0" t="e">
        <f t="shared" si="29"/>
        <v>#N/A</v>
      </c>
      <c r="GZ36" s="60" t="e">
        <f ca="1">AVERAGE(OFFSET($GY$3,0,0,'Données projet'!$E$18+1,1))-AVERAGE(OFFSET($H$3,0,0,'Données projet'!$E$18+1,1))</f>
        <v>#N/A</v>
      </c>
      <c r="HA36" s="60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5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68">
        <f t="shared" si="1"/>
        <v>256.66666666666669</v>
      </c>
      <c r="I37" s="7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0" t="e">
        <f t="shared" si="0"/>
        <v>#NUM!</v>
      </c>
      <c r="S37" s="60">
        <f ca="1">AVERAGE(OFFSET($R$3,0,0,'Données projet'!$E$9+1,1))-AVERAGE(OFFSET($H$3,0,0,'Données projet'!$E$9+1,1))</f>
        <v>64.775385872852041</v>
      </c>
      <c r="T37" s="60">
        <f t="shared" si="34"/>
        <v>201.69061202990468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29.687730182274702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1.5103715251171304E-2</v>
      </c>
      <c r="AC37" s="24">
        <f t="shared" si="3"/>
        <v>29.702833897525874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109.51200000000001</v>
      </c>
      <c r="AK37" s="14">
        <f t="shared" si="35"/>
        <v>29.215978230632555</v>
      </c>
      <c r="AL37" s="22">
        <f t="shared" si="4"/>
        <v>241.61789541835174</v>
      </c>
      <c r="AM37" s="60">
        <f t="shared" si="5"/>
        <v>534.95122875168499</v>
      </c>
      <c r="AN37" s="60">
        <f ca="1">AVERAGE(OFFSET($AM$3,0,0,'Données projet'!$E$10+1,1))-AVERAGE(OFFSET($H$3,0,0,'Données projet'!$E$10+1,1))</f>
        <v>475.47920969424894</v>
      </c>
      <c r="AO37" s="60">
        <f t="shared" si="36"/>
        <v>271.73544012419364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7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14.298901098901101</v>
      </c>
      <c r="BD37" s="13">
        <f>IF('Données projet'!$A$88&gt;35,BD36+BC37-BL36,IF(A37&lt;'Données projet'!$A$88,$BA$205^A37,IF(A37='Données projet'!$A$88,'Données projet'!$B$88,BD36+BC37-BL36)))</f>
        <v>233.9791208791209</v>
      </c>
      <c r="BE37" s="14">
        <f>BD37*VLOOKUP('Données projet'!$B$11,Paramètres!$A$1:$I$89,3,0)*VLOOKUP('Données projet'!$B$11,Paramètres!$A$1:$I$89,5,0)</f>
        <v>139.91951428571431</v>
      </c>
      <c r="BF37" s="14">
        <f t="shared" si="37"/>
        <v>36.278566731027588</v>
      </c>
      <c r="BG37" s="22">
        <f t="shared" si="7"/>
        <v>306.87832443749215</v>
      </c>
      <c r="BH37" s="60">
        <f t="shared" si="8"/>
        <v>600.21165777082547</v>
      </c>
      <c r="BI37" s="60">
        <f ca="1">AVERAGE(OFFSET($BH$3,0,0,'Données projet'!$E$11+1,1))-AVERAGE(OFFSET($H$3,0,0,'Données projet'!$E$11+1,1))</f>
        <v>260.02504691866199</v>
      </c>
      <c r="BJ37" s="60">
        <f t="shared" si="38"/>
        <v>270.11268336406368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9.2460678541214403</v>
      </c>
      <c r="BQ37" s="23">
        <f>EXP(-LN(2)/25)*BQ36+(1-EXP(-LN(2)/25))/(LN(2)/25)*Calculateur!BL37*Calculateur!BN37*VLOOKUP('Données projet'!$B$11,Paramètres!$A$1:$I$89,3,0)*0.475*44/12</f>
        <v>14.710665579283907</v>
      </c>
      <c r="BR37" s="23">
        <f>EXP(-LN(2)/2)*BR36+(1-EXP(-LN(2)/2))/(LN(2)/2)*BL37*BO37*VLOOKUP('Données projet'!$B$11,Paramètres!$A$1:$I$89,3,0)*0.475*44/12</f>
        <v>1.5849902364809605</v>
      </c>
      <c r="BS37" s="24">
        <f t="shared" si="9"/>
        <v>25.541723669886309</v>
      </c>
      <c r="BT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10.407692307692306</v>
      </c>
      <c r="BY37" s="13">
        <f>IF('Données projet'!$A$114&gt;35,BY36+BX37-CG36,IF(A37&lt;'Données projet'!$A$114,$BV$205^A37,IF(A37='Données projet'!$A$114,'Données projet'!$B$114,BY36+BX37-CG36)))</f>
        <v>144.90769230769229</v>
      </c>
      <c r="BZ37" s="14">
        <f>BY37*VLOOKUP('Données projet'!$B$12,Paramètres!$A$1:$I$89,3,0)*VLOOKUP('Données projet'!$B$12,Paramètres!$A$1:$I$89,5,0)</f>
        <v>67.816799999999986</v>
      </c>
      <c r="CA37" s="14">
        <f t="shared" si="39"/>
        <v>19.130296326257337</v>
      </c>
      <c r="CB37" s="22">
        <f t="shared" si="10"/>
        <v>151.43285943489818</v>
      </c>
      <c r="CC37" s="60">
        <f t="shared" si="11"/>
        <v>444.76619276823146</v>
      </c>
      <c r="CD37" s="60">
        <f ca="1">AVERAGE(OFFSET($CC$3,0,0,'Données projet'!$E$12+1,1))-AVERAGE(OFFSET($H$3,0,0,'Données projet'!$E$12+1,1))</f>
        <v>246.72166704460847</v>
      </c>
      <c r="CE37" s="60">
        <f t="shared" si="40"/>
        <v>145.54897745089966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8</v>
      </c>
      <c r="CT37" s="13">
        <f>IF('Données projet'!$A$140&gt;35,CT36+CS37-DB36,IF(A37&lt;'Données projet'!$A$140,$CQ$205^A37,IF(A37='Données projet'!$A$140,'Données projet'!$B$140,CT36+CS37-DB36)))</f>
        <v>108</v>
      </c>
      <c r="CU37" s="18">
        <f>CT37*VLOOKUP('Données projet'!$B$13,Paramètres!$A$1:$I$89,3,0)*VLOOKUP('Données projet'!$B$13,Paramètres!$A$1:$I$89,5,0)</f>
        <v>97.718399999999988</v>
      </c>
      <c r="CV37" s="14">
        <f t="shared" si="41"/>
        <v>26.417709819192194</v>
      </c>
      <c r="CW37" s="22">
        <f t="shared" si="13"/>
        <v>216.20372460175972</v>
      </c>
      <c r="CX37" s="60">
        <f t="shared" si="14"/>
        <v>509.537057935093</v>
      </c>
      <c r="CY37" s="60">
        <f ca="1">AVERAGE(OFFSET($CX$3,0,0,'Données projet'!$E$13+1,1))-AVERAGE(OFFSET($H$3,0,0,'Données projet'!$E$13+1,1))</f>
        <v>428.8489304403459</v>
      </c>
      <c r="CZ37" s="60">
        <f t="shared" si="42"/>
        <v>247.01165577562966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6.7948717948717956</v>
      </c>
      <c r="DO37" s="13">
        <f>IF('Données projet'!$A$166&gt;35,DO36+DN37-DW36,IF(A37&lt;'Données projet'!$A$166,$DL$205^A37,IF(A37='Données projet'!$A$166,'Données projet'!$B$166,DO36+DN37-DW36)))</f>
        <v>124.61538461538458</v>
      </c>
      <c r="DP37" s="18">
        <f>DO37*VLOOKUP('Données projet'!$B$14,Paramètres!$A$1:$I$89,3,0)*VLOOKUP('Données projet'!$B$14,Paramètres!$A$1:$I$89,5,0)</f>
        <v>130.24799999999999</v>
      </c>
      <c r="DQ37" s="14">
        <f t="shared" si="43"/>
        <v>34.053658492903352</v>
      </c>
      <c r="DR37" s="22">
        <f t="shared" si="16"/>
        <v>286.15872187513997</v>
      </c>
      <c r="DS37" s="60">
        <f t="shared" si="17"/>
        <v>579.49205520847329</v>
      </c>
      <c r="DT37" s="60">
        <f ca="1">AVERAGE(OFFSET($DS$3,0,0,'Données projet'!$E$14+1,1))-AVERAGE(OFFSET($H$3,0,0,'Données projet'!$E$14+1,1))</f>
        <v>493.70175665335978</v>
      </c>
      <c r="DU37" s="60">
        <f t="shared" si="44"/>
        <v>325.12357781685949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4.8</v>
      </c>
      <c r="EJ37" s="13">
        <f>IF('Données projet'!$A$192&gt;35,EJ36+EI37-ER36,IF(A37&lt;'Données projet'!$A$192,$EG$205^A37,IF(A37='Données projet'!$A$192,'Données projet'!$B$192,EJ36+EI37-ER36)))</f>
        <v>103.19999999999997</v>
      </c>
      <c r="EK37" s="18">
        <f>EJ37*VLOOKUP('Données projet'!$B$15,Paramètres!$A$1:$I$89,3,0)*VLOOKUP('Données projet'!$B$15,Paramètres!$A$1:$I$89,5,0)</f>
        <v>83.715839999999986</v>
      </c>
      <c r="EL37" s="14">
        <f t="shared" si="45"/>
        <v>23.043311726295538</v>
      </c>
      <c r="EM37" s="22">
        <f t="shared" si="19"/>
        <v>185.93885592329801</v>
      </c>
      <c r="EN37" s="60">
        <f t="shared" si="20"/>
        <v>479.27218925663135</v>
      </c>
      <c r="EO37" s="60">
        <f ca="1">AVERAGE(OFFSET($EN$3,0,0,'Données projet'!$E$15+1,1))-AVERAGE(OFFSET($H$3,0,0,'Données projet'!$E$15+1,1))</f>
        <v>236.22643401787644</v>
      </c>
      <c r="EP37" s="60">
        <f t="shared" si="46"/>
        <v>188.80444043778022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3.6</v>
      </c>
      <c r="FE37" s="13">
        <f>IF('Données projet'!$A$218&gt;35,FE36+FD37-FM36,IF(A37&lt;'Données projet'!$A$218,$FB$205^A37,IF(A37='Données projet'!$A$218,'Données projet'!$B$218,FE36+FD37-FM36)))</f>
        <v>68.400000000000006</v>
      </c>
      <c r="FF37" s="18">
        <f>FE37*VLOOKUP('Données projet'!$B$16,Paramètres!$A$1:$I$89,3,0)*VLOOKUP('Données projet'!$B$16,Paramètres!$A$1:$I$89,5,0)</f>
        <v>66.156480000000002</v>
      </c>
      <c r="FG37" s="14">
        <f t="shared" si="47"/>
        <v>18.71586174150994</v>
      </c>
      <c r="FH37" s="22">
        <f t="shared" si="22"/>
        <v>147.81932853312981</v>
      </c>
      <c r="FI37" s="60">
        <f t="shared" si="23"/>
        <v>441.15266186646312</v>
      </c>
      <c r="FJ37" s="60">
        <f ca="1">AVERAGE(OFFSET($FI$3,0,0,'Données projet'!$E$16+1,1))-AVERAGE(OFFSET($H$3,0,0,'Données projet'!$E$16+1,1))</f>
        <v>255.59755832175625</v>
      </c>
      <c r="FK37" s="60">
        <f t="shared" si="48"/>
        <v>154.0840647586964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0" t="e">
        <f t="shared" si="26"/>
        <v>#N/A</v>
      </c>
      <c r="GE37" s="60" t="e">
        <f ca="1">AVERAGE(OFFSET($GD$3,0,0,'Données projet'!$E$17+1,1))-AVERAGE(OFFSET($H$3,0,0,'Données projet'!$E$17+1,1))</f>
        <v>#N/A</v>
      </c>
      <c r="GF37" s="60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7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0" t="e">
        <f t="shared" si="29"/>
        <v>#N/A</v>
      </c>
      <c r="GZ37" s="60" t="e">
        <f ca="1">AVERAGE(OFFSET($GY$3,0,0,'Données projet'!$E$18+1,1))-AVERAGE(OFFSET($H$3,0,0,'Données projet'!$E$18+1,1))</f>
        <v>#N/A</v>
      </c>
      <c r="HA37" s="60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5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68">
        <f t="shared" si="1"/>
        <v>256.66666666666669</v>
      </c>
      <c r="I38" s="7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0" t="e">
        <f t="shared" si="0"/>
        <v>#NUM!</v>
      </c>
      <c r="S38" s="60">
        <f ca="1">AVERAGE(OFFSET($R$3,0,0,'Données projet'!$E$9+1,1))-AVERAGE(OFFSET($H$3,0,0,'Données projet'!$E$9+1,1))</f>
        <v>64.775385872852041</v>
      </c>
      <c r="T38" s="60">
        <f t="shared" si="34"/>
        <v>201.69061202990468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29.105571901127718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1.0679939475213909E-2</v>
      </c>
      <c r="AC38" s="24">
        <f t="shared" si="3"/>
        <v>29.116251840602931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117.62400000000001</v>
      </c>
      <c r="AK38" s="14">
        <f t="shared" si="35"/>
        <v>31.120192961985413</v>
      </c>
      <c r="AL38" s="22">
        <f t="shared" si="4"/>
        <v>259.06280274212457</v>
      </c>
      <c r="AM38" s="60">
        <f t="shared" si="5"/>
        <v>552.39613607545789</v>
      </c>
      <c r="AN38" s="60">
        <f ca="1">AVERAGE(OFFSET($AM$3,0,0,'Données projet'!$E$10+1,1))-AVERAGE(OFFSET($H$3,0,0,'Données projet'!$E$10+1,1))</f>
        <v>475.47920969424894</v>
      </c>
      <c r="AO38" s="60">
        <f t="shared" si="36"/>
        <v>271.73544012419364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7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14.298901098901101</v>
      </c>
      <c r="BD38" s="13">
        <f>IF('Données projet'!$A$88&gt;35,BD37+BC38-BL37,IF(A38&lt;'Données projet'!$A$88,$BA$205^A38,IF(A38='Données projet'!$A$88,'Données projet'!$B$88,BD37+BC38-BL37)))</f>
        <v>248.278021978022</v>
      </c>
      <c r="BE38" s="14">
        <f>BD38*VLOOKUP('Données projet'!$B$11,Paramètres!$A$1:$I$89,3,0)*VLOOKUP('Données projet'!$B$11,Paramètres!$A$1:$I$89,5,0)</f>
        <v>148.47025714285718</v>
      </c>
      <c r="BF38" s="14">
        <f t="shared" si="37"/>
        <v>38.230738941903269</v>
      </c>
      <c r="BG38" s="22">
        <f t="shared" si="7"/>
        <v>325.17090151429107</v>
      </c>
      <c r="BH38" s="60">
        <f t="shared" si="8"/>
        <v>618.50423484762439</v>
      </c>
      <c r="BI38" s="60">
        <f ca="1">AVERAGE(OFFSET($BH$3,0,0,'Données projet'!$E$11+1,1))-AVERAGE(OFFSET($H$3,0,0,'Données projet'!$E$11+1,1))</f>
        <v>260.02504691866199</v>
      </c>
      <c r="BJ38" s="60">
        <f t="shared" si="38"/>
        <v>270.11268336406368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9.0647581030466515</v>
      </c>
      <c r="BQ38" s="23">
        <f>EXP(-LN(2)/25)*BQ37+(1-EXP(-LN(2)/25))/(LN(2)/25)*Calculateur!BL38*Calculateur!BN38*VLOOKUP('Données projet'!$B$11,Paramètres!$A$1:$I$89,3,0)*0.475*44/12</f>
        <v>14.308401655418107</v>
      </c>
      <c r="BR38" s="23">
        <f>EXP(-LN(2)/2)*BR37+(1-EXP(-LN(2)/2))/(LN(2)/2)*BL38*BO38*VLOOKUP('Données projet'!$B$11,Paramètres!$A$1:$I$89,3,0)*0.475*44/12</f>
        <v>1.1207573443301568</v>
      </c>
      <c r="BS38" s="24">
        <f t="shared" si="9"/>
        <v>24.493917102794917</v>
      </c>
      <c r="BT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10.407692307692306</v>
      </c>
      <c r="BY38" s="13">
        <f>IF('Données projet'!$A$114&gt;35,BY37+BX38-CG37,IF(A38&lt;'Données projet'!$A$114,$BV$205^A38,IF(A38='Données projet'!$A$114,'Données projet'!$B$114,BY37+BX38-CG37)))</f>
        <v>155.3153846153846</v>
      </c>
      <c r="BZ38" s="14">
        <f>BY38*VLOOKUP('Données projet'!$B$12,Paramètres!$A$1:$I$89,3,0)*VLOOKUP('Données projet'!$B$12,Paramètres!$A$1:$I$89,5,0)</f>
        <v>72.687600000000003</v>
      </c>
      <c r="CA38" s="14">
        <f t="shared" si="39"/>
        <v>20.339412865653394</v>
      </c>
      <c r="CB38" s="22">
        <f t="shared" si="10"/>
        <v>162.02204740767968</v>
      </c>
      <c r="CC38" s="60">
        <f t="shared" si="11"/>
        <v>455.35538074101299</v>
      </c>
      <c r="CD38" s="60">
        <f ca="1">AVERAGE(OFFSET($CC$3,0,0,'Données projet'!$E$12+1,1))-AVERAGE(OFFSET($H$3,0,0,'Données projet'!$E$12+1,1))</f>
        <v>246.72166704460847</v>
      </c>
      <c r="CE38" s="60">
        <f t="shared" si="40"/>
        <v>145.54897745089966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8</v>
      </c>
      <c r="CS38" s="13">
        <f t="array" ref="CS38">INDEX(CR:CR,MIN(IF(ISNUMBER(CR38:CR234),ROW(CR38:CR234),"")))</f>
        <v>8</v>
      </c>
      <c r="CT38" s="13">
        <f>IF('Données projet'!$A$140&gt;35,CT37+CS38-DB37,IF(A38&lt;'Données projet'!$A$140,$CQ$205^A38,IF(A38='Données projet'!$A$140,'Données projet'!$B$140,CT37+CS38-DB37)))</f>
        <v>116</v>
      </c>
      <c r="CU38" s="18">
        <f>CT38*VLOOKUP('Données projet'!$B$13,Paramètres!$A$1:$I$89,3,0)*VLOOKUP('Données projet'!$B$13,Paramètres!$A$1:$I$89,5,0)</f>
        <v>104.9568</v>
      </c>
      <c r="CV38" s="14">
        <f t="shared" si="41"/>
        <v>28.139541339232373</v>
      </c>
      <c r="CW38" s="22">
        <f t="shared" si="13"/>
        <v>231.8094611658297</v>
      </c>
      <c r="CX38" s="60">
        <f t="shared" si="14"/>
        <v>525.14279449916307</v>
      </c>
      <c r="CY38" s="60">
        <f ca="1">AVERAGE(OFFSET($CX$3,0,0,'Données projet'!$E$13+1,1))-AVERAGE(OFFSET($H$3,0,0,'Données projet'!$E$13+1,1))</f>
        <v>428.8489304403459</v>
      </c>
      <c r="CZ38" s="60">
        <f t="shared" si="42"/>
        <v>247.01165577562966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131.41025641025641</v>
      </c>
      <c r="DM38" s="13">
        <f>VLOOKUP(A38,'Données projet'!$A$165:$I$185,9,0)</f>
        <v>6.7948717948717956</v>
      </c>
      <c r="DN38" s="13">
        <f t="array" ref="DN38">INDEX(DM:DM,MIN(IF(ISNUMBER(DM38:DM234),ROW(DM38:DM234),"")))</f>
        <v>6.7948717948717956</v>
      </c>
      <c r="DO38" s="13">
        <f>IF('Données projet'!$A$166&gt;35,DO37+DN38-DW37,IF(A38&lt;'Données projet'!$A$166,$DL$205^A38,IF(A38='Données projet'!$A$166,'Données projet'!$B$166,DO37+DN38-DW37)))</f>
        <v>131.41025641025638</v>
      </c>
      <c r="DP38" s="18">
        <f>DO38*VLOOKUP('Données projet'!$B$14,Paramètres!$A$1:$I$89,3,0)*VLOOKUP('Données projet'!$B$14,Paramètres!$A$1:$I$89,5,0)</f>
        <v>137.35</v>
      </c>
      <c r="DQ38" s="14">
        <f t="shared" si="43"/>
        <v>35.68925416600387</v>
      </c>
      <c r="DR38" s="22">
        <f t="shared" si="16"/>
        <v>301.37670100579004</v>
      </c>
      <c r="DS38" s="60">
        <f t="shared" si="17"/>
        <v>594.71003433912335</v>
      </c>
      <c r="DT38" s="60">
        <f ca="1">AVERAGE(OFFSET($DS$3,0,0,'Données projet'!$E$14+1,1))-AVERAGE(OFFSET($H$3,0,0,'Données projet'!$E$14+1,1))</f>
        <v>493.70175665335978</v>
      </c>
      <c r="DU38" s="60">
        <f t="shared" si="44"/>
        <v>325.12357781685949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108</v>
      </c>
      <c r="EH38" s="13">
        <f>VLOOKUP(A38,'Données projet'!$A$191:$I$211,9,0)</f>
        <v>4.8</v>
      </c>
      <c r="EI38" s="13">
        <f t="array" ref="EI38">INDEX(EH:EH,MIN(IF(ISNUMBER(EH38:EH234),ROW(EH38:EH234),"")))</f>
        <v>4.8</v>
      </c>
      <c r="EJ38" s="13">
        <f>IF('Données projet'!$A$192&gt;35,EJ37+EI38-ER37,IF(A38&lt;'Données projet'!$A$192,$EG$205^A38,IF(A38='Données projet'!$A$192,'Données projet'!$B$192,EJ37+EI38-ER37)))</f>
        <v>107.99999999999997</v>
      </c>
      <c r="EK38" s="18">
        <f>EJ38*VLOOKUP('Données projet'!$B$15,Paramètres!$A$1:$I$89,3,0)*VLOOKUP('Données projet'!$B$15,Paramètres!$A$1:$I$89,5,0)</f>
        <v>87.609599999999986</v>
      </c>
      <c r="EL38" s="14">
        <f t="shared" si="45"/>
        <v>23.987817980868787</v>
      </c>
      <c r="EM38" s="22">
        <f t="shared" si="19"/>
        <v>194.36550298334643</v>
      </c>
      <c r="EN38" s="60">
        <f t="shared" si="20"/>
        <v>487.69883631667972</v>
      </c>
      <c r="EO38" s="60">
        <f ca="1">AVERAGE(OFFSET($EN$3,0,0,'Données projet'!$E$15+1,1))-AVERAGE(OFFSET($H$3,0,0,'Données projet'!$E$15+1,1))</f>
        <v>236.22643401787644</v>
      </c>
      <c r="EP38" s="60">
        <f t="shared" si="46"/>
        <v>188.80444043778022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19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72</v>
      </c>
      <c r="FC38" s="13">
        <f>VLOOKUP(A38,'Données projet'!$A$217:$I$237,9,0)</f>
        <v>3.6</v>
      </c>
      <c r="FD38" s="13">
        <f t="array" ref="FD38">INDEX(FC:FC,MIN(IF(ISNUMBER(FC38:FC234),ROW(FC38:FC234),"")))</f>
        <v>3.6</v>
      </c>
      <c r="FE38" s="13">
        <f>IF('Données projet'!$A$218&gt;35,FE37+FD38-FM37,IF(A38&lt;'Données projet'!$A$218,$FB$205^A38,IF(A38='Données projet'!$A$218,'Données projet'!$B$218,FE37+FD38-FM37)))</f>
        <v>72</v>
      </c>
      <c r="FF38" s="18">
        <f>FE38*VLOOKUP('Données projet'!$B$16,Paramètres!$A$1:$I$89,3,0)*VLOOKUP('Données projet'!$B$16,Paramètres!$A$1:$I$89,5,0)</f>
        <v>69.638400000000004</v>
      </c>
      <c r="FG38" s="14">
        <f t="shared" si="47"/>
        <v>19.583632497664617</v>
      </c>
      <c r="FH38" s="22">
        <f t="shared" si="22"/>
        <v>155.39503993343254</v>
      </c>
      <c r="FI38" s="60">
        <f t="shared" si="23"/>
        <v>448.72837326676586</v>
      </c>
      <c r="FJ38" s="60">
        <f ca="1">AVERAGE(OFFSET($FI$3,0,0,'Données projet'!$E$16+1,1))-AVERAGE(OFFSET($H$3,0,0,'Données projet'!$E$16+1,1))</f>
        <v>255.59755832175625</v>
      </c>
      <c r="FK38" s="60">
        <f t="shared" si="48"/>
        <v>154.0840647586964</v>
      </c>
      <c r="FL38" s="16">
        <f>IF(ISNA(VLOOKUP(A38,'Données projet'!$A$217:$I$237,3,0)),0,VLOOKUP(A38,'Données projet'!$A$217:$I$237,3,0))</f>
        <v>1</v>
      </c>
      <c r="FM38" s="16">
        <f>IF(ISNA(VLOOKUP(A38,'Données projet'!$A$217:$I$237,4,0)),0,VLOOKUP(A38,'Données projet'!$A$217:$I$237,4,0))</f>
        <v>17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0" t="e">
        <f t="shared" si="26"/>
        <v>#N/A</v>
      </c>
      <c r="GE38" s="60" t="e">
        <f ca="1">AVERAGE(OFFSET($GD$3,0,0,'Données projet'!$E$17+1,1))-AVERAGE(OFFSET($H$3,0,0,'Données projet'!$E$17+1,1))</f>
        <v>#N/A</v>
      </c>
      <c r="GF38" s="60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7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0" t="e">
        <f t="shared" si="29"/>
        <v>#N/A</v>
      </c>
      <c r="GZ38" s="60" t="e">
        <f ca="1">AVERAGE(OFFSET($GY$3,0,0,'Données projet'!$E$18+1,1))-AVERAGE(OFFSET($H$3,0,0,'Données projet'!$E$18+1,1))</f>
        <v>#N/A</v>
      </c>
      <c r="HA38" s="60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5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68">
        <f t="shared" si="1"/>
        <v>256.66666666666669</v>
      </c>
      <c r="I39" s="7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0" t="e">
        <f t="shared" si="0"/>
        <v>#NUM!</v>
      </c>
      <c r="S39" s="60">
        <f ca="1">AVERAGE(OFFSET($R$3,0,0,'Données projet'!$E$9+1,1))-AVERAGE(OFFSET($H$3,0,0,'Données projet'!$E$9+1,1))</f>
        <v>64.775385872852041</v>
      </c>
      <c r="T39" s="60">
        <f t="shared" si="34"/>
        <v>201.69061202990468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28.534829388792534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7.5518576255856531E-3</v>
      </c>
      <c r="AC39" s="24">
        <f t="shared" si="3"/>
        <v>28.54238124641812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126.1416</v>
      </c>
      <c r="AK39" s="14">
        <f t="shared" si="35"/>
        <v>33.10323903126482</v>
      </c>
      <c r="AL39" s="22">
        <f t="shared" si="4"/>
        <v>277.35142797945286</v>
      </c>
      <c r="AM39" s="60">
        <f t="shared" si="5"/>
        <v>570.68476131278612</v>
      </c>
      <c r="AN39" s="60">
        <f ca="1">AVERAGE(OFFSET($AM$3,0,0,'Données projet'!$E$10+1,1))-AVERAGE(OFFSET($H$3,0,0,'Données projet'!$E$10+1,1))</f>
        <v>475.47920969424894</v>
      </c>
      <c r="AO39" s="60">
        <f t="shared" si="36"/>
        <v>271.73544012419364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7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>
        <f>VLOOKUP(A39,'Données projet'!$A$87:$I$107,2,0)</f>
        <v>262.57692307692309</v>
      </c>
      <c r="BB39" s="13">
        <f>VLOOKUP(A39,'Données projet'!$A$87:$I$107,9,0)</f>
        <v>14.298901098901101</v>
      </c>
      <c r="BC39" s="13">
        <f t="array" ref="BC39">INDEX(BB:BB,MIN(IF(ISNUMBER(BB39:BB235),ROW(BB39:BB235),"")))</f>
        <v>14.298901098901101</v>
      </c>
      <c r="BD39" s="13">
        <f>IF('Données projet'!$A$88&gt;35,BD38+BC39-BL38,IF(A39&lt;'Données projet'!$A$88,$BA$205^A39,IF(A39='Données projet'!$A$88,'Données projet'!$B$88,BD38+BC39-BL38)))</f>
        <v>262.57692307692309</v>
      </c>
      <c r="BE39" s="14">
        <f>BD39*VLOOKUP('Données projet'!$B$11,Paramètres!$A$1:$I$89,3,0)*VLOOKUP('Données projet'!$B$11,Paramètres!$A$1:$I$89,5,0)</f>
        <v>157.02100000000002</v>
      </c>
      <c r="BF39" s="14">
        <f t="shared" si="37"/>
        <v>40.169860444278903</v>
      </c>
      <c r="BG39" s="22">
        <f t="shared" si="7"/>
        <v>343.44074860711908</v>
      </c>
      <c r="BH39" s="60">
        <f t="shared" si="8"/>
        <v>636.77408194045233</v>
      </c>
      <c r="BI39" s="60">
        <f ca="1">AVERAGE(OFFSET($BH$3,0,0,'Données projet'!$E$11+1,1))-AVERAGE(OFFSET($H$3,0,0,'Données projet'!$E$11+1,1))</f>
        <v>260.02504691866199</v>
      </c>
      <c r="BJ39" s="60">
        <f t="shared" si="38"/>
        <v>270.11268336406368</v>
      </c>
      <c r="BK39" s="16">
        <f>IF(ISNA(VLOOKUP(A39,'Données projet'!$A$87:$I$107,3,0)),0,VLOOKUP(A39,'Données projet'!$A$87:$I$107,3,0))</f>
        <v>4</v>
      </c>
      <c r="BL39" s="16">
        <f>IF(ISNA(VLOOKUP(A39,'Données projet'!$A$87:$I$107,4,0)),0,VLOOKUP(A39,'Données projet'!$A$87:$I$107,4,0))</f>
        <v>64.553846153846166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8.8870037256024101</v>
      </c>
      <c r="BQ39" s="23">
        <f>EXP(-LN(2)/25)*BQ38+(1-EXP(-LN(2)/25))/(LN(2)/25)*Calculateur!BL39*Calculateur!BN39*VLOOKUP('Données projet'!$B$11,Paramètres!$A$1:$I$89,3,0)*0.475*44/12</f>
        <v>13.917137659704558</v>
      </c>
      <c r="BR39" s="23">
        <f>EXP(-LN(2)/2)*BR38+(1-EXP(-LN(2)/2))/(LN(2)/2)*BL39*BO39*VLOOKUP('Données projet'!$B$11,Paramètres!$A$1:$I$89,3,0)*0.475*44/12</f>
        <v>0.79249511824048036</v>
      </c>
      <c r="BS39" s="24">
        <f t="shared" si="9"/>
        <v>23.596636503547451</v>
      </c>
      <c r="BT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10.407692307692306</v>
      </c>
      <c r="BY39" s="13">
        <f>IF('Données projet'!$A$114&gt;35,BY38+BX39-CG38,IF(A39&lt;'Données projet'!$A$114,$BV$205^A39,IF(A39='Données projet'!$A$114,'Données projet'!$B$114,BY38+BX39-CG38)))</f>
        <v>165.72307692307692</v>
      </c>
      <c r="BZ39" s="14">
        <f>BY39*VLOOKUP('Données projet'!$B$12,Paramètres!$A$1:$I$89,3,0)*VLOOKUP('Données projet'!$B$12,Paramètres!$A$1:$I$89,5,0)</f>
        <v>77.558400000000006</v>
      </c>
      <c r="CA39" s="14">
        <f t="shared" si="39"/>
        <v>21.539127592741618</v>
      </c>
      <c r="CB39" s="22">
        <f t="shared" si="10"/>
        <v>172.59486055735832</v>
      </c>
      <c r="CC39" s="60">
        <f t="shared" si="11"/>
        <v>465.92819389069166</v>
      </c>
      <c r="CD39" s="60">
        <f ca="1">AVERAGE(OFFSET($CC$3,0,0,'Données projet'!$E$12+1,1))-AVERAGE(OFFSET($H$3,0,0,'Données projet'!$E$12+1,1))</f>
        <v>246.72166704460847</v>
      </c>
      <c r="CE39" s="60">
        <f t="shared" si="40"/>
        <v>145.54897745089966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124.4</v>
      </c>
      <c r="CU39" s="18">
        <f>CT39*VLOOKUP('Données projet'!$B$13,Paramètres!$A$1:$I$89,3,0)*VLOOKUP('Données projet'!$B$13,Paramètres!$A$1:$I$89,5,0)</f>
        <v>112.55712000000001</v>
      </c>
      <c r="CV39" s="14">
        <f t="shared" si="41"/>
        <v>29.932653834140599</v>
      </c>
      <c r="CW39" s="22">
        <f t="shared" si="13"/>
        <v>248.16968942779488</v>
      </c>
      <c r="CX39" s="60">
        <f t="shared" si="14"/>
        <v>541.50302276112825</v>
      </c>
      <c r="CY39" s="60">
        <f ca="1">AVERAGE(OFFSET($CX$3,0,0,'Données projet'!$E$13+1,1))-AVERAGE(OFFSET($H$3,0,0,'Données projet'!$E$13+1,1))</f>
        <v>428.8489304403459</v>
      </c>
      <c r="CZ39" s="60">
        <f t="shared" si="42"/>
        <v>247.01165577562966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6.5384615384615357</v>
      </c>
      <c r="DO39" s="13">
        <f>IF('Données projet'!$A$166&gt;35,DO38+DN39-DW38,IF(A39&lt;'Données projet'!$A$166,$DL$205^A39,IF(A39='Données projet'!$A$166,'Données projet'!$B$166,DO38+DN39-DW38)))</f>
        <v>137.94871794871793</v>
      </c>
      <c r="DP39" s="18">
        <f>DO39*VLOOKUP('Données projet'!$B$14,Paramètres!$A$1:$I$89,3,0)*VLOOKUP('Données projet'!$B$14,Paramètres!$A$1:$I$89,5,0)</f>
        <v>144.184</v>
      </c>
      <c r="DQ39" s="14">
        <f t="shared" si="43"/>
        <v>37.253852236732257</v>
      </c>
      <c r="DR39" s="22">
        <f t="shared" si="16"/>
        <v>316.00425931230865</v>
      </c>
      <c r="DS39" s="60">
        <f t="shared" si="17"/>
        <v>609.33759264564196</v>
      </c>
      <c r="DT39" s="60">
        <f ca="1">AVERAGE(OFFSET($DS$3,0,0,'Données projet'!$E$14+1,1))-AVERAGE(OFFSET($H$3,0,0,'Données projet'!$E$14+1,1))</f>
        <v>493.70175665335978</v>
      </c>
      <c r="DU39" s="60">
        <f t="shared" si="44"/>
        <v>325.12357781685949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4.8</v>
      </c>
      <c r="EJ39" s="13">
        <f>IF('Données projet'!$A$192&gt;35,EJ38+EI39-ER38,IF(A39&lt;'Données projet'!$A$192,$EG$205^A39,IF(A39='Données projet'!$A$192,'Données projet'!$B$192,EJ38+EI39-ER38)))</f>
        <v>93.799999999999969</v>
      </c>
      <c r="EK39" s="18">
        <f>EJ39*VLOOKUP('Données projet'!$B$15,Paramètres!$A$1:$I$89,3,0)*VLOOKUP('Données projet'!$B$15,Paramètres!$A$1:$I$89,5,0)</f>
        <v>76.090559999999968</v>
      </c>
      <c r="EL39" s="14">
        <f t="shared" si="45"/>
        <v>21.178536336044907</v>
      </c>
      <c r="EM39" s="22">
        <f t="shared" si="19"/>
        <v>169.41034278527815</v>
      </c>
      <c r="EN39" s="60">
        <f t="shared" si="20"/>
        <v>462.74367611861146</v>
      </c>
      <c r="EO39" s="60">
        <f ca="1">AVERAGE(OFFSET($EN$3,0,0,'Données projet'!$E$15+1,1))-AVERAGE(OFFSET($H$3,0,0,'Données projet'!$E$15+1,1))</f>
        <v>236.22643401787644</v>
      </c>
      <c r="EP39" s="60">
        <f t="shared" si="46"/>
        <v>188.80444043778022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4</v>
      </c>
      <c r="FE39" s="13">
        <f>IF('Données projet'!$A$218&gt;35,FE38+FD39-FM38,IF(A39&lt;'Données projet'!$A$218,$FB$205^A39,IF(A39='Données projet'!$A$218,'Données projet'!$B$218,FE38+FD39-FM38)))</f>
        <v>59</v>
      </c>
      <c r="FF39" s="18">
        <f>FE39*VLOOKUP('Données projet'!$B$16,Paramètres!$A$1:$I$89,3,0)*VLOOKUP('Données projet'!$B$16,Paramètres!$A$1:$I$89,5,0)</f>
        <v>57.064799999999998</v>
      </c>
      <c r="FG39" s="14">
        <f t="shared" si="47"/>
        <v>16.424005972947381</v>
      </c>
      <c r="FH39" s="22">
        <f t="shared" si="22"/>
        <v>127.99300373621668</v>
      </c>
      <c r="FI39" s="60">
        <f t="shared" si="23"/>
        <v>421.32633706954999</v>
      </c>
      <c r="FJ39" s="60">
        <f ca="1">AVERAGE(OFFSET($FI$3,0,0,'Données projet'!$E$16+1,1))-AVERAGE(OFFSET($H$3,0,0,'Données projet'!$E$16+1,1))</f>
        <v>255.59755832175625</v>
      </c>
      <c r="FK39" s="60">
        <f t="shared" si="48"/>
        <v>154.0840647586964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0" t="e">
        <f t="shared" si="26"/>
        <v>#N/A</v>
      </c>
      <c r="GE39" s="60" t="e">
        <f ca="1">AVERAGE(OFFSET($GD$3,0,0,'Données projet'!$E$17+1,1))-AVERAGE(OFFSET($H$3,0,0,'Données projet'!$E$17+1,1))</f>
        <v>#N/A</v>
      </c>
      <c r="GF39" s="60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7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0" t="e">
        <f t="shared" si="29"/>
        <v>#N/A</v>
      </c>
      <c r="GZ39" s="60" t="e">
        <f ca="1">AVERAGE(OFFSET($GY$3,0,0,'Données projet'!$E$18+1,1))-AVERAGE(OFFSET($H$3,0,0,'Données projet'!$E$18+1,1))</f>
        <v>#N/A</v>
      </c>
      <c r="HA39" s="60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5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68">
        <f t="shared" si="1"/>
        <v>256.66666666666669</v>
      </c>
      <c r="I40" s="7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0" t="e">
        <f t="shared" si="0"/>
        <v>#NUM!</v>
      </c>
      <c r="S40" s="60">
        <f ca="1">AVERAGE(OFFSET($R$3,0,0,'Données projet'!$E$9+1,1))-AVERAGE(OFFSET($H$3,0,0,'Données projet'!$E$9+1,1))</f>
        <v>64.775385872852041</v>
      </c>
      <c r="T40" s="60">
        <f t="shared" si="34"/>
        <v>201.69061202990468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27.975278789005685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5.3399697376069555E-3</v>
      </c>
      <c r="AC40" s="24">
        <f t="shared" si="3"/>
        <v>27.980618758743294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134.65920000000003</v>
      </c>
      <c r="AK40" s="14">
        <f t="shared" si="35"/>
        <v>35.07074737441733</v>
      </c>
      <c r="AL40" s="22">
        <f t="shared" si="4"/>
        <v>295.61299167711019</v>
      </c>
      <c r="AM40" s="60">
        <f t="shared" si="5"/>
        <v>588.9463250104435</v>
      </c>
      <c r="AN40" s="60">
        <f ca="1">AVERAGE(OFFSET($AM$3,0,0,'Données projet'!$E$10+1,1))-AVERAGE(OFFSET($H$3,0,0,'Données projet'!$E$10+1,1))</f>
        <v>475.47920969424894</v>
      </c>
      <c r="AO40" s="60">
        <f t="shared" si="36"/>
        <v>271.73544012419364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7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13.141346153846158</v>
      </c>
      <c r="BD40" s="13">
        <f>IF('Données projet'!$A$88&gt;35,BD39+BC40-BL39,IF(A40&lt;'Données projet'!$A$88,$BA$205^A40,IF(A40='Données projet'!$A$88,'Données projet'!$B$88,BD39+BC40-BL39)))</f>
        <v>211.16442307692307</v>
      </c>
      <c r="BE40" s="14">
        <f>BD40*VLOOKUP('Données projet'!$B$11,Paramètres!$A$1:$I$89,3,0)*VLOOKUP('Données projet'!$B$11,Paramètres!$A$1:$I$89,5,0)</f>
        <v>126.27632500000001</v>
      </c>
      <c r="BF40" s="14">
        <f t="shared" si="37"/>
        <v>33.134477451871625</v>
      </c>
      <c r="BG40" s="22">
        <f t="shared" si="7"/>
        <v>277.64048093700978</v>
      </c>
      <c r="BH40" s="60">
        <f t="shared" si="8"/>
        <v>570.97381427034315</v>
      </c>
      <c r="BI40" s="60">
        <f ca="1">AVERAGE(OFFSET($BH$3,0,0,'Données projet'!$E$11+1,1))-AVERAGE(OFFSET($H$3,0,0,'Données projet'!$E$11+1,1))</f>
        <v>260.02504691866199</v>
      </c>
      <c r="BJ40" s="60">
        <f t="shared" si="38"/>
        <v>270.11268336406368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8.7127350030803861</v>
      </c>
      <c r="BQ40" s="23">
        <f>EXP(-LN(2)/25)*BQ39+(1-EXP(-LN(2)/25))/(LN(2)/25)*Calculateur!BL40*Calculateur!BN40*VLOOKUP('Données projet'!$B$11,Paramètres!$A$1:$I$89,3,0)*0.475*44/12</f>
        <v>13.536572798529475</v>
      </c>
      <c r="BR40" s="23">
        <f>EXP(-LN(2)/2)*BR39+(1-EXP(-LN(2)/2))/(LN(2)/2)*BL40*BO40*VLOOKUP('Données projet'!$B$11,Paramètres!$A$1:$I$89,3,0)*0.475*44/12</f>
        <v>0.56037867216507853</v>
      </c>
      <c r="BS40" s="24">
        <f t="shared" si="9"/>
        <v>22.809686473774939</v>
      </c>
      <c r="BT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10.407692307692306</v>
      </c>
      <c r="BY40" s="13">
        <f>IF('Données projet'!$A$114&gt;35,BY39+BX40-CG39,IF(A40&lt;'Données projet'!$A$114,$BV$205^A40,IF(A40='Données projet'!$A$114,'Données projet'!$B$114,BY39+BX40-CG39)))</f>
        <v>176.13076923076923</v>
      </c>
      <c r="BZ40" s="14">
        <f>BY40*VLOOKUP('Données projet'!$B$12,Paramètres!$A$1:$I$89,3,0)*VLOOKUP('Données projet'!$B$12,Paramètres!$A$1:$I$89,5,0)</f>
        <v>82.429199999999994</v>
      </c>
      <c r="CA40" s="14">
        <f t="shared" si="39"/>
        <v>22.730098173705116</v>
      </c>
      <c r="CB40" s="22">
        <f t="shared" si="10"/>
        <v>183.15244431920306</v>
      </c>
      <c r="CC40" s="60">
        <f t="shared" si="11"/>
        <v>476.4857776525364</v>
      </c>
      <c r="CD40" s="60">
        <f ca="1">AVERAGE(OFFSET($CC$3,0,0,'Données projet'!$E$12+1,1))-AVERAGE(OFFSET($H$3,0,0,'Données projet'!$E$12+1,1))</f>
        <v>246.72166704460847</v>
      </c>
      <c r="CE40" s="60">
        <f t="shared" si="40"/>
        <v>145.54897745089966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132.80000000000001</v>
      </c>
      <c r="CU40" s="18">
        <f>CT40*VLOOKUP('Données projet'!$B$13,Paramètres!$A$1:$I$89,3,0)*VLOOKUP('Données projet'!$B$13,Paramètres!$A$1:$I$89,5,0)</f>
        <v>120.15744000000001</v>
      </c>
      <c r="CV40" s="14">
        <f t="shared" si="41"/>
        <v>31.711716786129845</v>
      </c>
      <c r="CW40" s="22">
        <f t="shared" si="13"/>
        <v>264.50544806917611</v>
      </c>
      <c r="CX40" s="60">
        <f t="shared" si="14"/>
        <v>557.83878140250943</v>
      </c>
      <c r="CY40" s="60">
        <f ca="1">AVERAGE(OFFSET($CX$3,0,0,'Données projet'!$E$13+1,1))-AVERAGE(OFFSET($H$3,0,0,'Données projet'!$E$13+1,1))</f>
        <v>428.8489304403459</v>
      </c>
      <c r="CZ40" s="60">
        <f t="shared" si="42"/>
        <v>247.01165577562966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6.5384615384615357</v>
      </c>
      <c r="DO40" s="13">
        <f>IF('Données projet'!$A$166&gt;35,DO39+DN40-DW39,IF(A40&lt;'Données projet'!$A$166,$DL$205^A40,IF(A40='Données projet'!$A$166,'Données projet'!$B$166,DO39+DN40-DW39)))</f>
        <v>144.48717948717947</v>
      </c>
      <c r="DP40" s="18">
        <f>DO40*VLOOKUP('Données projet'!$B$14,Paramètres!$A$1:$I$89,3,0)*VLOOKUP('Données projet'!$B$14,Paramètres!$A$1:$I$89,5,0)</f>
        <v>151.018</v>
      </c>
      <c r="DQ40" s="14">
        <f t="shared" si="43"/>
        <v>38.809838626521376</v>
      </c>
      <c r="DR40" s="22">
        <f t="shared" si="16"/>
        <v>330.61681894119141</v>
      </c>
      <c r="DS40" s="60">
        <f t="shared" si="17"/>
        <v>623.95015227452473</v>
      </c>
      <c r="DT40" s="60">
        <f ca="1">AVERAGE(OFFSET($DS$3,0,0,'Données projet'!$E$14+1,1))-AVERAGE(OFFSET($H$3,0,0,'Données projet'!$E$14+1,1))</f>
        <v>493.70175665335978</v>
      </c>
      <c r="DU40" s="60">
        <f t="shared" si="44"/>
        <v>325.12357781685949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4.8</v>
      </c>
      <c r="EJ40" s="13">
        <f>IF('Données projet'!$A$192&gt;35,EJ39+EI40-ER39,IF(A40&lt;'Données projet'!$A$192,$EG$205^A40,IF(A40='Données projet'!$A$192,'Données projet'!$B$192,EJ39+EI40-ER39)))</f>
        <v>98.599999999999966</v>
      </c>
      <c r="EK40" s="18">
        <f>EJ40*VLOOKUP('Données projet'!$B$15,Paramètres!$A$1:$I$89,3,0)*VLOOKUP('Données projet'!$B$15,Paramètres!$A$1:$I$89,5,0)</f>
        <v>79.984319999999983</v>
      </c>
      <c r="EL40" s="14">
        <f t="shared" si="45"/>
        <v>22.133350243409112</v>
      </c>
      <c r="EM40" s="22">
        <f t="shared" si="19"/>
        <v>177.85494234060414</v>
      </c>
      <c r="EN40" s="60">
        <f t="shared" si="20"/>
        <v>471.18827567393748</v>
      </c>
      <c r="EO40" s="60">
        <f ca="1">AVERAGE(OFFSET($EN$3,0,0,'Données projet'!$E$15+1,1))-AVERAGE(OFFSET($H$3,0,0,'Données projet'!$E$15+1,1))</f>
        <v>236.22643401787644</v>
      </c>
      <c r="EP40" s="60">
        <f t="shared" si="46"/>
        <v>188.80444043778022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4</v>
      </c>
      <c r="FE40" s="13">
        <f>IF('Données projet'!$A$218&gt;35,FE39+FD40-FM39,IF(A40&lt;'Données projet'!$A$218,$FB$205^A40,IF(A40='Données projet'!$A$218,'Données projet'!$B$218,FE39+FD40-FM39)))</f>
        <v>63</v>
      </c>
      <c r="FF40" s="18">
        <f>FE40*VLOOKUP('Données projet'!$B$16,Paramètres!$A$1:$I$89,3,0)*VLOOKUP('Données projet'!$B$16,Paramètres!$A$1:$I$89,5,0)</f>
        <v>60.933600000000006</v>
      </c>
      <c r="FG40" s="14">
        <f t="shared" si="47"/>
        <v>17.404099852856145</v>
      </c>
      <c r="FH40" s="22">
        <f t="shared" si="22"/>
        <v>136.4381605770578</v>
      </c>
      <c r="FI40" s="60">
        <f t="shared" si="23"/>
        <v>429.77149391039109</v>
      </c>
      <c r="FJ40" s="60">
        <f ca="1">AVERAGE(OFFSET($FI$3,0,0,'Données projet'!$E$16+1,1))-AVERAGE(OFFSET($H$3,0,0,'Données projet'!$E$16+1,1))</f>
        <v>255.59755832175625</v>
      </c>
      <c r="FK40" s="60">
        <f t="shared" si="48"/>
        <v>154.0840647586964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0" t="e">
        <f t="shared" si="26"/>
        <v>#N/A</v>
      </c>
      <c r="GE40" s="60" t="e">
        <f ca="1">AVERAGE(OFFSET($GD$3,0,0,'Données projet'!$E$17+1,1))-AVERAGE(OFFSET($H$3,0,0,'Données projet'!$E$17+1,1))</f>
        <v>#N/A</v>
      </c>
      <c r="GF40" s="60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7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0" t="e">
        <f t="shared" si="29"/>
        <v>#N/A</v>
      </c>
      <c r="GZ40" s="60" t="e">
        <f ca="1">AVERAGE(OFFSET($GY$3,0,0,'Données projet'!$E$18+1,1))-AVERAGE(OFFSET($H$3,0,0,'Données projet'!$E$18+1,1))</f>
        <v>#N/A</v>
      </c>
      <c r="HA40" s="60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5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68">
        <f t="shared" si="1"/>
        <v>256.66666666666669</v>
      </c>
      <c r="I41" s="7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0" t="e">
        <f t="shared" si="0"/>
        <v>#NUM!</v>
      </c>
      <c r="S41" s="60">
        <f ca="1">AVERAGE(OFFSET($R$3,0,0,'Données projet'!$E$9+1,1))-AVERAGE(OFFSET($H$3,0,0,'Données projet'!$E$9+1,1))</f>
        <v>64.775385872852041</v>
      </c>
      <c r="T41" s="60">
        <f t="shared" si="34"/>
        <v>201.69061202990468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27.426700635188489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3.7759288127928274E-3</v>
      </c>
      <c r="AC41" s="24">
        <f t="shared" si="3"/>
        <v>27.430476564001282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143.17680000000004</v>
      </c>
      <c r="AK41" s="14">
        <f t="shared" si="35"/>
        <v>37.023812674521515</v>
      </c>
      <c r="AL41" s="22">
        <f t="shared" si="4"/>
        <v>313.84940040812506</v>
      </c>
      <c r="AM41" s="60">
        <f t="shared" si="5"/>
        <v>607.18273374145838</v>
      </c>
      <c r="AN41" s="60">
        <f ca="1">AVERAGE(OFFSET($AM$3,0,0,'Données projet'!$E$10+1,1))-AVERAGE(OFFSET($H$3,0,0,'Données projet'!$E$10+1,1))</f>
        <v>475.47920969424894</v>
      </c>
      <c r="AO41" s="60">
        <f t="shared" si="36"/>
        <v>271.73544012419364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7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13.141346153846158</v>
      </c>
      <c r="BD41" s="13">
        <f>IF('Données projet'!$A$88&gt;35,BD40+BC41-BL40,IF(A41&lt;'Données projet'!$A$88,$BA$205^A41,IF(A41='Données projet'!$A$88,'Données projet'!$B$88,BD40+BC41-BL40)))</f>
        <v>224.30576923076922</v>
      </c>
      <c r="BE41" s="14">
        <f>BD41*VLOOKUP('Données projet'!$B$11,Paramètres!$A$1:$I$89,3,0)*VLOOKUP('Données projet'!$B$11,Paramètres!$A$1:$I$89,5,0)</f>
        <v>134.13485</v>
      </c>
      <c r="BF41" s="14">
        <f t="shared" si="37"/>
        <v>34.950053695803156</v>
      </c>
      <c r="BG41" s="22">
        <f t="shared" si="7"/>
        <v>294.48954060352384</v>
      </c>
      <c r="BH41" s="60">
        <f t="shared" si="8"/>
        <v>587.82287393685715</v>
      </c>
      <c r="BI41" s="60">
        <f ca="1">AVERAGE(OFFSET($BH$3,0,0,'Données projet'!$E$11+1,1))-AVERAGE(OFFSET($H$3,0,0,'Données projet'!$E$11+1,1))</f>
        <v>260.02504691866199</v>
      </c>
      <c r="BJ41" s="60">
        <f t="shared" si="38"/>
        <v>270.11268336406368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8.5418835839135934</v>
      </c>
      <c r="BQ41" s="23">
        <f>EXP(-LN(2)/25)*BQ40+(1-EXP(-LN(2)/25))/(LN(2)/25)*Calculateur!BL41*Calculateur!BN41*VLOOKUP('Données projet'!$B$11,Paramètres!$A$1:$I$89,3,0)*0.475*44/12</f>
        <v>13.166414503496261</v>
      </c>
      <c r="BR41" s="23">
        <f>EXP(-LN(2)/2)*BR40+(1-EXP(-LN(2)/2))/(LN(2)/2)*BL41*BO41*VLOOKUP('Données projet'!$B$11,Paramètres!$A$1:$I$89,3,0)*0.475*44/12</f>
        <v>0.39624755912024023</v>
      </c>
      <c r="BS41" s="24">
        <f t="shared" si="9"/>
        <v>22.104545646530095</v>
      </c>
      <c r="BT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10.407692307692306</v>
      </c>
      <c r="BY41" s="13">
        <f>IF('Données projet'!$A$114&gt;35,BY40+BX41-CG40,IF(A41&lt;'Données projet'!$A$114,$BV$205^A41,IF(A41='Données projet'!$A$114,'Données projet'!$B$114,BY40+BX41-CG40)))</f>
        <v>186.53846153846155</v>
      </c>
      <c r="BZ41" s="14">
        <f>BY41*VLOOKUP('Données projet'!$B$12,Paramètres!$A$1:$I$89,3,0)*VLOOKUP('Données projet'!$B$12,Paramètres!$A$1:$I$89,5,0)</f>
        <v>87.300000000000011</v>
      </c>
      <c r="CA41" s="14">
        <f t="shared" si="39"/>
        <v>23.912900160000429</v>
      </c>
      <c r="CB41" s="22">
        <f t="shared" si="10"/>
        <v>193.69580111200079</v>
      </c>
      <c r="CC41" s="60">
        <f t="shared" si="11"/>
        <v>487.02913444533408</v>
      </c>
      <c r="CD41" s="60">
        <f ca="1">AVERAGE(OFFSET($CC$3,0,0,'Données projet'!$E$12+1,1))-AVERAGE(OFFSET($H$3,0,0,'Données projet'!$E$12+1,1))</f>
        <v>246.72166704460847</v>
      </c>
      <c r="CE41" s="60">
        <f t="shared" si="40"/>
        <v>145.54897745089966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141.20000000000002</v>
      </c>
      <c r="CU41" s="18">
        <f>CT41*VLOOKUP('Données projet'!$B$13,Paramètres!$A$1:$I$89,3,0)*VLOOKUP('Données projet'!$B$13,Paramètres!$A$1:$I$89,5,0)</f>
        <v>127.75776</v>
      </c>
      <c r="CV41" s="14">
        <f t="shared" si="41"/>
        <v>33.477720030956604</v>
      </c>
      <c r="CW41" s="22">
        <f t="shared" si="13"/>
        <v>280.81846105391611</v>
      </c>
      <c r="CX41" s="60">
        <f t="shared" si="14"/>
        <v>574.15179438724942</v>
      </c>
      <c r="CY41" s="60">
        <f ca="1">AVERAGE(OFFSET($CX$3,0,0,'Données projet'!$E$13+1,1))-AVERAGE(OFFSET($H$3,0,0,'Données projet'!$E$13+1,1))</f>
        <v>428.8489304403459</v>
      </c>
      <c r="CZ41" s="60">
        <f t="shared" si="42"/>
        <v>247.01165577562966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6.5384615384615357</v>
      </c>
      <c r="DO41" s="13">
        <f>IF('Données projet'!$A$166&gt;35,DO40+DN41-DW40,IF(A41&lt;'Données projet'!$A$166,$DL$205^A41,IF(A41='Données projet'!$A$166,'Données projet'!$B$166,DO40+DN41-DW40)))</f>
        <v>151.02564102564102</v>
      </c>
      <c r="DP41" s="18">
        <f>DO41*VLOOKUP('Données projet'!$B$14,Paramètres!$A$1:$I$89,3,0)*VLOOKUP('Données projet'!$B$14,Paramètres!$A$1:$I$89,5,0)</f>
        <v>157.852</v>
      </c>
      <c r="DQ41" s="14">
        <f t="shared" si="43"/>
        <v>40.357647559226351</v>
      </c>
      <c r="DR41" s="22">
        <f t="shared" si="16"/>
        <v>345.21513616565261</v>
      </c>
      <c r="DS41" s="60">
        <f t="shared" si="17"/>
        <v>638.54846949898592</v>
      </c>
      <c r="DT41" s="60">
        <f ca="1">AVERAGE(OFFSET($DS$3,0,0,'Données projet'!$E$14+1,1))-AVERAGE(OFFSET($H$3,0,0,'Données projet'!$E$14+1,1))</f>
        <v>493.70175665335978</v>
      </c>
      <c r="DU41" s="60">
        <f t="shared" si="44"/>
        <v>325.12357781685949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4.8</v>
      </c>
      <c r="EJ41" s="13">
        <f>IF('Données projet'!$A$192&gt;35,EJ40+EI41-ER40,IF(A41&lt;'Données projet'!$A$192,$EG$205^A41,IF(A41='Données projet'!$A$192,'Données projet'!$B$192,EJ40+EI41-ER40)))</f>
        <v>103.39999999999996</v>
      </c>
      <c r="EK41" s="18">
        <f>EJ41*VLOOKUP('Données projet'!$B$15,Paramètres!$A$1:$I$89,3,0)*VLOOKUP('Données projet'!$B$15,Paramètres!$A$1:$I$89,5,0)</f>
        <v>83.878079999999969</v>
      </c>
      <c r="EL41" s="14">
        <f t="shared" si="45"/>
        <v>23.082766717296661</v>
      </c>
      <c r="EM41" s="22">
        <f t="shared" si="19"/>
        <v>186.29014136595831</v>
      </c>
      <c r="EN41" s="60">
        <f t="shared" si="20"/>
        <v>479.62347469929159</v>
      </c>
      <c r="EO41" s="60">
        <f ca="1">AVERAGE(OFFSET($EN$3,0,0,'Données projet'!$E$15+1,1))-AVERAGE(OFFSET($H$3,0,0,'Données projet'!$E$15+1,1))</f>
        <v>236.22643401787644</v>
      </c>
      <c r="EP41" s="60">
        <f t="shared" si="46"/>
        <v>188.80444043778022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4</v>
      </c>
      <c r="FE41" s="13">
        <f>IF('Données projet'!$A$218&gt;35,FE40+FD41-FM40,IF(A41&lt;'Données projet'!$A$218,$FB$205^A41,IF(A41='Données projet'!$A$218,'Données projet'!$B$218,FE40+FD41-FM40)))</f>
        <v>67</v>
      </c>
      <c r="FF41" s="18">
        <f>FE41*VLOOKUP('Données projet'!$B$16,Paramètres!$A$1:$I$89,3,0)*VLOOKUP('Données projet'!$B$16,Paramètres!$A$1:$I$89,5,0)</f>
        <v>64.802400000000006</v>
      </c>
      <c r="FG41" s="14">
        <f t="shared" si="47"/>
        <v>18.376971951830182</v>
      </c>
      <c r="FH41" s="22">
        <f t="shared" si="22"/>
        <v>144.87073948277092</v>
      </c>
      <c r="FI41" s="60">
        <f t="shared" si="23"/>
        <v>438.20407281610426</v>
      </c>
      <c r="FJ41" s="60">
        <f ca="1">AVERAGE(OFFSET($FI$3,0,0,'Données projet'!$E$16+1,1))-AVERAGE(OFFSET($H$3,0,0,'Données projet'!$E$16+1,1))</f>
        <v>255.59755832175625</v>
      </c>
      <c r="FK41" s="60">
        <f t="shared" si="48"/>
        <v>154.0840647586964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0" t="e">
        <f t="shared" si="26"/>
        <v>#N/A</v>
      </c>
      <c r="GE41" s="60" t="e">
        <f ca="1">AVERAGE(OFFSET($GD$3,0,0,'Données projet'!$E$17+1,1))-AVERAGE(OFFSET($H$3,0,0,'Données projet'!$E$17+1,1))</f>
        <v>#N/A</v>
      </c>
      <c r="GF41" s="60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7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0" t="e">
        <f t="shared" si="29"/>
        <v>#N/A</v>
      </c>
      <c r="GZ41" s="60" t="e">
        <f ca="1">AVERAGE(OFFSET($GY$3,0,0,'Données projet'!$E$18+1,1))-AVERAGE(OFFSET($H$3,0,0,'Données projet'!$E$18+1,1))</f>
        <v>#N/A</v>
      </c>
      <c r="HA41" s="60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5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68">
        <f t="shared" si="1"/>
        <v>256.66666666666669</v>
      </c>
      <c r="I42" s="7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0" t="e">
        <f t="shared" si="0"/>
        <v>#NUM!</v>
      </c>
      <c r="S42" s="60">
        <f ca="1">AVERAGE(OFFSET($R$3,0,0,'Données projet'!$E$9+1,1))-AVERAGE(OFFSET($H$3,0,0,'Données projet'!$E$9+1,1))</f>
        <v>64.775385872852041</v>
      </c>
      <c r="T42" s="60">
        <f t="shared" si="34"/>
        <v>201.69061202990468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26.888879764368014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2.6699848688034782E-3</v>
      </c>
      <c r="AC42" s="24">
        <f t="shared" si="3"/>
        <v>26.891549749236816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151.69440000000003</v>
      </c>
      <c r="AK42" s="14">
        <f t="shared" si="35"/>
        <v>38.963392010880654</v>
      </c>
      <c r="AL42" s="22">
        <f t="shared" si="4"/>
        <v>332.06232108561716</v>
      </c>
      <c r="AM42" s="60">
        <f t="shared" si="5"/>
        <v>625.39565441895047</v>
      </c>
      <c r="AN42" s="60">
        <f ca="1">AVERAGE(OFFSET($AM$3,0,0,'Données projet'!$E$10+1,1))-AVERAGE(OFFSET($H$3,0,0,'Données projet'!$E$10+1,1))</f>
        <v>475.47920969424894</v>
      </c>
      <c r="AO42" s="60">
        <f t="shared" si="36"/>
        <v>271.73544012419364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7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13.141346153846158</v>
      </c>
      <c r="BD42" s="13">
        <f>IF('Données projet'!$A$88&gt;35,BD41+BC42-BL41,IF(A42&lt;'Données projet'!$A$88,$BA$205^A42,IF(A42='Données projet'!$A$88,'Données projet'!$B$88,BD41+BC42-BL41)))</f>
        <v>237.44711538461536</v>
      </c>
      <c r="BE42" s="14">
        <f>BD42*VLOOKUP('Données projet'!$B$11,Paramètres!$A$1:$I$89,3,0)*VLOOKUP('Données projet'!$B$11,Paramètres!$A$1:$I$89,5,0)</f>
        <v>141.99337499999999</v>
      </c>
      <c r="BF42" s="14">
        <f t="shared" si="37"/>
        <v>36.753283288028733</v>
      </c>
      <c r="BG42" s="22">
        <f t="shared" si="7"/>
        <v>311.31709651831665</v>
      </c>
      <c r="BH42" s="60">
        <f t="shared" si="8"/>
        <v>604.65042985164996</v>
      </c>
      <c r="BI42" s="60">
        <f ca="1">AVERAGE(OFFSET($BH$3,0,0,'Données projet'!$E$11+1,1))-AVERAGE(OFFSET($H$3,0,0,'Données projet'!$E$11+1,1))</f>
        <v>260.02504691866199</v>
      </c>
      <c r="BJ42" s="60">
        <f t="shared" si="38"/>
        <v>270.11268336406368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8.3743824568675862</v>
      </c>
      <c r="BQ42" s="23">
        <f>EXP(-LN(2)/25)*BQ41+(1-EXP(-LN(2)/25))/(LN(2)/25)*Calculateur!BL42*Calculateur!BN42*VLOOKUP('Données projet'!$B$11,Paramètres!$A$1:$I$89,3,0)*0.475*44/12</f>
        <v>12.80637820650651</v>
      </c>
      <c r="BR42" s="23">
        <f>EXP(-LN(2)/2)*BR41+(1-EXP(-LN(2)/2))/(LN(2)/2)*BL42*BO42*VLOOKUP('Données projet'!$B$11,Paramètres!$A$1:$I$89,3,0)*0.475*44/12</f>
        <v>0.28018933608253926</v>
      </c>
      <c r="BS42" s="24">
        <f t="shared" si="9"/>
        <v>21.460949999456634</v>
      </c>
      <c r="BT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10.407692307692306</v>
      </c>
      <c r="BY42" s="13">
        <f>IF('Données projet'!$A$114&gt;35,BY41+BX42-CG41,IF(A42&lt;'Données projet'!$A$114,$BV$205^A42,IF(A42='Données projet'!$A$114,'Données projet'!$B$114,BY41+BX42-CG41)))</f>
        <v>196.94615384615386</v>
      </c>
      <c r="BZ42" s="14">
        <f>BY42*VLOOKUP('Données projet'!$B$12,Paramètres!$A$1:$I$89,3,0)*VLOOKUP('Données projet'!$B$12,Paramètres!$A$1:$I$89,5,0)</f>
        <v>92.170800000000014</v>
      </c>
      <c r="CA42" s="14">
        <f t="shared" si="39"/>
        <v>25.088041251308066</v>
      </c>
      <c r="CB42" s="22">
        <f t="shared" si="10"/>
        <v>204.22581517936158</v>
      </c>
      <c r="CC42" s="60">
        <f t="shared" si="11"/>
        <v>497.55914851269489</v>
      </c>
      <c r="CD42" s="60">
        <f ca="1">AVERAGE(OFFSET($CC$3,0,0,'Données projet'!$E$12+1,1))-AVERAGE(OFFSET($H$3,0,0,'Données projet'!$E$12+1,1))</f>
        <v>246.72166704460847</v>
      </c>
      <c r="CE42" s="60">
        <f t="shared" si="40"/>
        <v>145.54897745089966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149.60000000000002</v>
      </c>
      <c r="CU42" s="18">
        <f>CT42*VLOOKUP('Données projet'!$B$13,Paramètres!$A$1:$I$89,3,0)*VLOOKUP('Données projet'!$B$13,Paramètres!$A$1:$I$89,5,0)</f>
        <v>135.35808</v>
      </c>
      <c r="CV42" s="14">
        <f t="shared" si="41"/>
        <v>35.231528980112834</v>
      </c>
      <c r="CW42" s="22">
        <f t="shared" si="13"/>
        <v>297.11023564036316</v>
      </c>
      <c r="CX42" s="60">
        <f t="shared" si="14"/>
        <v>590.44356897369653</v>
      </c>
      <c r="CY42" s="60">
        <f ca="1">AVERAGE(OFFSET($CX$3,0,0,'Données projet'!$E$13+1,1))-AVERAGE(OFFSET($H$3,0,0,'Données projet'!$E$13+1,1))</f>
        <v>428.8489304403459</v>
      </c>
      <c r="CZ42" s="60">
        <f t="shared" si="42"/>
        <v>247.01165577562966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6.5384615384615357</v>
      </c>
      <c r="DO42" s="13">
        <f>IF('Données projet'!$A$166&gt;35,DO41+DN42-DW41,IF(A42&lt;'Données projet'!$A$166,$DL$205^A42,IF(A42='Données projet'!$A$166,'Données projet'!$B$166,DO41+DN42-DW41)))</f>
        <v>157.56410256410257</v>
      </c>
      <c r="DP42" s="18">
        <f>DO42*VLOOKUP('Données projet'!$B$14,Paramètres!$A$1:$I$89,3,0)*VLOOKUP('Données projet'!$B$14,Paramètres!$A$1:$I$89,5,0)</f>
        <v>164.68600000000001</v>
      </c>
      <c r="DQ42" s="14">
        <f t="shared" si="43"/>
        <v>41.89767353409232</v>
      </c>
      <c r="DR42" s="22">
        <f t="shared" si="16"/>
        <v>359.79989807187752</v>
      </c>
      <c r="DS42" s="60">
        <f t="shared" si="17"/>
        <v>653.13323140521084</v>
      </c>
      <c r="DT42" s="60">
        <f ca="1">AVERAGE(OFFSET($DS$3,0,0,'Données projet'!$E$14+1,1))-AVERAGE(OFFSET($H$3,0,0,'Données projet'!$E$14+1,1))</f>
        <v>493.70175665335978</v>
      </c>
      <c r="DU42" s="60">
        <f t="shared" si="44"/>
        <v>325.12357781685949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4.8</v>
      </c>
      <c r="EJ42" s="13">
        <f>IF('Données projet'!$A$192&gt;35,EJ41+EI42-ER41,IF(A42&lt;'Données projet'!$A$192,$EG$205^A42,IF(A42='Données projet'!$A$192,'Données projet'!$B$192,EJ41+EI42-ER41)))</f>
        <v>108.19999999999996</v>
      </c>
      <c r="EK42" s="18">
        <f>EJ42*VLOOKUP('Données projet'!$B$15,Paramètres!$A$1:$I$89,3,0)*VLOOKUP('Données projet'!$B$15,Paramètres!$A$1:$I$89,5,0)</f>
        <v>87.771839999999969</v>
      </c>
      <c r="EL42" s="14">
        <f t="shared" si="45"/>
        <v>24.027064931094866</v>
      </c>
      <c r="EM42" s="22">
        <f t="shared" si="19"/>
        <v>194.71642608832349</v>
      </c>
      <c r="EN42" s="60">
        <f t="shared" si="20"/>
        <v>488.0497594216568</v>
      </c>
      <c r="EO42" s="60">
        <f ca="1">AVERAGE(OFFSET($EN$3,0,0,'Données projet'!$E$15+1,1))-AVERAGE(OFFSET($H$3,0,0,'Données projet'!$E$15+1,1))</f>
        <v>236.22643401787644</v>
      </c>
      <c r="EP42" s="60">
        <f t="shared" si="46"/>
        <v>188.80444043778022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4</v>
      </c>
      <c r="FE42" s="13">
        <f>IF('Données projet'!$A$218&gt;35,FE41+FD42-FM41,IF(A42&lt;'Données projet'!$A$218,$FB$205^A42,IF(A42='Données projet'!$A$218,'Données projet'!$B$218,FE41+FD42-FM41)))</f>
        <v>71</v>
      </c>
      <c r="FF42" s="18">
        <f>FE42*VLOOKUP('Données projet'!$B$16,Paramètres!$A$1:$I$89,3,0)*VLOOKUP('Données projet'!$B$16,Paramètres!$A$1:$I$89,5,0)</f>
        <v>68.671200000000013</v>
      </c>
      <c r="FG42" s="14">
        <f t="shared" si="47"/>
        <v>19.343102525659866</v>
      </c>
      <c r="FH42" s="22">
        <f t="shared" si="22"/>
        <v>153.29157689885758</v>
      </c>
      <c r="FI42" s="60">
        <f t="shared" si="23"/>
        <v>446.62491023219093</v>
      </c>
      <c r="FJ42" s="60">
        <f ca="1">AVERAGE(OFFSET($FI$3,0,0,'Données projet'!$E$16+1,1))-AVERAGE(OFFSET($H$3,0,0,'Données projet'!$E$16+1,1))</f>
        <v>255.59755832175625</v>
      </c>
      <c r="FK42" s="60">
        <f t="shared" si="48"/>
        <v>154.0840647586964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0" t="e">
        <f t="shared" si="26"/>
        <v>#N/A</v>
      </c>
      <c r="GE42" s="60" t="e">
        <f ca="1">AVERAGE(OFFSET($GD$3,0,0,'Données projet'!$E$17+1,1))-AVERAGE(OFFSET($H$3,0,0,'Données projet'!$E$17+1,1))</f>
        <v>#N/A</v>
      </c>
      <c r="GF42" s="60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7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0" t="e">
        <f t="shared" si="29"/>
        <v>#N/A</v>
      </c>
      <c r="GZ42" s="60" t="e">
        <f ca="1">AVERAGE(OFFSET($GY$3,0,0,'Données projet'!$E$18+1,1))-AVERAGE(OFFSET($H$3,0,0,'Données projet'!$E$18+1,1))</f>
        <v>#N/A</v>
      </c>
      <c r="HA42" s="60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5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68">
        <f t="shared" si="1"/>
        <v>256.66666666666669</v>
      </c>
      <c r="I43" s="7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0" t="e">
        <f t="shared" si="0"/>
        <v>#NUM!</v>
      </c>
      <c r="S43" s="60">
        <f ca="1">AVERAGE(OFFSET($R$3,0,0,'Données projet'!$E$9+1,1))-AVERAGE(OFFSET($H$3,0,0,'Données projet'!$E$9+1,1))</f>
        <v>64.775385872852041</v>
      </c>
      <c r="T43" s="60">
        <f t="shared" si="34"/>
        <v>201.69061202990468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26.361605232785987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1.8879644063964139E-3</v>
      </c>
      <c r="AC43" s="24">
        <f t="shared" si="3"/>
        <v>26.363493197192383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160.21200000000005</v>
      </c>
      <c r="AK43" s="14">
        <f t="shared" si="35"/>
        <v>40.890328912852695</v>
      </c>
      <c r="AL43" s="22">
        <f t="shared" si="4"/>
        <v>350.25322285655176</v>
      </c>
      <c r="AM43" s="60">
        <f t="shared" si="5"/>
        <v>643.58655618988507</v>
      </c>
      <c r="AN43" s="60">
        <f ca="1">AVERAGE(OFFSET($AM$3,0,0,'Données projet'!$E$10+1,1))-AVERAGE(OFFSET($H$3,0,0,'Données projet'!$E$10+1,1))</f>
        <v>475.47920969424894</v>
      </c>
      <c r="AO43" s="60">
        <f t="shared" si="36"/>
        <v>271.73544012419364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7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13.141346153846158</v>
      </c>
      <c r="BD43" s="13">
        <f>IF('Données projet'!$A$88&gt;35,BD42+BC43-BL42,IF(A43&lt;'Données projet'!$A$88,$BA$205^A43,IF(A43='Données projet'!$A$88,'Données projet'!$B$88,BD42+BC43-BL42)))</f>
        <v>250.5884615384615</v>
      </c>
      <c r="BE43" s="14">
        <f>BD43*VLOOKUP('Données projet'!$B$11,Paramètres!$A$1:$I$89,3,0)*VLOOKUP('Données projet'!$B$11,Paramètres!$A$1:$I$89,5,0)</f>
        <v>149.8519</v>
      </c>
      <c r="BF43" s="14">
        <f t="shared" si="37"/>
        <v>38.544927429723309</v>
      </c>
      <c r="BG43" s="22">
        <f t="shared" si="7"/>
        <v>328.12447444010144</v>
      </c>
      <c r="BH43" s="60">
        <f t="shared" si="8"/>
        <v>621.45780777343475</v>
      </c>
      <c r="BI43" s="60">
        <f ca="1">AVERAGE(OFFSET($BH$3,0,0,'Données projet'!$E$11+1,1))-AVERAGE(OFFSET($H$3,0,0,'Données projet'!$E$11+1,1))</f>
        <v>260.02504691866199</v>
      </c>
      <c r="BJ43" s="60">
        <f t="shared" si="38"/>
        <v>270.11268336406368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8.2101659247573515</v>
      </c>
      <c r="BQ43" s="23">
        <f>EXP(-LN(2)/25)*BQ42+(1-EXP(-LN(2)/25))/(LN(2)/25)*Calculateur!BL43*Calculateur!BN43*VLOOKUP('Données projet'!$B$11,Paramètres!$A$1:$I$89,3,0)*0.475*44/12</f>
        <v>12.456187120991428</v>
      </c>
      <c r="BR43" s="23">
        <f>EXP(-LN(2)/2)*BR42+(1-EXP(-LN(2)/2))/(LN(2)/2)*BL43*BO43*VLOOKUP('Données projet'!$B$11,Paramètres!$A$1:$I$89,3,0)*0.475*44/12</f>
        <v>0.19812377956012012</v>
      </c>
      <c r="BS43" s="24">
        <f t="shared" si="9"/>
        <v>20.864476825308898</v>
      </c>
      <c r="BT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10.407692307692306</v>
      </c>
      <c r="BY43" s="13">
        <f>IF('Données projet'!$A$114&gt;35,BY42+BX43-CG42,IF(A43&lt;'Données projet'!$A$114,$BV$205^A43,IF(A43='Données projet'!$A$114,'Données projet'!$B$114,BY42+BX43-CG42)))</f>
        <v>207.35384615384618</v>
      </c>
      <c r="BZ43" s="14">
        <f>BY43*VLOOKUP('Données projet'!$B$12,Paramètres!$A$1:$I$89,3,0)*VLOOKUP('Données projet'!$B$12,Paramètres!$A$1:$I$89,5,0)</f>
        <v>97.041600000000017</v>
      </c>
      <c r="CA43" s="14">
        <f t="shared" si="39"/>
        <v>26.255972457521427</v>
      </c>
      <c r="CB43" s="22">
        <f t="shared" si="10"/>
        <v>214.74327203018319</v>
      </c>
      <c r="CC43" s="60">
        <f t="shared" si="11"/>
        <v>508.07660536351648</v>
      </c>
      <c r="CD43" s="60">
        <f ca="1">AVERAGE(OFFSET($CC$3,0,0,'Données projet'!$E$12+1,1))-AVERAGE(OFFSET($H$3,0,0,'Données projet'!$E$12+1,1))</f>
        <v>246.72166704460847</v>
      </c>
      <c r="CE43" s="60">
        <f t="shared" si="40"/>
        <v>145.54897745089966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158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158.00000000000003</v>
      </c>
      <c r="CU43" s="18">
        <f>CT43*VLOOKUP('Données projet'!$B$13,Paramètres!$A$1:$I$89,3,0)*VLOOKUP('Données projet'!$B$13,Paramètres!$A$1:$I$89,5,0)</f>
        <v>142.95840000000004</v>
      </c>
      <c r="CV43" s="14">
        <f t="shared" si="41"/>
        <v>36.973906370811264</v>
      </c>
      <c r="CW43" s="22">
        <f t="shared" si="13"/>
        <v>313.38210026249641</v>
      </c>
      <c r="CX43" s="60">
        <f t="shared" si="14"/>
        <v>606.71543359582972</v>
      </c>
      <c r="CY43" s="60">
        <f ca="1">AVERAGE(OFFSET($CX$3,0,0,'Données projet'!$E$13+1,1))-AVERAGE(OFFSET($H$3,0,0,'Données projet'!$E$13+1,1))</f>
        <v>428.8489304403459</v>
      </c>
      <c r="CZ43" s="60">
        <f t="shared" si="42"/>
        <v>247.01165577562966</v>
      </c>
      <c r="DA43" s="16">
        <f>IF(ISNA(VLOOKUP(A43,'Données projet'!$A$139:$I$159,3,0)),0,VLOOKUP(A43,'Données projet'!$A$139:$I$159,3,0))</f>
        <v>2</v>
      </c>
      <c r="DB43" s="16">
        <f>IF(ISNA(VLOOKUP(A43,'Données projet'!$A$139:$I$159,4,0)),0,VLOOKUP(A43,'Données projet'!$A$139:$I$159,4,0))</f>
        <v>42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164.10256410256409</v>
      </c>
      <c r="DM43" s="13">
        <f>VLOOKUP(A43,'Données projet'!$A$165:$I$185,9,0)</f>
        <v>6.5384615384615357</v>
      </c>
      <c r="DN43" s="13">
        <f t="array" ref="DN43">INDEX(DM:DM,MIN(IF(ISNUMBER(DM43:DM239),ROW(DM43:DM239),"")))</f>
        <v>6.5384615384615357</v>
      </c>
      <c r="DO43" s="13">
        <f>IF('Données projet'!$A$166&gt;35,DO42+DN43-DW42,IF(A43&lt;'Données projet'!$A$166,$DL$205^A43,IF(A43='Données projet'!$A$166,'Données projet'!$B$166,DO42+DN43-DW42)))</f>
        <v>164.10256410256412</v>
      </c>
      <c r="DP43" s="18">
        <f>DO43*VLOOKUP('Données projet'!$B$14,Paramètres!$A$1:$I$89,3,0)*VLOOKUP('Données projet'!$B$14,Paramètres!$A$1:$I$89,5,0)</f>
        <v>171.52000000000004</v>
      </c>
      <c r="DQ43" s="14">
        <f t="shared" si="43"/>
        <v>43.430276456724698</v>
      </c>
      <c r="DR43" s="22">
        <f t="shared" si="16"/>
        <v>374.3717314954622</v>
      </c>
      <c r="DS43" s="60">
        <f t="shared" si="17"/>
        <v>667.70506482879546</v>
      </c>
      <c r="DT43" s="60">
        <f ca="1">AVERAGE(OFFSET($DS$3,0,0,'Données projet'!$E$14+1,1))-AVERAGE(OFFSET($H$3,0,0,'Données projet'!$E$14+1,1))</f>
        <v>493.70175665335978</v>
      </c>
      <c r="DU43" s="60">
        <f t="shared" si="44"/>
        <v>325.12357781685949</v>
      </c>
      <c r="DV43" s="16">
        <f>IF(ISNA(VLOOKUP(A43,'Données projet'!$A$165:$I$185,3,0)),0,VLOOKUP(A43,'Données projet'!$A$165:$I$185,3,0))</f>
        <v>2</v>
      </c>
      <c r="DW43" s="16">
        <f>IF(ISNA(VLOOKUP(A43,'Données projet'!$A$165:$I$185,4,0)),0,VLOOKUP(A43,'Données projet'!$A$165:$I$185,4,0))</f>
        <v>22.435897435897434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113</v>
      </c>
      <c r="EH43" s="13">
        <f>VLOOKUP(A43,'Données projet'!$A$191:$I$211,9,0)</f>
        <v>4.8</v>
      </c>
      <c r="EI43" s="13">
        <f t="array" ref="EI43">INDEX(EH:EH,MIN(IF(ISNUMBER(EH43:EH239),ROW(EH43:EH239),"")))</f>
        <v>4.8</v>
      </c>
      <c r="EJ43" s="13">
        <f>IF('Données projet'!$A$192&gt;35,EJ42+EI43-ER42,IF(A43&lt;'Données projet'!$A$192,$EG$205^A43,IF(A43='Données projet'!$A$192,'Données projet'!$B$192,EJ42+EI43-ER42)))</f>
        <v>112.99999999999996</v>
      </c>
      <c r="EK43" s="18">
        <f>EJ43*VLOOKUP('Données projet'!$B$15,Paramètres!$A$1:$I$89,3,0)*VLOOKUP('Données projet'!$B$15,Paramètres!$A$1:$I$89,5,0)</f>
        <v>91.665599999999969</v>
      </c>
      <c r="EL43" s="14">
        <f t="shared" si="45"/>
        <v>24.966497888207439</v>
      </c>
      <c r="EM43" s="22">
        <f t="shared" si="19"/>
        <v>203.13423715529458</v>
      </c>
      <c r="EN43" s="60">
        <f t="shared" si="20"/>
        <v>496.46757048862787</v>
      </c>
      <c r="EO43" s="60">
        <f ca="1">AVERAGE(OFFSET($EN$3,0,0,'Données projet'!$E$15+1,1))-AVERAGE(OFFSET($H$3,0,0,'Données projet'!$E$15+1,1))</f>
        <v>236.22643401787644</v>
      </c>
      <c r="EP43" s="60">
        <f t="shared" si="46"/>
        <v>188.80444043778022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75</v>
      </c>
      <c r="FC43" s="13">
        <f>VLOOKUP(A43,'Données projet'!$A$217:$I$237,9,0)</f>
        <v>4</v>
      </c>
      <c r="FD43" s="13">
        <f t="array" ref="FD43">INDEX(FC:FC,MIN(IF(ISNUMBER(FC43:FC239),ROW(FC43:FC239),"")))</f>
        <v>4</v>
      </c>
      <c r="FE43" s="13">
        <f>IF('Données projet'!$A$218&gt;35,FE42+FD43-FM42,IF(A43&lt;'Données projet'!$A$218,$FB$205^A43,IF(A43='Données projet'!$A$218,'Données projet'!$B$218,FE42+FD43-FM42)))</f>
        <v>75</v>
      </c>
      <c r="FF43" s="18">
        <f>FE43*VLOOKUP('Données projet'!$B$16,Paramètres!$A$1:$I$89,3,0)*VLOOKUP('Données projet'!$B$16,Paramètres!$A$1:$I$89,5,0)</f>
        <v>72.540000000000006</v>
      </c>
      <c r="FG43" s="14">
        <f t="shared" si="47"/>
        <v>20.302914660456786</v>
      </c>
      <c r="FH43" s="22">
        <f t="shared" si="22"/>
        <v>161.70140970029556</v>
      </c>
      <c r="FI43" s="60">
        <f t="shared" si="23"/>
        <v>455.03474303362884</v>
      </c>
      <c r="FJ43" s="60">
        <f ca="1">AVERAGE(OFFSET($FI$3,0,0,'Données projet'!$E$16+1,1))-AVERAGE(OFFSET($H$3,0,0,'Données projet'!$E$16+1,1))</f>
        <v>255.59755832175625</v>
      </c>
      <c r="FK43" s="60">
        <f t="shared" si="48"/>
        <v>154.0840647586964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0" t="e">
        <f t="shared" si="26"/>
        <v>#N/A</v>
      </c>
      <c r="GE43" s="60" t="e">
        <f ca="1">AVERAGE(OFFSET($GD$3,0,0,'Données projet'!$E$17+1,1))-AVERAGE(OFFSET($H$3,0,0,'Données projet'!$E$17+1,1))</f>
        <v>#N/A</v>
      </c>
      <c r="GF43" s="60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7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0" t="e">
        <f t="shared" si="29"/>
        <v>#N/A</v>
      </c>
      <c r="GZ43" s="60" t="e">
        <f ca="1">AVERAGE(OFFSET($GY$3,0,0,'Données projet'!$E$18+1,1))-AVERAGE(OFFSET($H$3,0,0,'Données projet'!$E$18+1,1))</f>
        <v>#N/A</v>
      </c>
      <c r="HA43" s="60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5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68">
        <f t="shared" si="1"/>
        <v>256.66666666666669</v>
      </c>
      <c r="I44" s="7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0" t="e">
        <f t="shared" si="0"/>
        <v>#NUM!</v>
      </c>
      <c r="S44" s="60">
        <f ca="1">AVERAGE(OFFSET($R$3,0,0,'Données projet'!$E$9+1,1))-AVERAGE(OFFSET($H$3,0,0,'Données projet'!$E$9+1,1))</f>
        <v>64.775385872852041</v>
      </c>
      <c r="T44" s="60">
        <f t="shared" si="34"/>
        <v>201.69061202990468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25.844670233162578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1.3349924344017393E-3</v>
      </c>
      <c r="AC44" s="24">
        <f t="shared" si="3"/>
        <v>25.846005225596979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126.14160000000005</v>
      </c>
      <c r="AK44" s="14">
        <f t="shared" si="35"/>
        <v>33.10323903126482</v>
      </c>
      <c r="AL44" s="22">
        <f t="shared" si="4"/>
        <v>277.35142797945298</v>
      </c>
      <c r="AM44" s="60">
        <f t="shared" si="5"/>
        <v>570.68476131278635</v>
      </c>
      <c r="AN44" s="60">
        <f ca="1">AVERAGE(OFFSET($AM$3,0,0,'Données projet'!$E$10+1,1))-AVERAGE(OFFSET($H$3,0,0,'Données projet'!$E$10+1,1))</f>
        <v>475.47920969424894</v>
      </c>
      <c r="AO44" s="60">
        <f t="shared" si="36"/>
        <v>271.73544012419364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7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13.141346153846158</v>
      </c>
      <c r="BD44" s="13">
        <f>IF('Données projet'!$A$88&gt;35,BD43+BC44-BL43,IF(A44&lt;'Données projet'!$A$88,$BA$205^A44,IF(A44='Données projet'!$A$88,'Données projet'!$B$88,BD43+BC44-BL43)))</f>
        <v>263.72980769230765</v>
      </c>
      <c r="BE44" s="14">
        <f>BD44*VLOOKUP('Données projet'!$B$11,Paramètres!$A$1:$I$89,3,0)*VLOOKUP('Données projet'!$B$11,Paramètres!$A$1:$I$89,5,0)</f>
        <v>157.71042499999999</v>
      </c>
      <c r="BF44" s="14">
        <f t="shared" si="37"/>
        <v>40.325662975074472</v>
      </c>
      <c r="BG44" s="22">
        <f t="shared" si="7"/>
        <v>344.91285322325461</v>
      </c>
      <c r="BH44" s="60">
        <f t="shared" si="8"/>
        <v>638.24618655658787</v>
      </c>
      <c r="BI44" s="60">
        <f ca="1">AVERAGE(OFFSET($BH$3,0,0,'Données projet'!$E$11+1,1))-AVERAGE(OFFSET($H$3,0,0,'Données projet'!$E$11+1,1))</f>
        <v>260.02504691866199</v>
      </c>
      <c r="BJ44" s="60">
        <f t="shared" si="38"/>
        <v>270.11268336406368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8.0491695786796047</v>
      </c>
      <c r="BQ44" s="23">
        <f>EXP(-LN(2)/25)*BQ43+(1-EXP(-LN(2)/25))/(LN(2)/25)*Calculateur!BL44*Calculateur!BN44*VLOOKUP('Données projet'!$B$11,Paramètres!$A$1:$I$89,3,0)*0.475*44/12</f>
        <v>12.115572029125506</v>
      </c>
      <c r="BR44" s="23">
        <f>EXP(-LN(2)/2)*BR43+(1-EXP(-LN(2)/2))/(LN(2)/2)*BL44*BO44*VLOOKUP('Données projet'!$B$11,Paramètres!$A$1:$I$89,3,0)*0.475*44/12</f>
        <v>0.14009466804126963</v>
      </c>
      <c r="BS44" s="24">
        <f t="shared" si="9"/>
        <v>20.30483627584638</v>
      </c>
      <c r="BT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10.407692307692306</v>
      </c>
      <c r="BY44" s="13">
        <f>IF('Données projet'!$A$114&gt;35,BY43+BX44-CG43,IF(A44&lt;'Données projet'!$A$114,$BV$205^A44,IF(A44='Données projet'!$A$114,'Données projet'!$B$114,BY43+BX44-CG43)))</f>
        <v>217.76153846153849</v>
      </c>
      <c r="BZ44" s="14">
        <f>BY44*VLOOKUP('Données projet'!$B$12,Paramètres!$A$1:$I$89,3,0)*VLOOKUP('Données projet'!$B$12,Paramètres!$A$1:$I$89,5,0)</f>
        <v>101.91240000000002</v>
      </c>
      <c r="CA44" s="14">
        <f t="shared" si="39"/>
        <v>27.417096956022522</v>
      </c>
      <c r="CB44" s="22">
        <f t="shared" si="10"/>
        <v>225.2488738650726</v>
      </c>
      <c r="CC44" s="60">
        <f t="shared" si="11"/>
        <v>518.58220719840597</v>
      </c>
      <c r="CD44" s="60">
        <f ca="1">AVERAGE(OFFSET($CC$3,0,0,'Données projet'!$E$12+1,1))-AVERAGE(OFFSET($H$3,0,0,'Données projet'!$E$12+1,1))</f>
        <v>246.72166704460847</v>
      </c>
      <c r="CE44" s="60">
        <f t="shared" si="40"/>
        <v>145.54897745089966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124.40000000000003</v>
      </c>
      <c r="CU44" s="18">
        <f>CT44*VLOOKUP('Données projet'!$B$13,Paramètres!$A$1:$I$89,3,0)*VLOOKUP('Données projet'!$B$13,Paramètres!$A$1:$I$89,5,0)</f>
        <v>112.55712000000003</v>
      </c>
      <c r="CV44" s="14">
        <f t="shared" si="41"/>
        <v>29.932653834140599</v>
      </c>
      <c r="CW44" s="22">
        <f t="shared" si="13"/>
        <v>248.16968942779496</v>
      </c>
      <c r="CX44" s="60">
        <f t="shared" si="14"/>
        <v>541.50302276112825</v>
      </c>
      <c r="CY44" s="60">
        <f ca="1">AVERAGE(OFFSET($CX$3,0,0,'Données projet'!$E$13+1,1))-AVERAGE(OFFSET($H$3,0,0,'Données projet'!$E$13+1,1))</f>
        <v>428.8489304403459</v>
      </c>
      <c r="CZ44" s="60">
        <f t="shared" si="42"/>
        <v>247.01165577562966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6.2820512820512819</v>
      </c>
      <c r="DO44" s="13">
        <f>IF('Données projet'!$A$166&gt;35,DO43+DN44-DW43,IF(A44&lt;'Données projet'!$A$166,$DL$205^A44,IF(A44='Données projet'!$A$166,'Données projet'!$B$166,DO43+DN44-DW43)))</f>
        <v>147.94871794871796</v>
      </c>
      <c r="DP44" s="18">
        <f>DO44*VLOOKUP('Données projet'!$B$14,Paramètres!$A$1:$I$89,3,0)*VLOOKUP('Données projet'!$B$14,Paramètres!$A$1:$I$89,5,0)</f>
        <v>154.63600000000002</v>
      </c>
      <c r="DQ44" s="14">
        <f t="shared" si="43"/>
        <v>39.630259615196607</v>
      </c>
      <c r="DR44" s="22">
        <f t="shared" si="16"/>
        <v>338.34706882980078</v>
      </c>
      <c r="DS44" s="60">
        <f t="shared" si="17"/>
        <v>631.68040216313409</v>
      </c>
      <c r="DT44" s="60">
        <f ca="1">AVERAGE(OFFSET($DS$3,0,0,'Données projet'!$E$14+1,1))-AVERAGE(OFFSET($H$3,0,0,'Données projet'!$E$14+1,1))</f>
        <v>493.70175665335978</v>
      </c>
      <c r="DU44" s="60">
        <f t="shared" si="44"/>
        <v>325.12357781685949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4.8</v>
      </c>
      <c r="EJ44" s="13">
        <f>IF('Données projet'!$A$192&gt;35,EJ43+EI44-ER43,IF(A44&lt;'Données projet'!$A$192,$EG$205^A44,IF(A44='Données projet'!$A$192,'Données projet'!$B$192,EJ43+EI44-ER43)))</f>
        <v>117.79999999999995</v>
      </c>
      <c r="EK44" s="18">
        <f>EJ44*VLOOKUP('Données projet'!$B$15,Paramètres!$A$1:$I$89,3,0)*VLOOKUP('Données projet'!$B$15,Paramètres!$A$1:$I$89,5,0)</f>
        <v>95.55935999999997</v>
      </c>
      <c r="EL44" s="14">
        <f t="shared" si="45"/>
        <v>25.901295882154653</v>
      </c>
      <c r="EM44" s="22">
        <f t="shared" si="19"/>
        <v>211.5439756614193</v>
      </c>
      <c r="EN44" s="60">
        <f t="shared" si="20"/>
        <v>504.87730899475264</v>
      </c>
      <c r="EO44" s="60">
        <f ca="1">AVERAGE(OFFSET($EN$3,0,0,'Données projet'!$E$15+1,1))-AVERAGE(OFFSET($H$3,0,0,'Données projet'!$E$15+1,1))</f>
        <v>236.22643401787644</v>
      </c>
      <c r="EP44" s="60">
        <f t="shared" si="46"/>
        <v>188.80444043778022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3.8</v>
      </c>
      <c r="FE44" s="13">
        <f>IF('Données projet'!$A$218&gt;35,FE43+FD44-FM43,IF(A44&lt;'Données projet'!$A$218,$FB$205^A44,IF(A44='Données projet'!$A$218,'Données projet'!$B$218,FE43+FD44-FM43)))</f>
        <v>78.8</v>
      </c>
      <c r="FF44" s="18">
        <f>FE44*VLOOKUP('Données projet'!$B$16,Paramètres!$A$1:$I$89,3,0)*VLOOKUP('Données projet'!$B$16,Paramètres!$A$1:$I$89,5,0)</f>
        <v>76.21535999999999</v>
      </c>
      <c r="FG44" s="14">
        <f t="shared" si="47"/>
        <v>21.209226133452251</v>
      </c>
      <c r="FH44" s="22">
        <f t="shared" si="22"/>
        <v>169.68115418242931</v>
      </c>
      <c r="FI44" s="60">
        <f t="shared" si="23"/>
        <v>463.01448751576265</v>
      </c>
      <c r="FJ44" s="60">
        <f ca="1">AVERAGE(OFFSET($FI$3,0,0,'Données projet'!$E$16+1,1))-AVERAGE(OFFSET($H$3,0,0,'Données projet'!$E$16+1,1))</f>
        <v>255.59755832175625</v>
      </c>
      <c r="FK44" s="60">
        <f t="shared" si="48"/>
        <v>154.0840647586964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0" t="e">
        <f t="shared" si="26"/>
        <v>#N/A</v>
      </c>
      <c r="GE44" s="60" t="e">
        <f ca="1">AVERAGE(OFFSET($GD$3,0,0,'Données projet'!$E$17+1,1))-AVERAGE(OFFSET($H$3,0,0,'Données projet'!$E$17+1,1))</f>
        <v>#N/A</v>
      </c>
      <c r="GF44" s="60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7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0" t="e">
        <f t="shared" si="29"/>
        <v>#N/A</v>
      </c>
      <c r="GZ44" s="60" t="e">
        <f ca="1">AVERAGE(OFFSET($GY$3,0,0,'Données projet'!$E$18+1,1))-AVERAGE(OFFSET($H$3,0,0,'Données projet'!$E$18+1,1))</f>
        <v>#N/A</v>
      </c>
      <c r="HA44" s="60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5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68">
        <f t="shared" si="1"/>
        <v>256.66666666666669</v>
      </c>
      <c r="I45" s="7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0" t="e">
        <f t="shared" si="0"/>
        <v>#NUM!</v>
      </c>
      <c r="S45" s="60">
        <f ca="1">AVERAGE(OFFSET($R$3,0,0,'Données projet'!$E$9+1,1))-AVERAGE(OFFSET($H$3,0,0,'Données projet'!$E$9+1,1))</f>
        <v>64.775385872852041</v>
      </c>
      <c r="T45" s="60">
        <f t="shared" si="34"/>
        <v>201.69061202990468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25.337872013582565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9.4398220319820718E-4</v>
      </c>
      <c r="AC45" s="24">
        <f t="shared" si="3"/>
        <v>25.338815995785762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134.65920000000006</v>
      </c>
      <c r="AK45" s="14">
        <f t="shared" si="35"/>
        <v>35.07074737441733</v>
      </c>
      <c r="AL45" s="22">
        <f t="shared" si="4"/>
        <v>295.61299167711024</v>
      </c>
      <c r="AM45" s="60">
        <f t="shared" si="5"/>
        <v>588.94632501044362</v>
      </c>
      <c r="AN45" s="60">
        <f ca="1">AVERAGE(OFFSET($AM$3,0,0,'Données projet'!$E$10+1,1))-AVERAGE(OFFSET($H$3,0,0,'Données projet'!$E$10+1,1))</f>
        <v>475.47920969424894</v>
      </c>
      <c r="AO45" s="60">
        <f t="shared" si="36"/>
        <v>271.73544012419364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7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13.141346153846158</v>
      </c>
      <c r="BD45" s="13">
        <f>IF('Données projet'!$A$88&gt;35,BD44+BC45-BL44,IF(A45&lt;'Données projet'!$A$88,$BA$205^A45,IF(A45='Données projet'!$A$88,'Données projet'!$B$88,BD44+BC45-BL44)))</f>
        <v>276.87115384615379</v>
      </c>
      <c r="BE45" s="14">
        <f>BD45*VLOOKUP('Données projet'!$B$11,Paramètres!$A$1:$I$89,3,0)*VLOOKUP('Données projet'!$B$11,Paramètres!$A$1:$I$89,5,0)</f>
        <v>165.56894999999997</v>
      </c>
      <c r="BF45" s="14">
        <f t="shared" si="37"/>
        <v>42.096095514085818</v>
      </c>
      <c r="BG45" s="22">
        <f t="shared" si="7"/>
        <v>361.6832876036994</v>
      </c>
      <c r="BH45" s="60">
        <f t="shared" si="8"/>
        <v>655.01662093703271</v>
      </c>
      <c r="BI45" s="60">
        <f ca="1">AVERAGE(OFFSET($BH$3,0,0,'Données projet'!$E$11+1,1))-AVERAGE(OFFSET($H$3,0,0,'Données projet'!$E$11+1,1))</f>
        <v>260.02504691866199</v>
      </c>
      <c r="BJ45" s="60">
        <f t="shared" si="38"/>
        <v>270.11268336406368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7.8913302727503671</v>
      </c>
      <c r="BQ45" s="23">
        <f>EXP(-LN(2)/25)*BQ44+(1-EXP(-LN(2)/25))/(LN(2)/25)*Calculateur!BL45*Calculateur!BN45*VLOOKUP('Données projet'!$B$11,Paramètres!$A$1:$I$89,3,0)*0.475*44/12</f>
        <v>11.784271074858827</v>
      </c>
      <c r="BR45" s="23">
        <f>EXP(-LN(2)/2)*BR44+(1-EXP(-LN(2)/2))/(LN(2)/2)*BL45*BO45*VLOOKUP('Données projet'!$B$11,Paramètres!$A$1:$I$89,3,0)*0.475*44/12</f>
        <v>9.9061889780060058E-2</v>
      </c>
      <c r="BS45" s="24">
        <f t="shared" si="9"/>
        <v>19.774663237389255</v>
      </c>
      <c r="BT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10.407692307692306</v>
      </c>
      <c r="BY45" s="13">
        <f>IF('Données projet'!$A$114&gt;35,BY44+BX45-CG44,IF(A45&lt;'Données projet'!$A$114,$BV$205^A45,IF(A45='Données projet'!$A$114,'Données projet'!$B$114,BY44+BX45-CG44)))</f>
        <v>228.16923076923081</v>
      </c>
      <c r="BZ45" s="14">
        <f>BY45*VLOOKUP('Données projet'!$B$12,Paramètres!$A$1:$I$89,3,0)*VLOOKUP('Données projet'!$B$12,Paramètres!$A$1:$I$89,5,0)</f>
        <v>106.78320000000002</v>
      </c>
      <c r="CA45" s="14">
        <f t="shared" si="39"/>
        <v>28.571777207672977</v>
      </c>
      <c r="CB45" s="22">
        <f t="shared" si="10"/>
        <v>235.74325197003046</v>
      </c>
      <c r="CC45" s="60">
        <f t="shared" si="11"/>
        <v>529.0765853033638</v>
      </c>
      <c r="CD45" s="60">
        <f ca="1">AVERAGE(OFFSET($CC$3,0,0,'Données projet'!$E$12+1,1))-AVERAGE(OFFSET($H$3,0,0,'Données projet'!$E$12+1,1))</f>
        <v>246.72166704460847</v>
      </c>
      <c r="CE45" s="60">
        <f t="shared" si="40"/>
        <v>145.54897745089966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132.80000000000004</v>
      </c>
      <c r="CU45" s="18">
        <f>CT45*VLOOKUP('Données projet'!$B$13,Paramètres!$A$1:$I$89,3,0)*VLOOKUP('Données projet'!$B$13,Paramètres!$A$1:$I$89,5,0)</f>
        <v>120.15744000000002</v>
      </c>
      <c r="CV45" s="14">
        <f t="shared" si="41"/>
        <v>31.711716786129845</v>
      </c>
      <c r="CW45" s="22">
        <f t="shared" si="13"/>
        <v>264.50544806917623</v>
      </c>
      <c r="CX45" s="60">
        <f t="shared" si="14"/>
        <v>557.83878140250954</v>
      </c>
      <c r="CY45" s="60">
        <f ca="1">AVERAGE(OFFSET($CX$3,0,0,'Données projet'!$E$13+1,1))-AVERAGE(OFFSET($H$3,0,0,'Données projet'!$E$13+1,1))</f>
        <v>428.8489304403459</v>
      </c>
      <c r="CZ45" s="60">
        <f t="shared" si="42"/>
        <v>247.01165577562966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6.2820512820512819</v>
      </c>
      <c r="DO45" s="13">
        <f>IF('Données projet'!$A$166&gt;35,DO44+DN45-DW44,IF(A45&lt;'Données projet'!$A$166,$DL$205^A45,IF(A45='Données projet'!$A$166,'Données projet'!$B$166,DO44+DN45-DW44)))</f>
        <v>154.23076923076923</v>
      </c>
      <c r="DP45" s="18">
        <f>DO45*VLOOKUP('Données projet'!$B$14,Paramètres!$A$1:$I$89,3,0)*VLOOKUP('Données projet'!$B$14,Paramètres!$A$1:$I$89,5,0)</f>
        <v>161.20200000000003</v>
      </c>
      <c r="DQ45" s="14">
        <f t="shared" si="43"/>
        <v>41.113511653265036</v>
      </c>
      <c r="DR45" s="22">
        <f t="shared" si="16"/>
        <v>352.36618279610326</v>
      </c>
      <c r="DS45" s="60">
        <f t="shared" si="17"/>
        <v>645.69951612943657</v>
      </c>
      <c r="DT45" s="60">
        <f ca="1">AVERAGE(OFFSET($DS$3,0,0,'Données projet'!$E$14+1,1))-AVERAGE(OFFSET($H$3,0,0,'Données projet'!$E$14+1,1))</f>
        <v>493.70175665335978</v>
      </c>
      <c r="DU45" s="60">
        <f t="shared" si="44"/>
        <v>325.12357781685949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4.8</v>
      </c>
      <c r="EJ45" s="13">
        <f>IF('Données projet'!$A$192&gt;35,EJ44+EI45-ER44,IF(A45&lt;'Données projet'!$A$192,$EG$205^A45,IF(A45='Données projet'!$A$192,'Données projet'!$B$192,EJ44+EI45-ER44)))</f>
        <v>122.59999999999995</v>
      </c>
      <c r="EK45" s="18">
        <f>EJ45*VLOOKUP('Données projet'!$B$15,Paramètres!$A$1:$I$89,3,0)*VLOOKUP('Données projet'!$B$15,Paramètres!$A$1:$I$89,5,0)</f>
        <v>99.453119999999956</v>
      </c>
      <c r="EL45" s="14">
        <f t="shared" si="45"/>
        <v>26.831669376836924</v>
      </c>
      <c r="EM45" s="22">
        <f t="shared" si="19"/>
        <v>219.94600816465757</v>
      </c>
      <c r="EN45" s="60">
        <f t="shared" si="20"/>
        <v>513.27934149799091</v>
      </c>
      <c r="EO45" s="60">
        <f ca="1">AVERAGE(OFFSET($EN$3,0,0,'Données projet'!$E$15+1,1))-AVERAGE(OFFSET($H$3,0,0,'Données projet'!$E$15+1,1))</f>
        <v>236.22643401787644</v>
      </c>
      <c r="EP45" s="60">
        <f t="shared" si="46"/>
        <v>188.80444043778022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3.8</v>
      </c>
      <c r="FE45" s="13">
        <f>IF('Données projet'!$A$218&gt;35,FE44+FD45-FM44,IF(A45&lt;'Données projet'!$A$218,$FB$205^A45,IF(A45='Données projet'!$A$218,'Données projet'!$B$218,FE44+FD45-FM44)))</f>
        <v>82.6</v>
      </c>
      <c r="FF45" s="18">
        <f>FE45*VLOOKUP('Données projet'!$B$16,Paramètres!$A$1:$I$89,3,0)*VLOOKUP('Données projet'!$B$16,Paramètres!$A$1:$I$89,5,0)</f>
        <v>79.890720000000002</v>
      </c>
      <c r="FG45" s="14">
        <f t="shared" si="47"/>
        <v>22.110462475232147</v>
      </c>
      <c r="FH45" s="22">
        <f t="shared" si="22"/>
        <v>177.65205947769599</v>
      </c>
      <c r="FI45" s="60">
        <f t="shared" si="23"/>
        <v>470.98539281102933</v>
      </c>
      <c r="FJ45" s="60">
        <f ca="1">AVERAGE(OFFSET($FI$3,0,0,'Données projet'!$E$16+1,1))-AVERAGE(OFFSET($H$3,0,0,'Données projet'!$E$16+1,1))</f>
        <v>255.59755832175625</v>
      </c>
      <c r="FK45" s="60">
        <f t="shared" si="48"/>
        <v>154.0840647586964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0" t="e">
        <f t="shared" si="26"/>
        <v>#N/A</v>
      </c>
      <c r="GE45" s="60" t="e">
        <f ca="1">AVERAGE(OFFSET($GD$3,0,0,'Données projet'!$E$17+1,1))-AVERAGE(OFFSET($H$3,0,0,'Données projet'!$E$17+1,1))</f>
        <v>#N/A</v>
      </c>
      <c r="GF45" s="60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7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0" t="e">
        <f t="shared" si="29"/>
        <v>#N/A</v>
      </c>
      <c r="GZ45" s="60" t="e">
        <f ca="1">AVERAGE(OFFSET($GY$3,0,0,'Données projet'!$E$18+1,1))-AVERAGE(OFFSET($H$3,0,0,'Données projet'!$E$18+1,1))</f>
        <v>#N/A</v>
      </c>
      <c r="HA45" s="60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5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68">
        <f t="shared" si="1"/>
        <v>256.66666666666669</v>
      </c>
      <c r="I46" s="7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0" t="e">
        <f t="shared" si="0"/>
        <v>#NUM!</v>
      </c>
      <c r="S46" s="60">
        <f ca="1">AVERAGE(OFFSET($R$3,0,0,'Données projet'!$E$9+1,1))-AVERAGE(OFFSET($H$3,0,0,'Données projet'!$E$9+1,1))</f>
        <v>64.775385872852041</v>
      </c>
      <c r="T46" s="60">
        <f t="shared" si="34"/>
        <v>201.69061202990468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24.841011797972126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6.6749621720086976E-4</v>
      </c>
      <c r="AC46" s="24">
        <f t="shared" si="3"/>
        <v>24.841679294189326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143.17680000000004</v>
      </c>
      <c r="AK46" s="14">
        <f t="shared" si="35"/>
        <v>37.023812674521515</v>
      </c>
      <c r="AL46" s="22">
        <f t="shared" si="4"/>
        <v>313.84940040812506</v>
      </c>
      <c r="AM46" s="60">
        <f t="shared" si="5"/>
        <v>607.18273374145838</v>
      </c>
      <c r="AN46" s="60">
        <f ca="1">AVERAGE(OFFSET($AM$3,0,0,'Données projet'!$E$10+1,1))-AVERAGE(OFFSET($H$3,0,0,'Données projet'!$E$10+1,1))</f>
        <v>475.47920969424894</v>
      </c>
      <c r="AO46" s="60">
        <f t="shared" si="36"/>
        <v>271.73544012419364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7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13.141346153846158</v>
      </c>
      <c r="BD46" s="13">
        <f>IF('Données projet'!$A$88&gt;35,BD45+BC46-BL45,IF(A46&lt;'Données projet'!$A$88,$BA$205^A46,IF(A46='Données projet'!$A$88,'Données projet'!$B$88,BD45+BC46-BL45)))</f>
        <v>290.01249999999993</v>
      </c>
      <c r="BE46" s="14">
        <f>BD46*VLOOKUP('Données projet'!$B$11,Paramètres!$A$1:$I$89,3,0)*VLOOKUP('Données projet'!$B$11,Paramètres!$A$1:$I$89,5,0)</f>
        <v>173.42747499999999</v>
      </c>
      <c r="BF46" s="14">
        <f t="shared" si="37"/>
        <v>43.856769901180428</v>
      </c>
      <c r="BG46" s="22">
        <f t="shared" si="7"/>
        <v>378.43672653622252</v>
      </c>
      <c r="BH46" s="60">
        <f t="shared" si="8"/>
        <v>671.77005986955578</v>
      </c>
      <c r="BI46" s="60">
        <f ca="1">AVERAGE(OFFSET($BH$3,0,0,'Données projet'!$E$11+1,1))-AVERAGE(OFFSET($H$3,0,0,'Données projet'!$E$11+1,1))</f>
        <v>260.02504691866199</v>
      </c>
      <c r="BJ46" s="60">
        <f t="shared" si="38"/>
        <v>270.11268336406368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7.7365860993379316</v>
      </c>
      <c r="BQ46" s="23">
        <f>EXP(-LN(2)/25)*BQ45+(1-EXP(-LN(2)/25))/(LN(2)/25)*Calculateur!BL46*Calculateur!BN46*VLOOKUP('Données projet'!$B$11,Paramètres!$A$1:$I$89,3,0)*0.475*44/12</f>
        <v>11.462029562608929</v>
      </c>
      <c r="BR46" s="23">
        <f>EXP(-LN(2)/2)*BR45+(1-EXP(-LN(2)/2))/(LN(2)/2)*BL46*BO46*VLOOKUP('Données projet'!$B$11,Paramètres!$A$1:$I$89,3,0)*0.475*44/12</f>
        <v>7.0047334020634816E-2</v>
      </c>
      <c r="BS46" s="24">
        <f t="shared" si="9"/>
        <v>19.268662995967496</v>
      </c>
      <c r="BT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10.407692307692306</v>
      </c>
      <c r="BY46" s="13">
        <f>IF('Données projet'!$A$114&gt;35,BY45+BX46-CG45,IF(A46&lt;'Données projet'!$A$114,$BV$205^A46,IF(A46='Données projet'!$A$114,'Données projet'!$B$114,BY45+BX46-CG45)))</f>
        <v>238.57692307692312</v>
      </c>
      <c r="BZ46" s="14">
        <f>BY46*VLOOKUP('Données projet'!$B$12,Paramètres!$A$1:$I$89,3,0)*VLOOKUP('Données projet'!$B$12,Paramètres!$A$1:$I$89,5,0)</f>
        <v>111.65400000000002</v>
      </c>
      <c r="CA46" s="14">
        <f t="shared" si="39"/>
        <v>29.720340737744728</v>
      </c>
      <c r="CB46" s="22">
        <f t="shared" si="10"/>
        <v>246.22697678490542</v>
      </c>
      <c r="CC46" s="60">
        <f t="shared" si="11"/>
        <v>539.5603101182387</v>
      </c>
      <c r="CD46" s="60">
        <f ca="1">AVERAGE(OFFSET($CC$3,0,0,'Données projet'!$E$12+1,1))-AVERAGE(OFFSET($H$3,0,0,'Données projet'!$E$12+1,1))</f>
        <v>246.72166704460847</v>
      </c>
      <c r="CE46" s="60">
        <f t="shared" si="40"/>
        <v>145.54897745089966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141.20000000000005</v>
      </c>
      <c r="CU46" s="18">
        <f>CT46*VLOOKUP('Données projet'!$B$13,Paramètres!$A$1:$I$89,3,0)*VLOOKUP('Données projet'!$B$13,Paramètres!$A$1:$I$89,5,0)</f>
        <v>127.75776000000003</v>
      </c>
      <c r="CV46" s="14">
        <f t="shared" si="41"/>
        <v>33.477720030956604</v>
      </c>
      <c r="CW46" s="22">
        <f t="shared" si="13"/>
        <v>280.81846105391611</v>
      </c>
      <c r="CX46" s="60">
        <f t="shared" si="14"/>
        <v>574.15179438724942</v>
      </c>
      <c r="CY46" s="60">
        <f ca="1">AVERAGE(OFFSET($CX$3,0,0,'Données projet'!$E$13+1,1))-AVERAGE(OFFSET($H$3,0,0,'Données projet'!$E$13+1,1))</f>
        <v>428.8489304403459</v>
      </c>
      <c r="CZ46" s="60">
        <f t="shared" si="42"/>
        <v>247.01165577562966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6.2820512820512819</v>
      </c>
      <c r="DO46" s="13">
        <f>IF('Données projet'!$A$166&gt;35,DO45+DN46-DW45,IF(A46&lt;'Données projet'!$A$166,$DL$205^A46,IF(A46='Données projet'!$A$166,'Données projet'!$B$166,DO45+DN46-DW45)))</f>
        <v>160.5128205128205</v>
      </c>
      <c r="DP46" s="18">
        <f>DO46*VLOOKUP('Données projet'!$B$14,Paramètres!$A$1:$I$89,3,0)*VLOOKUP('Données projet'!$B$14,Paramètres!$A$1:$I$89,5,0)</f>
        <v>167.768</v>
      </c>
      <c r="DQ46" s="14">
        <f t="shared" si="43"/>
        <v>42.589745970134487</v>
      </c>
      <c r="DR46" s="22">
        <f t="shared" si="16"/>
        <v>366.37307423131756</v>
      </c>
      <c r="DS46" s="60">
        <f t="shared" si="17"/>
        <v>659.70640756465082</v>
      </c>
      <c r="DT46" s="60">
        <f ca="1">AVERAGE(OFFSET($DS$3,0,0,'Données projet'!$E$14+1,1))-AVERAGE(OFFSET($H$3,0,0,'Données projet'!$E$14+1,1))</f>
        <v>493.70175665335978</v>
      </c>
      <c r="DU46" s="60">
        <f t="shared" si="44"/>
        <v>325.12357781685949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4.8</v>
      </c>
      <c r="EJ46" s="13">
        <f>IF('Données projet'!$A$192&gt;35,EJ45+EI46-ER45,IF(A46&lt;'Données projet'!$A$192,$EG$205^A46,IF(A46='Données projet'!$A$192,'Données projet'!$B$192,EJ45+EI46-ER45)))</f>
        <v>127.39999999999995</v>
      </c>
      <c r="EK46" s="18">
        <f>EJ46*VLOOKUP('Données projet'!$B$15,Paramètres!$A$1:$I$89,3,0)*VLOOKUP('Données projet'!$B$15,Paramètres!$A$1:$I$89,5,0)</f>
        <v>103.34687999999997</v>
      </c>
      <c r="EL46" s="14">
        <f t="shared" si="45"/>
        <v>27.757811423037616</v>
      </c>
      <c r="EM46" s="22">
        <f t="shared" si="19"/>
        <v>228.34067089512379</v>
      </c>
      <c r="EN46" s="60">
        <f t="shared" si="20"/>
        <v>521.67400422845708</v>
      </c>
      <c r="EO46" s="60">
        <f ca="1">AVERAGE(OFFSET($EN$3,0,0,'Données projet'!$E$15+1,1))-AVERAGE(OFFSET($H$3,0,0,'Données projet'!$E$15+1,1))</f>
        <v>236.22643401787644</v>
      </c>
      <c r="EP46" s="60">
        <f t="shared" si="46"/>
        <v>188.80444043778022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3.8</v>
      </c>
      <c r="FE46" s="13">
        <f>IF('Données projet'!$A$218&gt;35,FE45+FD46-FM45,IF(A46&lt;'Données projet'!$A$218,$FB$205^A46,IF(A46='Données projet'!$A$218,'Données projet'!$B$218,FE45+FD46-FM45)))</f>
        <v>86.399999999999991</v>
      </c>
      <c r="FF46" s="18">
        <f>FE46*VLOOKUP('Données projet'!$B$16,Paramètres!$A$1:$I$89,3,0)*VLOOKUP('Données projet'!$B$16,Paramètres!$A$1:$I$89,5,0)</f>
        <v>83.566079999999999</v>
      </c>
      <c r="FG46" s="14">
        <f t="shared" si="47"/>
        <v>23.006883834459444</v>
      </c>
      <c r="FH46" s="22">
        <f t="shared" si="22"/>
        <v>185.6145786783502</v>
      </c>
      <c r="FI46" s="60">
        <f t="shared" si="23"/>
        <v>478.94791201168351</v>
      </c>
      <c r="FJ46" s="60">
        <f ca="1">AVERAGE(OFFSET($FI$3,0,0,'Données projet'!$E$16+1,1))-AVERAGE(OFFSET($H$3,0,0,'Données projet'!$E$16+1,1))</f>
        <v>255.59755832175625</v>
      </c>
      <c r="FK46" s="60">
        <f t="shared" si="48"/>
        <v>154.0840647586964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0" t="e">
        <f t="shared" si="26"/>
        <v>#N/A</v>
      </c>
      <c r="GE46" s="60" t="e">
        <f ca="1">AVERAGE(OFFSET($GD$3,0,0,'Données projet'!$E$17+1,1))-AVERAGE(OFFSET($H$3,0,0,'Données projet'!$E$17+1,1))</f>
        <v>#N/A</v>
      </c>
      <c r="GF46" s="60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7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0" t="e">
        <f t="shared" si="29"/>
        <v>#N/A</v>
      </c>
      <c r="GZ46" s="60" t="e">
        <f ca="1">AVERAGE(OFFSET($GY$3,0,0,'Données projet'!$E$18+1,1))-AVERAGE(OFFSET($H$3,0,0,'Données projet'!$E$18+1,1))</f>
        <v>#N/A</v>
      </c>
      <c r="HA46" s="60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5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68">
        <f t="shared" si="1"/>
        <v>256.66666666666669</v>
      </c>
      <c r="I47" s="7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0" t="e">
        <f t="shared" si="0"/>
        <v>#NUM!</v>
      </c>
      <c r="S47" s="60">
        <f ca="1">AVERAGE(OFFSET($R$3,0,0,'Données projet'!$E$9+1,1))-AVERAGE(OFFSET($H$3,0,0,'Données projet'!$E$9+1,1))</f>
        <v>64.775385872852041</v>
      </c>
      <c r="T47" s="60">
        <f t="shared" si="34"/>
        <v>201.69061202990468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24.353894708135002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4.7199110159910364E-4</v>
      </c>
      <c r="AC47" s="24">
        <f t="shared" si="3"/>
        <v>24.3543666992366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151.69440000000006</v>
      </c>
      <c r="AK47" s="14">
        <f t="shared" si="35"/>
        <v>38.963392010880654</v>
      </c>
      <c r="AL47" s="22">
        <f t="shared" si="4"/>
        <v>332.06232108561721</v>
      </c>
      <c r="AM47" s="60">
        <f t="shared" si="5"/>
        <v>625.39565441895047</v>
      </c>
      <c r="AN47" s="60">
        <f ca="1">AVERAGE(OFFSET($AM$3,0,0,'Données projet'!$E$10+1,1))-AVERAGE(OFFSET($H$3,0,0,'Données projet'!$E$10+1,1))</f>
        <v>475.47920969424894</v>
      </c>
      <c r="AO47" s="60">
        <f t="shared" si="36"/>
        <v>271.73544012419364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7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303.15384615384619</v>
      </c>
      <c r="BB47" s="13">
        <f>VLOOKUP(A47,'Données projet'!$A$87:$I$107,9,0)</f>
        <v>13.141346153846158</v>
      </c>
      <c r="BC47" s="13">
        <f t="array" ref="BC47">INDEX(BB:BB,MIN(IF(ISNUMBER(BB47:BB243),ROW(BB47:BB243),"")))</f>
        <v>13.141346153846158</v>
      </c>
      <c r="BD47" s="13">
        <f>IF('Données projet'!$A$88&gt;35,BD46+BC47-BL46,IF(A47&lt;'Données projet'!$A$88,$BA$205^A47,IF(A47='Données projet'!$A$88,'Données projet'!$B$88,BD46+BC47-BL46)))</f>
        <v>303.15384615384608</v>
      </c>
      <c r="BE47" s="14">
        <f>BD47*VLOOKUP('Données projet'!$B$11,Paramètres!$A$1:$I$89,3,0)*VLOOKUP('Données projet'!$B$11,Paramètres!$A$1:$I$89,5,0)</f>
        <v>181.28599999999997</v>
      </c>
      <c r="BF47" s="14">
        <f t="shared" si="37"/>
        <v>45.608178821536583</v>
      </c>
      <c r="BG47" s="22">
        <f t="shared" si="7"/>
        <v>395.17402811417611</v>
      </c>
      <c r="BH47" s="60">
        <f t="shared" si="8"/>
        <v>688.50736144750942</v>
      </c>
      <c r="BI47" s="60">
        <f ca="1">AVERAGE(OFFSET($BH$3,0,0,'Données projet'!$E$11+1,1))-AVERAGE(OFFSET($H$3,0,0,'Données projet'!$E$11+1,1))</f>
        <v>260.02504691866199</v>
      </c>
      <c r="BJ47" s="60">
        <f t="shared" si="38"/>
        <v>270.11268336406368</v>
      </c>
      <c r="BK47" s="16">
        <f>IF(ISNA(VLOOKUP(A47,'Données projet'!$A$87:$I$107,3,0)),0,VLOOKUP(A47,'Données projet'!$A$87:$I$107,3,0))</f>
        <v>5</v>
      </c>
      <c r="BL47" s="16">
        <f>IF(ISNA(VLOOKUP(A47,'Données projet'!$A$87:$I$107,4,0)),0,VLOOKUP(A47,'Données projet'!$A$87:$I$107,4,0))</f>
        <v>64.476923076923114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7.5848763647814872</v>
      </c>
      <c r="BQ47" s="23">
        <f>EXP(-LN(2)/25)*BQ46+(1-EXP(-LN(2)/25))/(LN(2)/25)*Calculateur!BL47*Calculateur!BN47*VLOOKUP('Données projet'!$B$11,Paramètres!$A$1:$I$89,3,0)*0.475*44/12</f>
        <v>11.148599761457451</v>
      </c>
      <c r="BR47" s="23">
        <f>EXP(-LN(2)/2)*BR46+(1-EXP(-LN(2)/2))/(LN(2)/2)*BL47*BO47*VLOOKUP('Données projet'!$B$11,Paramètres!$A$1:$I$89,3,0)*0.475*44/12</f>
        <v>4.9530944890030029E-2</v>
      </c>
      <c r="BS47" s="24">
        <f t="shared" si="9"/>
        <v>18.783007071128967</v>
      </c>
      <c r="BT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10.407692307692306</v>
      </c>
      <c r="BY47" s="13">
        <f>IF('Données projet'!$A$114&gt;35,BY46+BX47-CG46,IF(A47&lt;'Données projet'!$A$114,$BV$205^A47,IF(A47='Données projet'!$A$114,'Données projet'!$B$114,BY46+BX47-CG46)))</f>
        <v>248.98461538461544</v>
      </c>
      <c r="BZ47" s="14">
        <f>BY47*VLOOKUP('Données projet'!$B$12,Paramètres!$A$1:$I$89,3,0)*VLOOKUP('Données projet'!$B$12,Paramètres!$A$1:$I$89,5,0)</f>
        <v>116.52480000000001</v>
      </c>
      <c r="CA47" s="14">
        <f t="shared" si="39"/>
        <v>30.86308487963316</v>
      </c>
      <c r="CB47" s="22">
        <f t="shared" si="10"/>
        <v>256.70056616536107</v>
      </c>
      <c r="CC47" s="60">
        <f t="shared" si="11"/>
        <v>550.03389949869438</v>
      </c>
      <c r="CD47" s="60">
        <f ca="1">AVERAGE(OFFSET($CC$3,0,0,'Données projet'!$E$12+1,1))-AVERAGE(OFFSET($H$3,0,0,'Données projet'!$E$12+1,1))</f>
        <v>246.72166704460847</v>
      </c>
      <c r="CE47" s="60">
        <f t="shared" si="40"/>
        <v>145.54897745089966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149.60000000000005</v>
      </c>
      <c r="CU47" s="18">
        <f>CT47*VLOOKUP('Données projet'!$B$13,Paramètres!$A$1:$I$89,3,0)*VLOOKUP('Données projet'!$B$13,Paramètres!$A$1:$I$89,5,0)</f>
        <v>135.35808000000006</v>
      </c>
      <c r="CV47" s="14">
        <f t="shared" si="41"/>
        <v>35.231528980112834</v>
      </c>
      <c r="CW47" s="22">
        <f t="shared" si="13"/>
        <v>297.11023564036327</v>
      </c>
      <c r="CX47" s="60">
        <f t="shared" si="14"/>
        <v>590.44356897369653</v>
      </c>
      <c r="CY47" s="60">
        <f ca="1">AVERAGE(OFFSET($CX$3,0,0,'Données projet'!$E$13+1,1))-AVERAGE(OFFSET($H$3,0,0,'Données projet'!$E$13+1,1))</f>
        <v>428.8489304403459</v>
      </c>
      <c r="CZ47" s="60">
        <f t="shared" si="42"/>
        <v>247.01165577562966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6.2820512820512819</v>
      </c>
      <c r="DO47" s="13">
        <f>IF('Données projet'!$A$166&gt;35,DO46+DN47-DW46,IF(A47&lt;'Données projet'!$A$166,$DL$205^A47,IF(A47='Données projet'!$A$166,'Données projet'!$B$166,DO46+DN47-DW46)))</f>
        <v>166.79487179487177</v>
      </c>
      <c r="DP47" s="18">
        <f>DO47*VLOOKUP('Données projet'!$B$14,Paramètres!$A$1:$I$89,3,0)*VLOOKUP('Données projet'!$B$14,Paramètres!$A$1:$I$89,5,0)</f>
        <v>174.334</v>
      </c>
      <c r="DQ47" s="14">
        <f t="shared" si="43"/>
        <v>44.059268652696204</v>
      </c>
      <c r="DR47" s="22">
        <f t="shared" si="16"/>
        <v>380.3682762367792</v>
      </c>
      <c r="DS47" s="60">
        <f t="shared" si="17"/>
        <v>673.70160957011251</v>
      </c>
      <c r="DT47" s="60">
        <f ca="1">AVERAGE(OFFSET($DS$3,0,0,'Données projet'!$E$14+1,1))-AVERAGE(OFFSET($H$3,0,0,'Données projet'!$E$14+1,1))</f>
        <v>493.70175665335978</v>
      </c>
      <c r="DU47" s="60">
        <f t="shared" si="44"/>
        <v>325.12357781685949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4.8</v>
      </c>
      <c r="EJ47" s="13">
        <f>IF('Données projet'!$A$192&gt;35,EJ46+EI47-ER46,IF(A47&lt;'Données projet'!$A$192,$EG$205^A47,IF(A47='Données projet'!$A$192,'Données projet'!$B$192,EJ46+EI47-ER46)))</f>
        <v>132.19999999999996</v>
      </c>
      <c r="EK47" s="18">
        <f>EJ47*VLOOKUP('Données projet'!$B$15,Paramètres!$A$1:$I$89,3,0)*VLOOKUP('Données projet'!$B$15,Paramètres!$A$1:$I$89,5,0)</f>
        <v>107.24063999999998</v>
      </c>
      <c r="EL47" s="14">
        <f t="shared" si="45"/>
        <v>28.679899700503601</v>
      </c>
      <c r="EM47" s="22">
        <f t="shared" si="19"/>
        <v>236.72827331171041</v>
      </c>
      <c r="EN47" s="60">
        <f t="shared" si="20"/>
        <v>530.06160664504375</v>
      </c>
      <c r="EO47" s="60">
        <f ca="1">AVERAGE(OFFSET($EN$3,0,0,'Données projet'!$E$15+1,1))-AVERAGE(OFFSET($H$3,0,0,'Données projet'!$E$15+1,1))</f>
        <v>236.22643401787644</v>
      </c>
      <c r="EP47" s="60">
        <f t="shared" si="46"/>
        <v>188.80444043778022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3.8</v>
      </c>
      <c r="FE47" s="13">
        <f>IF('Données projet'!$A$218&gt;35,FE46+FD47-FM46,IF(A47&lt;'Données projet'!$A$218,$FB$205^A47,IF(A47='Données projet'!$A$218,'Données projet'!$B$218,FE46+FD47-FM46)))</f>
        <v>90.199999999999989</v>
      </c>
      <c r="FF47" s="18">
        <f>FE47*VLOOKUP('Données projet'!$B$16,Paramètres!$A$1:$I$89,3,0)*VLOOKUP('Données projet'!$B$16,Paramètres!$A$1:$I$89,5,0)</f>
        <v>87.241439999999997</v>
      </c>
      <c r="FG47" s="14">
        <f t="shared" si="47"/>
        <v>23.898726182438701</v>
      </c>
      <c r="FH47" s="22">
        <f t="shared" si="22"/>
        <v>193.56912276774736</v>
      </c>
      <c r="FI47" s="60">
        <f t="shared" si="23"/>
        <v>486.9024561010807</v>
      </c>
      <c r="FJ47" s="60">
        <f ca="1">AVERAGE(OFFSET($FI$3,0,0,'Données projet'!$E$16+1,1))-AVERAGE(OFFSET($H$3,0,0,'Données projet'!$E$16+1,1))</f>
        <v>255.59755832175625</v>
      </c>
      <c r="FK47" s="60">
        <f t="shared" si="48"/>
        <v>154.0840647586964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0" t="e">
        <f t="shared" si="26"/>
        <v>#N/A</v>
      </c>
      <c r="GE47" s="60" t="e">
        <f ca="1">AVERAGE(OFFSET($GD$3,0,0,'Données projet'!$E$17+1,1))-AVERAGE(OFFSET($H$3,0,0,'Données projet'!$E$17+1,1))</f>
        <v>#N/A</v>
      </c>
      <c r="GF47" s="60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7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0" t="e">
        <f t="shared" si="29"/>
        <v>#N/A</v>
      </c>
      <c r="GZ47" s="60" t="e">
        <f ca="1">AVERAGE(OFFSET($GY$3,0,0,'Données projet'!$E$18+1,1))-AVERAGE(OFFSET($H$3,0,0,'Données projet'!$E$18+1,1))</f>
        <v>#N/A</v>
      </c>
      <c r="HA47" s="60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5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68">
        <f t="shared" si="1"/>
        <v>256.66666666666669</v>
      </c>
      <c r="I48" s="7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0" t="e">
        <f t="shared" si="0"/>
        <v>#NUM!</v>
      </c>
      <c r="S48" s="60">
        <f ca="1">AVERAGE(OFFSET($R$3,0,0,'Données projet'!$E$9+1,1))-AVERAGE(OFFSET($H$3,0,0,'Données projet'!$E$9+1,1))</f>
        <v>64.775385872852041</v>
      </c>
      <c r="T48" s="60">
        <f t="shared" si="34"/>
        <v>201.69061202990468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23.876329687317494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3.3374810860043494E-4</v>
      </c>
      <c r="AC48" s="24">
        <f t="shared" si="3"/>
        <v>23.876663435426096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160.21200000000007</v>
      </c>
      <c r="AK48" s="14">
        <f t="shared" si="35"/>
        <v>40.890328912852731</v>
      </c>
      <c r="AL48" s="22">
        <f t="shared" si="4"/>
        <v>350.25322285655193</v>
      </c>
      <c r="AM48" s="60">
        <f t="shared" si="5"/>
        <v>643.58655618988519</v>
      </c>
      <c r="AN48" s="60">
        <f ca="1">AVERAGE(OFFSET($AM$3,0,0,'Données projet'!$E$10+1,1))-AVERAGE(OFFSET($H$3,0,0,'Données projet'!$E$10+1,1))</f>
        <v>475.47920969424894</v>
      </c>
      <c r="AO48" s="60">
        <f t="shared" si="36"/>
        <v>271.73544012419364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7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11.611538461538466</v>
      </c>
      <c r="BD48" s="13">
        <f>IF('Données projet'!$A$88&gt;35,BD47+BC48-BL47,IF(A48&lt;'Données projet'!$A$88,$BA$205^A48,IF(A48='Données projet'!$A$88,'Données projet'!$B$88,BD47+BC48-BL47)))</f>
        <v>250.28846153846143</v>
      </c>
      <c r="BE48" s="14">
        <f>BD48*VLOOKUP('Données projet'!$B$11,Paramètres!$A$1:$I$89,3,0)*VLOOKUP('Données projet'!$B$11,Paramètres!$A$1:$I$89,5,0)</f>
        <v>149.67249999999996</v>
      </c>
      <c r="BF48" s="14">
        <f t="shared" si="37"/>
        <v>38.504150605716987</v>
      </c>
      <c r="BG48" s="22">
        <f t="shared" si="7"/>
        <v>327.74099980495697</v>
      </c>
      <c r="BH48" s="60">
        <f t="shared" si="8"/>
        <v>621.07433313829029</v>
      </c>
      <c r="BI48" s="60">
        <f ca="1">AVERAGE(OFFSET($BH$3,0,0,'Données projet'!$E$11+1,1))-AVERAGE(OFFSET($H$3,0,0,'Données projet'!$E$11+1,1))</f>
        <v>260.02504691866199</v>
      </c>
      <c r="BJ48" s="60">
        <f t="shared" si="38"/>
        <v>270.11268336406368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7.4361415655858938</v>
      </c>
      <c r="BQ48" s="23">
        <f>EXP(-LN(2)/25)*BQ47+(1-EXP(-LN(2)/25))/(LN(2)/25)*Calculateur!BL48*Calculateur!BN48*VLOOKUP('Données projet'!$B$11,Paramètres!$A$1:$I$89,3,0)*0.475*44/12</f>
        <v>10.843740714701015</v>
      </c>
      <c r="BR48" s="23">
        <f>EXP(-LN(2)/2)*BR47+(1-EXP(-LN(2)/2))/(LN(2)/2)*BL48*BO48*VLOOKUP('Données projet'!$B$11,Paramètres!$A$1:$I$89,3,0)*0.475*44/12</f>
        <v>3.5023667010317408E-2</v>
      </c>
      <c r="BS48" s="24">
        <f t="shared" si="9"/>
        <v>18.314905947297227</v>
      </c>
      <c r="BT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10.407692307692306</v>
      </c>
      <c r="BY48" s="13">
        <f>IF('Données projet'!$A$114&gt;35,BY47+BX48-CG47,IF(A48&lt;'Données projet'!$A$114,$BV$205^A48,IF(A48='Données projet'!$A$114,'Données projet'!$B$114,BY47+BX48-CG47)))</f>
        <v>259.39230769230772</v>
      </c>
      <c r="BZ48" s="14">
        <f>BY48*VLOOKUP('Données projet'!$B$12,Paramètres!$A$1:$I$89,3,0)*VLOOKUP('Données projet'!$B$12,Paramètres!$A$1:$I$89,5,0)</f>
        <v>121.39560000000002</v>
      </c>
      <c r="CA48" s="14">
        <f t="shared" si="39"/>
        <v>32.000280703058984</v>
      </c>
      <c r="CB48" s="22">
        <f t="shared" si="10"/>
        <v>267.16449222449438</v>
      </c>
      <c r="CC48" s="60">
        <f t="shared" si="11"/>
        <v>560.4978255578277</v>
      </c>
      <c r="CD48" s="60">
        <f ca="1">AVERAGE(OFFSET($CC$3,0,0,'Données projet'!$E$12+1,1))-AVERAGE(OFFSET($H$3,0,0,'Données projet'!$E$12+1,1))</f>
        <v>246.72166704460847</v>
      </c>
      <c r="CE48" s="60">
        <f t="shared" si="40"/>
        <v>145.54897745089966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158.00000000000006</v>
      </c>
      <c r="CU48" s="18">
        <f>CT48*VLOOKUP('Données projet'!$B$13,Paramètres!$A$1:$I$89,3,0)*VLOOKUP('Données projet'!$B$13,Paramètres!$A$1:$I$89,5,0)</f>
        <v>142.95840000000004</v>
      </c>
      <c r="CV48" s="14">
        <f t="shared" si="41"/>
        <v>36.973906370811264</v>
      </c>
      <c r="CW48" s="22">
        <f t="shared" si="13"/>
        <v>313.38210026249641</v>
      </c>
      <c r="CX48" s="60">
        <f t="shared" si="14"/>
        <v>606.71543359582972</v>
      </c>
      <c r="CY48" s="60">
        <f ca="1">AVERAGE(OFFSET($CX$3,0,0,'Données projet'!$E$13+1,1))-AVERAGE(OFFSET($H$3,0,0,'Données projet'!$E$13+1,1))</f>
        <v>428.8489304403459</v>
      </c>
      <c r="CZ48" s="60">
        <f t="shared" si="42"/>
        <v>247.01165577562966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173.07692307692307</v>
      </c>
      <c r="DM48" s="13">
        <f>VLOOKUP(A48,'Données projet'!$A$165:$I$185,9,0)</f>
        <v>6.2820512820512819</v>
      </c>
      <c r="DN48" s="13">
        <f t="array" ref="DN48">INDEX(DM:DM,MIN(IF(ISNUMBER(DM48:DM244),ROW(DM48:DM244),"")))</f>
        <v>6.2820512820512819</v>
      </c>
      <c r="DO48" s="13">
        <f>IF('Données projet'!$A$166&gt;35,DO47+DN48-DW47,IF(A48&lt;'Données projet'!$A$166,$DL$205^A48,IF(A48='Données projet'!$A$166,'Données projet'!$B$166,DO47+DN48-DW47)))</f>
        <v>173.07692307692304</v>
      </c>
      <c r="DP48" s="18">
        <f>DO48*VLOOKUP('Données projet'!$B$14,Paramètres!$A$1:$I$89,3,0)*VLOOKUP('Données projet'!$B$14,Paramètres!$A$1:$I$89,5,0)</f>
        <v>180.89999999999998</v>
      </c>
      <c r="DQ48" s="14">
        <f t="shared" si="43"/>
        <v>45.522361425254346</v>
      </c>
      <c r="DR48" s="22">
        <f t="shared" si="16"/>
        <v>394.35227948231795</v>
      </c>
      <c r="DS48" s="60">
        <f t="shared" si="17"/>
        <v>687.68561281565121</v>
      </c>
      <c r="DT48" s="60">
        <f ca="1">AVERAGE(OFFSET($DS$3,0,0,'Données projet'!$E$14+1,1))-AVERAGE(OFFSET($H$3,0,0,'Données projet'!$E$14+1,1))</f>
        <v>493.70175665335978</v>
      </c>
      <c r="DU48" s="60">
        <f t="shared" si="44"/>
        <v>325.12357781685949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137</v>
      </c>
      <c r="EH48" s="13">
        <f>VLOOKUP(A48,'Données projet'!$A$191:$I$211,9,0)</f>
        <v>4.8</v>
      </c>
      <c r="EI48" s="13">
        <f t="array" ref="EI48">INDEX(EH:EH,MIN(IF(ISNUMBER(EH48:EH244),ROW(EH48:EH244),"")))</f>
        <v>4.8</v>
      </c>
      <c r="EJ48" s="13">
        <f>IF('Données projet'!$A$192&gt;35,EJ47+EI48-ER47,IF(A48&lt;'Données projet'!$A$192,$EG$205^A48,IF(A48='Données projet'!$A$192,'Données projet'!$B$192,EJ47+EI48-ER47)))</f>
        <v>136.99999999999997</v>
      </c>
      <c r="EK48" s="18">
        <f>EJ48*VLOOKUP('Données projet'!$B$15,Paramètres!$A$1:$I$89,3,0)*VLOOKUP('Données projet'!$B$15,Paramètres!$A$1:$I$89,5,0)</f>
        <v>111.13439999999997</v>
      </c>
      <c r="EL48" s="14">
        <f t="shared" si="45"/>
        <v>29.598098255109335</v>
      </c>
      <c r="EM48" s="22">
        <f t="shared" si="19"/>
        <v>245.10910112764864</v>
      </c>
      <c r="EN48" s="60">
        <f t="shared" si="20"/>
        <v>538.44243446098199</v>
      </c>
      <c r="EO48" s="60">
        <f ca="1">AVERAGE(OFFSET($EN$3,0,0,'Données projet'!$E$15+1,1))-AVERAGE(OFFSET($H$3,0,0,'Données projet'!$E$15+1,1))</f>
        <v>236.22643401787644</v>
      </c>
      <c r="EP48" s="60">
        <f t="shared" si="46"/>
        <v>188.80444043778022</v>
      </c>
      <c r="EQ48" s="16">
        <f>IF(ISNA(VLOOKUP(A48,'Données projet'!$A$191:$I$211,3,0)),0,VLOOKUP(A48,'Données projet'!$A$191:$I$211,3,0))</f>
        <v>3</v>
      </c>
      <c r="ER48" s="16">
        <f>IF(ISNA(VLOOKUP(A48,'Données projet'!$A$191:$I$211,4,0)),0,VLOOKUP(A48,'Données projet'!$A$191:$I$211,4,0))</f>
        <v>21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94</v>
      </c>
      <c r="FC48" s="13">
        <f>VLOOKUP(A48,'Données projet'!$A$217:$I$237,9,0)</f>
        <v>3.8</v>
      </c>
      <c r="FD48" s="13">
        <f t="array" ref="FD48">INDEX(FC:FC,MIN(IF(ISNUMBER(FC48:FC244),ROW(FC48:FC244),"")))</f>
        <v>3.8</v>
      </c>
      <c r="FE48" s="13">
        <f>IF('Données projet'!$A$218&gt;35,FE47+FD48-FM47,IF(A48&lt;'Données projet'!$A$218,$FB$205^A48,IF(A48='Données projet'!$A$218,'Données projet'!$B$218,FE47+FD48-FM47)))</f>
        <v>93.999999999999986</v>
      </c>
      <c r="FF48" s="18">
        <f>FE48*VLOOKUP('Données projet'!$B$16,Paramètres!$A$1:$I$89,3,0)*VLOOKUP('Données projet'!$B$16,Paramètres!$A$1:$I$89,5,0)</f>
        <v>90.916799999999995</v>
      </c>
      <c r="FG48" s="14">
        <f t="shared" si="47"/>
        <v>24.786204483471451</v>
      </c>
      <c r="FH48" s="22">
        <f t="shared" si="22"/>
        <v>201.51606614204607</v>
      </c>
      <c r="FI48" s="60">
        <f t="shared" si="23"/>
        <v>494.84939947537941</v>
      </c>
      <c r="FJ48" s="60">
        <f ca="1">AVERAGE(OFFSET($FI$3,0,0,'Données projet'!$E$16+1,1))-AVERAGE(OFFSET($H$3,0,0,'Données projet'!$E$16+1,1))</f>
        <v>255.59755832175625</v>
      </c>
      <c r="FK48" s="60">
        <f t="shared" si="48"/>
        <v>154.0840647586964</v>
      </c>
      <c r="FL48" s="16">
        <f>IF(ISNA(VLOOKUP(A48,'Données projet'!$A$217:$I$237,3,0)),0,VLOOKUP(A48,'Données projet'!$A$217:$I$237,3,0))</f>
        <v>2</v>
      </c>
      <c r="FM48" s="16">
        <f>IF(ISNA(VLOOKUP(A48,'Données projet'!$A$217:$I$237,4,0)),0,VLOOKUP(A48,'Données projet'!$A$217:$I$237,4,0))</f>
        <v>18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0" t="e">
        <f t="shared" si="26"/>
        <v>#N/A</v>
      </c>
      <c r="GE48" s="60" t="e">
        <f ca="1">AVERAGE(OFFSET($GD$3,0,0,'Données projet'!$E$17+1,1))-AVERAGE(OFFSET($H$3,0,0,'Données projet'!$E$17+1,1))</f>
        <v>#N/A</v>
      </c>
      <c r="GF48" s="60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7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0" t="e">
        <f t="shared" si="29"/>
        <v>#N/A</v>
      </c>
      <c r="GZ48" s="60" t="e">
        <f ca="1">AVERAGE(OFFSET($GY$3,0,0,'Données projet'!$E$18+1,1))-AVERAGE(OFFSET($H$3,0,0,'Données projet'!$E$18+1,1))</f>
        <v>#N/A</v>
      </c>
      <c r="HA48" s="60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5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68">
        <f t="shared" si="1"/>
        <v>256.66666666666669</v>
      </c>
      <c r="I49" s="7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0" t="e">
        <f t="shared" si="0"/>
        <v>#NUM!</v>
      </c>
      <c r="S49" s="60">
        <f ca="1">AVERAGE(OFFSET($R$3,0,0,'Données projet'!$E$9+1,1))-AVERAGE(OFFSET($H$3,0,0,'Données projet'!$E$9+1,1))</f>
        <v>64.775385872852041</v>
      </c>
      <c r="T49" s="60">
        <f t="shared" si="34"/>
        <v>201.69061202990468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23.408129425272318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2.3599555079955188E-4</v>
      </c>
      <c r="AC49" s="24">
        <f t="shared" si="3"/>
        <v>23.408365420823117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168.52680000000007</v>
      </c>
      <c r="AK49" s="14">
        <f t="shared" si="35"/>
        <v>42.759908842532369</v>
      </c>
      <c r="AL49" s="22">
        <f t="shared" si="4"/>
        <v>367.991017900744</v>
      </c>
      <c r="AM49" s="60">
        <f t="shared" si="5"/>
        <v>661.32435123407731</v>
      </c>
      <c r="AN49" s="60">
        <f ca="1">AVERAGE(OFFSET($AM$3,0,0,'Données projet'!$E$10+1,1))-AVERAGE(OFFSET($H$3,0,0,'Données projet'!$E$10+1,1))</f>
        <v>475.47920969424894</v>
      </c>
      <c r="AO49" s="60">
        <f t="shared" si="36"/>
        <v>271.73544012419364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7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11.611538461538466</v>
      </c>
      <c r="BD49" s="13">
        <f>IF('Données projet'!$A$88&gt;35,BD48+BC49-BL48,IF(A49&lt;'Données projet'!$A$88,$BA$205^A49,IF(A49='Données projet'!$A$88,'Données projet'!$B$88,BD48+BC49-BL48)))</f>
        <v>261.89999999999992</v>
      </c>
      <c r="BE49" s="14">
        <f>BD49*VLOOKUP('Données projet'!$B$11,Paramètres!$A$1:$I$89,3,0)*VLOOKUP('Données projet'!$B$11,Paramètres!$A$1:$I$89,5,0)</f>
        <v>156.61619999999996</v>
      </c>
      <c r="BF49" s="14">
        <f t="shared" si="37"/>
        <v>40.07834297246675</v>
      </c>
      <c r="BG49" s="22">
        <f t="shared" si="7"/>
        <v>342.57632901037942</v>
      </c>
      <c r="BH49" s="60">
        <f t="shared" si="8"/>
        <v>635.90966234371274</v>
      </c>
      <c r="BI49" s="60">
        <f ca="1">AVERAGE(OFFSET($BH$3,0,0,'Données projet'!$E$11+1,1))-AVERAGE(OFFSET($H$3,0,0,'Données projet'!$E$11+1,1))</f>
        <v>260.02504691866199</v>
      </c>
      <c r="BJ49" s="60">
        <f t="shared" si="38"/>
        <v>270.11268336406368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7.290323365083256</v>
      </c>
      <c r="BQ49" s="23">
        <f>EXP(-LN(2)/25)*BQ48+(1-EXP(-LN(2)/25))/(LN(2)/25)*Calculateur!BL49*Calculateur!BN49*VLOOKUP('Données projet'!$B$11,Paramètres!$A$1:$I$89,3,0)*0.475*44/12</f>
        <v>10.547218054609976</v>
      </c>
      <c r="BR49" s="23">
        <f>EXP(-LN(2)/2)*BR48+(1-EXP(-LN(2)/2))/(LN(2)/2)*BL49*BO49*VLOOKUP('Données projet'!$B$11,Paramètres!$A$1:$I$89,3,0)*0.475*44/12</f>
        <v>2.4765472445015015E-2</v>
      </c>
      <c r="BS49" s="24">
        <f t="shared" si="9"/>
        <v>17.862306892138246</v>
      </c>
      <c r="BT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10.407692307692306</v>
      </c>
      <c r="BY49" s="13">
        <f>IF('Données projet'!$A$114&gt;35,BY48+BX49-CG48,IF(A49&lt;'Données projet'!$A$114,$BV$205^A49,IF(A49='Données projet'!$A$114,'Données projet'!$B$114,BY48+BX49-CG48)))</f>
        <v>269.8</v>
      </c>
      <c r="BZ49" s="14">
        <f>BY49*VLOOKUP('Données projet'!$B$12,Paramètres!$A$1:$I$89,3,0)*VLOOKUP('Données projet'!$B$12,Paramètres!$A$1:$I$89,5,0)</f>
        <v>126.2664</v>
      </c>
      <c r="CA49" s="14">
        <f t="shared" si="39"/>
        <v>33.132176294071812</v>
      </c>
      <c r="CB49" s="22">
        <f t="shared" si="10"/>
        <v>277.6191870455084</v>
      </c>
      <c r="CC49" s="60">
        <f t="shared" si="11"/>
        <v>570.95252037884165</v>
      </c>
      <c r="CD49" s="60">
        <f ca="1">AVERAGE(OFFSET($CC$3,0,0,'Données projet'!$E$12+1,1))-AVERAGE(OFFSET($H$3,0,0,'Données projet'!$E$12+1,1))</f>
        <v>246.72166704460847</v>
      </c>
      <c r="CE49" s="60">
        <f t="shared" si="40"/>
        <v>145.54897745089966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8.1999999999999993</v>
      </c>
      <c r="CT49" s="13">
        <f>IF('Données projet'!$A$140&gt;35,CT48+CS49-DB48,IF(A49&lt;'Données projet'!$A$140,$CQ$205^A49,IF(A49='Données projet'!$A$140,'Données projet'!$B$140,CT48+CS49-DB48)))</f>
        <v>166.20000000000005</v>
      </c>
      <c r="CU49" s="18">
        <f>CT49*VLOOKUP('Données projet'!$B$13,Paramètres!$A$1:$I$89,3,0)*VLOOKUP('Données projet'!$B$13,Paramètres!$A$1:$I$89,5,0)</f>
        <v>150.37776000000002</v>
      </c>
      <c r="CV49" s="14">
        <f t="shared" si="41"/>
        <v>38.664420365454049</v>
      </c>
      <c r="CW49" s="22">
        <f t="shared" si="13"/>
        <v>329.24846413649914</v>
      </c>
      <c r="CX49" s="60">
        <f t="shared" si="14"/>
        <v>622.58179746983251</v>
      </c>
      <c r="CY49" s="60">
        <f ca="1">AVERAGE(OFFSET($CX$3,0,0,'Données projet'!$E$13+1,1))-AVERAGE(OFFSET($H$3,0,0,'Données projet'!$E$13+1,1))</f>
        <v>428.8489304403459</v>
      </c>
      <c r="CZ49" s="60">
        <f t="shared" si="42"/>
        <v>247.01165577562966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6.0256410256410273</v>
      </c>
      <c r="DO49" s="13">
        <f>IF('Données projet'!$A$166&gt;35,DO48+DN49-DW48,IF(A49&lt;'Données projet'!$A$166,$DL$205^A49,IF(A49='Données projet'!$A$166,'Données projet'!$B$166,DO48+DN49-DW48)))</f>
        <v>179.10256410256406</v>
      </c>
      <c r="DP49" s="18">
        <f>DO49*VLOOKUP('Données projet'!$B$14,Paramètres!$A$1:$I$89,3,0)*VLOOKUP('Données projet'!$B$14,Paramètres!$A$1:$I$89,5,0)</f>
        <v>187.19799999999998</v>
      </c>
      <c r="DQ49" s="14">
        <f t="shared" si="43"/>
        <v>46.919935793880072</v>
      </c>
      <c r="DR49" s="22">
        <f t="shared" si="16"/>
        <v>407.75540484100776</v>
      </c>
      <c r="DS49" s="60">
        <f t="shared" si="17"/>
        <v>701.08873817434107</v>
      </c>
      <c r="DT49" s="60">
        <f ca="1">AVERAGE(OFFSET($DS$3,0,0,'Données projet'!$E$14+1,1))-AVERAGE(OFFSET($H$3,0,0,'Données projet'!$E$14+1,1))</f>
        <v>493.70175665335978</v>
      </c>
      <c r="DU49" s="60">
        <f t="shared" si="44"/>
        <v>325.12357781685949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4.5999999999999996</v>
      </c>
      <c r="EJ49" s="13">
        <f>IF('Données projet'!$A$192&gt;35,EJ48+EI49-ER48,IF(A49&lt;'Données projet'!$A$192,$EG$205^A49,IF(A49='Données projet'!$A$192,'Données projet'!$B$192,EJ48+EI49-ER48)))</f>
        <v>120.59999999999997</v>
      </c>
      <c r="EK49" s="18">
        <f>EJ49*VLOOKUP('Données projet'!$B$15,Paramètres!$A$1:$I$89,3,0)*VLOOKUP('Données projet'!$B$15,Paramètres!$A$1:$I$89,5,0)</f>
        <v>97.830719999999971</v>
      </c>
      <c r="EL49" s="14">
        <f t="shared" si="45"/>
        <v>26.444538701397263</v>
      </c>
      <c r="EM49" s="22">
        <f t="shared" si="19"/>
        <v>216.44607557160018</v>
      </c>
      <c r="EN49" s="60">
        <f t="shared" si="20"/>
        <v>509.77940890493346</v>
      </c>
      <c r="EO49" s="60">
        <f ca="1">AVERAGE(OFFSET($EN$3,0,0,'Données projet'!$E$15+1,1))-AVERAGE(OFFSET($H$3,0,0,'Données projet'!$E$15+1,1))</f>
        <v>236.22643401787644</v>
      </c>
      <c r="EP49" s="60">
        <f t="shared" si="46"/>
        <v>188.80444043778022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3.8</v>
      </c>
      <c r="FE49" s="13">
        <f>IF('Données projet'!$A$218&gt;35,FE48+FD49-FM48,IF(A49&lt;'Données projet'!$A$218,$FB$205^A49,IF(A49='Données projet'!$A$218,'Données projet'!$B$218,FE48+FD49-FM48)))</f>
        <v>79.799999999999983</v>
      </c>
      <c r="FF49" s="18">
        <f>FE49*VLOOKUP('Données projet'!$B$16,Paramètres!$A$1:$I$89,3,0)*VLOOKUP('Données projet'!$B$16,Paramètres!$A$1:$I$89,5,0)</f>
        <v>77.182559999999995</v>
      </c>
      <c r="FG49" s="14">
        <f t="shared" si="47"/>
        <v>21.446874557671695</v>
      </c>
      <c r="FH49" s="22">
        <f t="shared" si="22"/>
        <v>171.77959852127819</v>
      </c>
      <c r="FI49" s="60">
        <f t="shared" si="23"/>
        <v>465.11293185461147</v>
      </c>
      <c r="FJ49" s="60">
        <f ca="1">AVERAGE(OFFSET($FI$3,0,0,'Données projet'!$E$16+1,1))-AVERAGE(OFFSET($H$3,0,0,'Données projet'!$E$16+1,1))</f>
        <v>255.59755832175625</v>
      </c>
      <c r="FK49" s="60">
        <f t="shared" si="48"/>
        <v>154.0840647586964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0" t="e">
        <f t="shared" si="26"/>
        <v>#N/A</v>
      </c>
      <c r="GE49" s="60" t="e">
        <f ca="1">AVERAGE(OFFSET($GD$3,0,0,'Données projet'!$E$17+1,1))-AVERAGE(OFFSET($H$3,0,0,'Données projet'!$E$17+1,1))</f>
        <v>#N/A</v>
      </c>
      <c r="GF49" s="60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7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0" t="e">
        <f t="shared" si="29"/>
        <v>#N/A</v>
      </c>
      <c r="GZ49" s="60" t="e">
        <f ca="1">AVERAGE(OFFSET($GY$3,0,0,'Données projet'!$E$18+1,1))-AVERAGE(OFFSET($H$3,0,0,'Données projet'!$E$18+1,1))</f>
        <v>#N/A</v>
      </c>
      <c r="HA49" s="60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5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68">
        <f t="shared" si="1"/>
        <v>256.66666666666669</v>
      </c>
      <c r="I50" s="7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0" t="e">
        <f t="shared" si="0"/>
        <v>#NUM!</v>
      </c>
      <c r="S50" s="60">
        <f ca="1">AVERAGE(OFFSET($R$3,0,0,'Données projet'!$E$9+1,1))-AVERAGE(OFFSET($H$3,0,0,'Données projet'!$E$9+1,1))</f>
        <v>64.775385872852041</v>
      </c>
      <c r="T50" s="60">
        <f t="shared" si="34"/>
        <v>201.69061202990468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22.949110284791885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1.668740543002175E-4</v>
      </c>
      <c r="AC50" s="24">
        <f t="shared" si="3"/>
        <v>22.949277158846186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176.84160000000006</v>
      </c>
      <c r="AK50" s="14">
        <f t="shared" si="35"/>
        <v>44.618778032982952</v>
      </c>
      <c r="AL50" s="22">
        <f t="shared" si="4"/>
        <v>385.71015840744536</v>
      </c>
      <c r="AM50" s="60">
        <f t="shared" si="5"/>
        <v>679.04349174077868</v>
      </c>
      <c r="AN50" s="60">
        <f ca="1">AVERAGE(OFFSET($AM$3,0,0,'Données projet'!$E$10+1,1))-AVERAGE(OFFSET($H$3,0,0,'Données projet'!$E$10+1,1))</f>
        <v>475.47920969424894</v>
      </c>
      <c r="AO50" s="60">
        <f t="shared" si="36"/>
        <v>271.73544012419364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7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11.611538461538466</v>
      </c>
      <c r="BD50" s="13">
        <f>IF('Données projet'!$A$88&gt;35,BD49+BC50-BL49,IF(A50&lt;'Données projet'!$A$88,$BA$205^A50,IF(A50='Données projet'!$A$88,'Données projet'!$B$88,BD49+BC50-BL49)))</f>
        <v>273.51153846153841</v>
      </c>
      <c r="BE50" s="14">
        <f>BD50*VLOOKUP('Données projet'!$B$11,Paramètres!$A$1:$I$89,3,0)*VLOOKUP('Données projet'!$B$11,Paramètres!$A$1:$I$89,5,0)</f>
        <v>163.55989999999997</v>
      </c>
      <c r="BF50" s="14">
        <f t="shared" si="37"/>
        <v>41.644429552500291</v>
      </c>
      <c r="BG50" s="22">
        <f t="shared" si="7"/>
        <v>357.39754063727128</v>
      </c>
      <c r="BH50" s="60">
        <f t="shared" si="8"/>
        <v>650.73087397060453</v>
      </c>
      <c r="BI50" s="60">
        <f ca="1">AVERAGE(OFFSET($BH$3,0,0,'Données projet'!$E$11+1,1))-AVERAGE(OFFSET($H$3,0,0,'Données projet'!$E$11+1,1))</f>
        <v>260.02504691866199</v>
      </c>
      <c r="BJ50" s="60">
        <f t="shared" si="38"/>
        <v>270.11268336406368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7.1473645705521553</v>
      </c>
      <c r="BQ50" s="23">
        <f>EXP(-LN(2)/25)*BQ49+(1-EXP(-LN(2)/25))/(LN(2)/25)*Calculateur!BL50*Calculateur!BN50*VLOOKUP('Données projet'!$B$11,Paramètres!$A$1:$I$89,3,0)*0.475*44/12</f>
        <v>10.258803822252574</v>
      </c>
      <c r="BR50" s="23">
        <f>EXP(-LN(2)/2)*BR49+(1-EXP(-LN(2)/2))/(LN(2)/2)*BL50*BO50*VLOOKUP('Données projet'!$B$11,Paramètres!$A$1:$I$89,3,0)*0.475*44/12</f>
        <v>1.7511833505158704E-2</v>
      </c>
      <c r="BS50" s="24">
        <f t="shared" si="9"/>
        <v>17.423680226309887</v>
      </c>
      <c r="BT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10.407692307692306</v>
      </c>
      <c r="BY50" s="13">
        <f>IF('Données projet'!$A$114&gt;35,BY49+BX50-CG49,IF(A50&lt;'Données projet'!$A$114,$BV$205^A50,IF(A50='Données projet'!$A$114,'Données projet'!$B$114,BY49+BX50-CG49)))</f>
        <v>280.2076923076923</v>
      </c>
      <c r="BZ50" s="14">
        <f>BY50*VLOOKUP('Données projet'!$B$12,Paramètres!$A$1:$I$89,3,0)*VLOOKUP('Données projet'!$B$12,Paramètres!$A$1:$I$89,5,0)</f>
        <v>131.13719999999998</v>
      </c>
      <c r="CA50" s="14">
        <f t="shared" si="39"/>
        <v>34.258999514705152</v>
      </c>
      <c r="CB50" s="22">
        <f t="shared" si="10"/>
        <v>288.06504748811147</v>
      </c>
      <c r="CC50" s="60">
        <f t="shared" si="11"/>
        <v>581.39838082144479</v>
      </c>
      <c r="CD50" s="60">
        <f ca="1">AVERAGE(OFFSET($CC$3,0,0,'Données projet'!$E$12+1,1))-AVERAGE(OFFSET($H$3,0,0,'Données projet'!$E$12+1,1))</f>
        <v>246.72166704460847</v>
      </c>
      <c r="CE50" s="60">
        <f t="shared" si="40"/>
        <v>145.54897745089966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8.1999999999999993</v>
      </c>
      <c r="CT50" s="13">
        <f>IF('Données projet'!$A$140&gt;35,CT49+CS50-DB49,IF(A50&lt;'Données projet'!$A$140,$CQ$205^A50,IF(A50='Données projet'!$A$140,'Données projet'!$B$140,CT49+CS50-DB49)))</f>
        <v>174.40000000000003</v>
      </c>
      <c r="CU50" s="18">
        <f>CT50*VLOOKUP('Données projet'!$B$13,Paramètres!$A$1:$I$89,3,0)*VLOOKUP('Données projet'!$B$13,Paramètres!$A$1:$I$89,5,0)</f>
        <v>157.79712000000004</v>
      </c>
      <c r="CV50" s="14">
        <f t="shared" si="41"/>
        <v>40.345249481546155</v>
      </c>
      <c r="CW50" s="22">
        <f t="shared" si="13"/>
        <v>345.09796018035962</v>
      </c>
      <c r="CX50" s="60">
        <f t="shared" si="14"/>
        <v>638.43129351369294</v>
      </c>
      <c r="CY50" s="60">
        <f ca="1">AVERAGE(OFFSET($CX$3,0,0,'Données projet'!$E$13+1,1))-AVERAGE(OFFSET($H$3,0,0,'Données projet'!$E$13+1,1))</f>
        <v>428.8489304403459</v>
      </c>
      <c r="CZ50" s="60">
        <f t="shared" si="42"/>
        <v>247.01165577562966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6.0256410256410273</v>
      </c>
      <c r="DO50" s="13">
        <f>IF('Données projet'!$A$166&gt;35,DO49+DN50-DW49,IF(A50&lt;'Données projet'!$A$166,$DL$205^A50,IF(A50='Données projet'!$A$166,'Données projet'!$B$166,DO49+DN50-DW49)))</f>
        <v>185.12820512820508</v>
      </c>
      <c r="DP50" s="18">
        <f>DO50*VLOOKUP('Données projet'!$B$14,Paramètres!$A$1:$I$89,3,0)*VLOOKUP('Données projet'!$B$14,Paramètres!$A$1:$I$89,5,0)</f>
        <v>193.49599999999998</v>
      </c>
      <c r="DQ50" s="14">
        <f t="shared" si="43"/>
        <v>48.312046726948296</v>
      </c>
      <c r="DR50" s="22">
        <f t="shared" si="16"/>
        <v>421.14901471610159</v>
      </c>
      <c r="DS50" s="60">
        <f t="shared" si="17"/>
        <v>714.4823480494349</v>
      </c>
      <c r="DT50" s="60">
        <f ca="1">AVERAGE(OFFSET($DS$3,0,0,'Données projet'!$E$14+1,1))-AVERAGE(OFFSET($H$3,0,0,'Données projet'!$E$14+1,1))</f>
        <v>493.70175665335978</v>
      </c>
      <c r="DU50" s="60">
        <f t="shared" si="44"/>
        <v>325.12357781685949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4.5999999999999996</v>
      </c>
      <c r="EJ50" s="13">
        <f>IF('Données projet'!$A$192&gt;35,EJ49+EI50-ER49,IF(A50&lt;'Données projet'!$A$192,$EG$205^A50,IF(A50='Données projet'!$A$192,'Données projet'!$B$192,EJ49+EI50-ER49)))</f>
        <v>125.19999999999996</v>
      </c>
      <c r="EK50" s="18">
        <f>EJ50*VLOOKUP('Données projet'!$B$15,Paramètres!$A$1:$I$89,3,0)*VLOOKUP('Données projet'!$B$15,Paramètres!$A$1:$I$89,5,0)</f>
        <v>101.56223999999997</v>
      </c>
      <c r="EL50" s="14">
        <f t="shared" si="45"/>
        <v>27.333843239980062</v>
      </c>
      <c r="EM50" s="22">
        <f t="shared" si="19"/>
        <v>224.49401164296523</v>
      </c>
      <c r="EN50" s="60">
        <f t="shared" si="20"/>
        <v>517.82734497629849</v>
      </c>
      <c r="EO50" s="60">
        <f ca="1">AVERAGE(OFFSET($EN$3,0,0,'Données projet'!$E$15+1,1))-AVERAGE(OFFSET($H$3,0,0,'Données projet'!$E$15+1,1))</f>
        <v>236.22643401787644</v>
      </c>
      <c r="EP50" s="60">
        <f t="shared" si="46"/>
        <v>188.80444043778022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3.8</v>
      </c>
      <c r="FE50" s="13">
        <f>IF('Données projet'!$A$218&gt;35,FE49+FD50-FM49,IF(A50&lt;'Données projet'!$A$218,$FB$205^A50,IF(A50='Données projet'!$A$218,'Données projet'!$B$218,FE49+FD50-FM49)))</f>
        <v>83.59999999999998</v>
      </c>
      <c r="FF50" s="18">
        <f>FE50*VLOOKUP('Données projet'!$B$16,Paramètres!$A$1:$I$89,3,0)*VLOOKUP('Données projet'!$B$16,Paramètres!$A$1:$I$89,5,0)</f>
        <v>80.857919999999979</v>
      </c>
      <c r="FG50" s="14">
        <f t="shared" si="47"/>
        <v>22.346819625648891</v>
      </c>
      <c r="FH50" s="22">
        <f t="shared" si="22"/>
        <v>179.7482548480051</v>
      </c>
      <c r="FI50" s="60">
        <f t="shared" si="23"/>
        <v>473.08158818133842</v>
      </c>
      <c r="FJ50" s="60">
        <f ca="1">AVERAGE(OFFSET($FI$3,0,0,'Données projet'!$E$16+1,1))-AVERAGE(OFFSET($H$3,0,0,'Données projet'!$E$16+1,1))</f>
        <v>255.59755832175625</v>
      </c>
      <c r="FK50" s="60">
        <f t="shared" si="48"/>
        <v>154.0840647586964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0" t="e">
        <f t="shared" si="26"/>
        <v>#N/A</v>
      </c>
      <c r="GE50" s="60" t="e">
        <f ca="1">AVERAGE(OFFSET($GD$3,0,0,'Données projet'!$E$17+1,1))-AVERAGE(OFFSET($H$3,0,0,'Données projet'!$E$17+1,1))</f>
        <v>#N/A</v>
      </c>
      <c r="GF50" s="60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7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0" t="e">
        <f t="shared" si="29"/>
        <v>#N/A</v>
      </c>
      <c r="GZ50" s="60" t="e">
        <f ca="1">AVERAGE(OFFSET($GY$3,0,0,'Données projet'!$E$18+1,1))-AVERAGE(OFFSET($H$3,0,0,'Données projet'!$E$18+1,1))</f>
        <v>#N/A</v>
      </c>
      <c r="HA50" s="60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5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68">
        <f t="shared" si="1"/>
        <v>256.66666666666669</v>
      </c>
      <c r="I51" s="7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0" t="e">
        <f t="shared" si="0"/>
        <v>#NUM!</v>
      </c>
      <c r="S51" s="60">
        <f ca="1">AVERAGE(OFFSET($R$3,0,0,'Données projet'!$E$9+1,1))-AVERAGE(OFFSET($H$3,0,0,'Données projet'!$E$9+1,1))</f>
        <v>64.775385872852041</v>
      </c>
      <c r="T51" s="60">
        <f t="shared" si="34"/>
        <v>201.69061202990468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22.499092229682244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1.1799777539977595E-4</v>
      </c>
      <c r="AC51" s="24">
        <f t="shared" si="3"/>
        <v>22.499210227457645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185.15640000000002</v>
      </c>
      <c r="AK51" s="14">
        <f t="shared" si="35"/>
        <v>46.467497591770453</v>
      </c>
      <c r="AL51" s="22">
        <f t="shared" si="4"/>
        <v>403.4116216390002</v>
      </c>
      <c r="AM51" s="60">
        <f t="shared" si="5"/>
        <v>696.74495497233352</v>
      </c>
      <c r="AN51" s="60">
        <f ca="1">AVERAGE(OFFSET($AM$3,0,0,'Données projet'!$E$10+1,1))-AVERAGE(OFFSET($H$3,0,0,'Données projet'!$E$10+1,1))</f>
        <v>475.47920969424894</v>
      </c>
      <c r="AO51" s="60">
        <f t="shared" si="36"/>
        <v>271.73544012419364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7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11.611538461538466</v>
      </c>
      <c r="BD51" s="13">
        <f>IF('Données projet'!$A$88&gt;35,BD50+BC51-BL50,IF(A51&lt;'Données projet'!$A$88,$BA$205^A51,IF(A51='Données projet'!$A$88,'Données projet'!$B$88,BD50+BC51-BL50)))</f>
        <v>285.12307692307689</v>
      </c>
      <c r="BE51" s="14">
        <f>BD51*VLOOKUP('Données projet'!$B$11,Paramètres!$A$1:$I$89,3,0)*VLOOKUP('Données projet'!$B$11,Paramètres!$A$1:$I$89,5,0)</f>
        <v>170.50360000000001</v>
      </c>
      <c r="BF51" s="14">
        <f t="shared" si="37"/>
        <v>43.202793808192034</v>
      </c>
      <c r="BG51" s="22">
        <f t="shared" si="7"/>
        <v>372.2053025492678</v>
      </c>
      <c r="BH51" s="60">
        <f t="shared" si="8"/>
        <v>665.53863588260106</v>
      </c>
      <c r="BI51" s="60">
        <f ca="1">AVERAGE(OFFSET($BH$3,0,0,'Données projet'!$E$11+1,1))-AVERAGE(OFFSET($H$3,0,0,'Données projet'!$E$11+1,1))</f>
        <v>260.02504691866199</v>
      </c>
      <c r="BJ51" s="60">
        <f t="shared" si="38"/>
        <v>270.11268336406368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7.0072091107855545</v>
      </c>
      <c r="BQ51" s="23">
        <f>EXP(-LN(2)/25)*BQ50+(1-EXP(-LN(2)/25))/(LN(2)/25)*Calculateur!BL51*Calculateur!BN51*VLOOKUP('Données projet'!$B$11,Paramètres!$A$1:$I$89,3,0)*0.475*44/12</f>
        <v>9.9782762922460311</v>
      </c>
      <c r="BR51" s="23">
        <f>EXP(-LN(2)/2)*BR50+(1-EXP(-LN(2)/2))/(LN(2)/2)*BL51*BO51*VLOOKUP('Données projet'!$B$11,Paramètres!$A$1:$I$89,3,0)*0.475*44/12</f>
        <v>1.2382736222507507E-2</v>
      </c>
      <c r="BS51" s="24">
        <f t="shared" si="9"/>
        <v>16.997868139254091</v>
      </c>
      <c r="BT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10.407692307692306</v>
      </c>
      <c r="BY51" s="13">
        <f>IF('Données projet'!$A$114&gt;35,BY50+BX51-CG50,IF(A51&lt;'Données projet'!$A$114,$BV$205^A51,IF(A51='Données projet'!$A$114,'Données projet'!$B$114,BY50+BX51-CG50)))</f>
        <v>290.61538461538458</v>
      </c>
      <c r="BZ51" s="14">
        <f>BY51*VLOOKUP('Données projet'!$B$12,Paramètres!$A$1:$I$89,3,0)*VLOOKUP('Données projet'!$B$12,Paramètres!$A$1:$I$89,5,0)</f>
        <v>136.00799999999998</v>
      </c>
      <c r="CA51" s="14">
        <f t="shared" si="39"/>
        <v>35.380960341100334</v>
      </c>
      <c r="CB51" s="22">
        <f t="shared" si="10"/>
        <v>298.50243926074967</v>
      </c>
      <c r="CC51" s="60">
        <f t="shared" si="11"/>
        <v>591.83577259408298</v>
      </c>
      <c r="CD51" s="60">
        <f ca="1">AVERAGE(OFFSET($CC$3,0,0,'Données projet'!$E$12+1,1))-AVERAGE(OFFSET($H$3,0,0,'Données projet'!$E$12+1,1))</f>
        <v>246.72166704460847</v>
      </c>
      <c r="CE51" s="60">
        <f t="shared" si="40"/>
        <v>145.54897745089966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8.1999999999999993</v>
      </c>
      <c r="CT51" s="13">
        <f>IF('Données projet'!$A$140&gt;35,CT50+CS51-DB50,IF(A51&lt;'Données projet'!$A$140,$CQ$205^A51,IF(A51='Données projet'!$A$140,'Données projet'!$B$140,CT50+CS51-DB50)))</f>
        <v>182.60000000000002</v>
      </c>
      <c r="CU51" s="18">
        <f>CT51*VLOOKUP('Données projet'!$B$13,Paramètres!$A$1:$I$89,3,0)*VLOOKUP('Données projet'!$B$13,Paramètres!$A$1:$I$89,5,0)</f>
        <v>165.21648000000002</v>
      </c>
      <c r="CV51" s="14">
        <f t="shared" si="41"/>
        <v>42.016901084500397</v>
      </c>
      <c r="CW51" s="22">
        <f t="shared" si="13"/>
        <v>360.93147205550491</v>
      </c>
      <c r="CX51" s="60">
        <f t="shared" si="14"/>
        <v>654.26480538883823</v>
      </c>
      <c r="CY51" s="60">
        <f ca="1">AVERAGE(OFFSET($CX$3,0,0,'Données projet'!$E$13+1,1))-AVERAGE(OFFSET($H$3,0,0,'Données projet'!$E$13+1,1))</f>
        <v>428.8489304403459</v>
      </c>
      <c r="CZ51" s="60">
        <f t="shared" si="42"/>
        <v>247.01165577562966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6.0256410256410273</v>
      </c>
      <c r="DO51" s="13">
        <f>IF('Données projet'!$A$166&gt;35,DO50+DN51-DW50,IF(A51&lt;'Données projet'!$A$166,$DL$205^A51,IF(A51='Données projet'!$A$166,'Données projet'!$B$166,DO50+DN51-DW50)))</f>
        <v>191.1538461538461</v>
      </c>
      <c r="DP51" s="18">
        <f>DO51*VLOOKUP('Données projet'!$B$14,Paramètres!$A$1:$I$89,3,0)*VLOOKUP('Données projet'!$B$14,Paramètres!$A$1:$I$89,5,0)</f>
        <v>199.79399999999995</v>
      </c>
      <c r="DQ51" s="14">
        <f t="shared" si="43"/>
        <v>49.698892445432982</v>
      </c>
      <c r="DR51" s="22">
        <f t="shared" si="16"/>
        <v>434.53345434246239</v>
      </c>
      <c r="DS51" s="60">
        <f t="shared" si="17"/>
        <v>727.86678767579565</v>
      </c>
      <c r="DT51" s="60">
        <f ca="1">AVERAGE(OFFSET($DS$3,0,0,'Données projet'!$E$14+1,1))-AVERAGE(OFFSET($H$3,0,0,'Données projet'!$E$14+1,1))</f>
        <v>493.70175665335978</v>
      </c>
      <c r="DU51" s="60">
        <f t="shared" si="44"/>
        <v>325.12357781685949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4.5999999999999996</v>
      </c>
      <c r="EJ51" s="13">
        <f>IF('Données projet'!$A$192&gt;35,EJ50+EI51-ER50,IF(A51&lt;'Données projet'!$A$192,$EG$205^A51,IF(A51='Données projet'!$A$192,'Données projet'!$B$192,EJ50+EI51-ER50)))</f>
        <v>129.79999999999995</v>
      </c>
      <c r="EK51" s="18">
        <f>EJ51*VLOOKUP('Données projet'!$B$15,Paramètres!$A$1:$I$89,3,0)*VLOOKUP('Données projet'!$B$15,Paramètres!$A$1:$I$89,5,0)</f>
        <v>105.29375999999998</v>
      </c>
      <c r="EL51" s="14">
        <f t="shared" si="45"/>
        <v>28.219351728981561</v>
      </c>
      <c r="EM51" s="22">
        <f t="shared" si="19"/>
        <v>232.53533626130948</v>
      </c>
      <c r="EN51" s="60">
        <f t="shared" si="20"/>
        <v>525.86866959464282</v>
      </c>
      <c r="EO51" s="60">
        <f ca="1">AVERAGE(OFFSET($EN$3,0,0,'Données projet'!$E$15+1,1))-AVERAGE(OFFSET($H$3,0,0,'Données projet'!$E$15+1,1))</f>
        <v>236.22643401787644</v>
      </c>
      <c r="EP51" s="60">
        <f t="shared" si="46"/>
        <v>188.80444043778022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3.8</v>
      </c>
      <c r="FE51" s="13">
        <f>IF('Données projet'!$A$218&gt;35,FE50+FD51-FM50,IF(A51&lt;'Données projet'!$A$218,$FB$205^A51,IF(A51='Données projet'!$A$218,'Données projet'!$B$218,FE50+FD51-FM50)))</f>
        <v>87.399999999999977</v>
      </c>
      <c r="FF51" s="18">
        <f>FE51*VLOOKUP('Données projet'!$B$16,Paramètres!$A$1:$I$89,3,0)*VLOOKUP('Données projet'!$B$16,Paramètres!$A$1:$I$89,5,0)</f>
        <v>84.533279999999991</v>
      </c>
      <c r="FG51" s="14">
        <f t="shared" si="47"/>
        <v>23.242014012893971</v>
      </c>
      <c r="FH51" s="22">
        <f t="shared" si="22"/>
        <v>187.70863707245698</v>
      </c>
      <c r="FI51" s="60">
        <f t="shared" si="23"/>
        <v>481.04197040579027</v>
      </c>
      <c r="FJ51" s="60">
        <f ca="1">AVERAGE(OFFSET($FI$3,0,0,'Données projet'!$E$16+1,1))-AVERAGE(OFFSET($H$3,0,0,'Données projet'!$E$16+1,1))</f>
        <v>255.59755832175625</v>
      </c>
      <c r="FK51" s="60">
        <f t="shared" si="48"/>
        <v>154.0840647586964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0" t="e">
        <f t="shared" si="26"/>
        <v>#N/A</v>
      </c>
      <c r="GE51" s="60" t="e">
        <f ca="1">AVERAGE(OFFSET($GD$3,0,0,'Données projet'!$E$17+1,1))-AVERAGE(OFFSET($H$3,0,0,'Données projet'!$E$17+1,1))</f>
        <v>#N/A</v>
      </c>
      <c r="GF51" s="60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7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0" t="e">
        <f t="shared" si="29"/>
        <v>#N/A</v>
      </c>
      <c r="GZ51" s="60" t="e">
        <f ca="1">AVERAGE(OFFSET($GY$3,0,0,'Données projet'!$E$18+1,1))-AVERAGE(OFFSET($H$3,0,0,'Données projet'!$E$18+1,1))</f>
        <v>#N/A</v>
      </c>
      <c r="HA51" s="60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5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68">
        <f t="shared" si="1"/>
        <v>256.66666666666669</v>
      </c>
      <c r="I52" s="7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0" t="e">
        <f t="shared" si="0"/>
        <v>#NUM!</v>
      </c>
      <c r="S52" s="60">
        <f ca="1">AVERAGE(OFFSET($R$3,0,0,'Données projet'!$E$9+1,1))-AVERAGE(OFFSET($H$3,0,0,'Données projet'!$E$9+1,1))</f>
        <v>64.775385872852041</v>
      </c>
      <c r="T52" s="60">
        <f t="shared" si="34"/>
        <v>201.69061202990468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22.057898754149392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8.3437027150108761E-5</v>
      </c>
      <c r="AC52" s="24">
        <f t="shared" si="3"/>
        <v>22.057982191176542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193.47120000000001</v>
      </c>
      <c r="AK52" s="14">
        <f t="shared" si="35"/>
        <v>48.306575382296536</v>
      </c>
      <c r="AL52" s="22">
        <f t="shared" si="4"/>
        <v>421.09629212416644</v>
      </c>
      <c r="AM52" s="60">
        <f t="shared" si="5"/>
        <v>714.4296254574997</v>
      </c>
      <c r="AN52" s="60">
        <f ca="1">AVERAGE(OFFSET($AM$3,0,0,'Données projet'!$E$10+1,1))-AVERAGE(OFFSET($H$3,0,0,'Données projet'!$E$10+1,1))</f>
        <v>475.47920969424894</v>
      </c>
      <c r="AO52" s="60">
        <f t="shared" si="36"/>
        <v>271.73544012419364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7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11.611538461538466</v>
      </c>
      <c r="BD52" s="13">
        <f>IF('Données projet'!$A$88&gt;35,BD51+BC52-BL51,IF(A52&lt;'Données projet'!$A$88,$BA$205^A52,IF(A52='Données projet'!$A$88,'Données projet'!$B$88,BD51+BC52-BL51)))</f>
        <v>296.73461538461538</v>
      </c>
      <c r="BE52" s="14">
        <f>BD52*VLOOKUP('Données projet'!$B$11,Paramètres!$A$1:$I$89,3,0)*VLOOKUP('Données projet'!$B$11,Paramètres!$A$1:$I$89,5,0)</f>
        <v>177.44730000000001</v>
      </c>
      <c r="BF52" s="14">
        <f t="shared" si="37"/>
        <v>44.753786201681493</v>
      </c>
      <c r="BG52" s="22">
        <f t="shared" si="7"/>
        <v>387.00022513459527</v>
      </c>
      <c r="BH52" s="60">
        <f t="shared" si="8"/>
        <v>680.33355846792858</v>
      </c>
      <c r="BI52" s="60">
        <f ca="1">AVERAGE(OFFSET($BH$3,0,0,'Données projet'!$E$11+1,1))-AVERAGE(OFFSET($H$3,0,0,'Données projet'!$E$11+1,1))</f>
        <v>260.02504691866199</v>
      </c>
      <c r="BJ52" s="60">
        <f t="shared" si="38"/>
        <v>270.11268336406368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6.8698020140985872</v>
      </c>
      <c r="BQ52" s="23">
        <f>EXP(-LN(2)/25)*BQ51+(1-EXP(-LN(2)/25))/(LN(2)/25)*Calculateur!BL52*Calculateur!BN52*VLOOKUP('Données projet'!$B$11,Paramètres!$A$1:$I$89,3,0)*0.475*44/12</f>
        <v>9.7054198022998186</v>
      </c>
      <c r="BR52" s="23">
        <f>EXP(-LN(2)/2)*BR51+(1-EXP(-LN(2)/2))/(LN(2)/2)*BL52*BO52*VLOOKUP('Données projet'!$B$11,Paramètres!$A$1:$I$89,3,0)*0.475*44/12</f>
        <v>8.755916752579352E-3</v>
      </c>
      <c r="BS52" s="24">
        <f t="shared" si="9"/>
        <v>16.583977733150984</v>
      </c>
      <c r="BT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10.407692307692306</v>
      </c>
      <c r="BY52" s="13">
        <f>IF('Données projet'!$A$114&gt;35,BY51+BX52-CG51,IF(A52&lt;'Données projet'!$A$114,$BV$205^A52,IF(A52='Données projet'!$A$114,'Données projet'!$B$114,BY51+BX52-CG51)))</f>
        <v>301.02307692307687</v>
      </c>
      <c r="BZ52" s="14">
        <f>BY52*VLOOKUP('Données projet'!$B$12,Paramètres!$A$1:$I$89,3,0)*VLOOKUP('Données projet'!$B$12,Paramètres!$A$1:$I$89,5,0)</f>
        <v>140.87879999999998</v>
      </c>
      <c r="CA52" s="14">
        <f t="shared" si="39"/>
        <v>36.498252857280519</v>
      </c>
      <c r="CB52" s="22">
        <f t="shared" si="10"/>
        <v>308.93170039309683</v>
      </c>
      <c r="CC52" s="60">
        <f t="shared" si="11"/>
        <v>602.26503372643015</v>
      </c>
      <c r="CD52" s="60">
        <f ca="1">AVERAGE(OFFSET($CC$3,0,0,'Données projet'!$E$12+1,1))-AVERAGE(OFFSET($H$3,0,0,'Données projet'!$E$12+1,1))</f>
        <v>246.72166704460847</v>
      </c>
      <c r="CE52" s="60">
        <f t="shared" si="40"/>
        <v>145.54897745089966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8.1999999999999993</v>
      </c>
      <c r="CT52" s="13">
        <f>IF('Données projet'!$A$140&gt;35,CT51+CS52-DB51,IF(A52&lt;'Données projet'!$A$140,$CQ$205^A52,IF(A52='Données projet'!$A$140,'Données projet'!$B$140,CT51+CS52-DB51)))</f>
        <v>190.8</v>
      </c>
      <c r="CU52" s="18">
        <f>CT52*VLOOKUP('Données projet'!$B$13,Paramètres!$A$1:$I$89,3,0)*VLOOKUP('Données projet'!$B$13,Paramètres!$A$1:$I$89,5,0)</f>
        <v>172.63584</v>
      </c>
      <c r="CV52" s="14">
        <f t="shared" si="41"/>
        <v>43.679834395222109</v>
      </c>
      <c r="CW52" s="22">
        <f t="shared" si="13"/>
        <v>376.74979957167847</v>
      </c>
      <c r="CX52" s="60">
        <f t="shared" si="14"/>
        <v>670.08313290501178</v>
      </c>
      <c r="CY52" s="60">
        <f ca="1">AVERAGE(OFFSET($CX$3,0,0,'Données projet'!$E$13+1,1))-AVERAGE(OFFSET($H$3,0,0,'Données projet'!$E$13+1,1))</f>
        <v>428.8489304403459</v>
      </c>
      <c r="CZ52" s="60">
        <f t="shared" si="42"/>
        <v>247.01165577562966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6.0256410256410273</v>
      </c>
      <c r="DO52" s="13">
        <f>IF('Données projet'!$A$166&gt;35,DO51+DN52-DW51,IF(A52&lt;'Données projet'!$A$166,$DL$205^A52,IF(A52='Données projet'!$A$166,'Données projet'!$B$166,DO51+DN52-DW51)))</f>
        <v>197.17948717948713</v>
      </c>
      <c r="DP52" s="18">
        <f>DO52*VLOOKUP('Données projet'!$B$14,Paramètres!$A$1:$I$89,3,0)*VLOOKUP('Données projet'!$B$14,Paramètres!$A$1:$I$89,5,0)</f>
        <v>206.09199999999996</v>
      </c>
      <c r="DQ52" s="14">
        <f t="shared" si="43"/>
        <v>51.080657963757403</v>
      </c>
      <c r="DR52" s="22">
        <f t="shared" si="16"/>
        <v>447.90904595354408</v>
      </c>
      <c r="DS52" s="60">
        <f t="shared" si="17"/>
        <v>741.24237928687739</v>
      </c>
      <c r="DT52" s="60">
        <f ca="1">AVERAGE(OFFSET($DS$3,0,0,'Données projet'!$E$14+1,1))-AVERAGE(OFFSET($H$3,0,0,'Données projet'!$E$14+1,1))</f>
        <v>493.70175665335978</v>
      </c>
      <c r="DU52" s="60">
        <f t="shared" si="44"/>
        <v>325.12357781685949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4.5999999999999996</v>
      </c>
      <c r="EJ52" s="13">
        <f>IF('Données projet'!$A$192&gt;35,EJ51+EI52-ER51,IF(A52&lt;'Données projet'!$A$192,$EG$205^A52,IF(A52='Données projet'!$A$192,'Données projet'!$B$192,EJ51+EI52-ER51)))</f>
        <v>134.39999999999995</v>
      </c>
      <c r="EK52" s="18">
        <f>EJ52*VLOOKUP('Données projet'!$B$15,Paramètres!$A$1:$I$89,3,0)*VLOOKUP('Données projet'!$B$15,Paramètres!$A$1:$I$89,5,0)</f>
        <v>109.02527999999997</v>
      </c>
      <c r="EL52" s="14">
        <f t="shared" si="45"/>
        <v>29.101214110737224</v>
      </c>
      <c r="EM52" s="22">
        <f t="shared" si="19"/>
        <v>240.57031057620057</v>
      </c>
      <c r="EN52" s="60">
        <f t="shared" si="20"/>
        <v>533.90364390953391</v>
      </c>
      <c r="EO52" s="60">
        <f ca="1">AVERAGE(OFFSET($EN$3,0,0,'Données projet'!$E$15+1,1))-AVERAGE(OFFSET($H$3,0,0,'Données projet'!$E$15+1,1))</f>
        <v>236.22643401787644</v>
      </c>
      <c r="EP52" s="60">
        <f t="shared" si="46"/>
        <v>188.80444043778022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3.8</v>
      </c>
      <c r="FE52" s="13">
        <f>IF('Données projet'!$A$218&gt;35,FE51+FD52-FM51,IF(A52&lt;'Données projet'!$A$218,$FB$205^A52,IF(A52='Données projet'!$A$218,'Données projet'!$B$218,FE51+FD52-FM51)))</f>
        <v>91.199999999999974</v>
      </c>
      <c r="FF52" s="18">
        <f>FE52*VLOOKUP('Données projet'!$B$16,Paramètres!$A$1:$I$89,3,0)*VLOOKUP('Données projet'!$B$16,Paramètres!$A$1:$I$89,5,0)</f>
        <v>88.208639999999974</v>
      </c>
      <c r="FG52" s="14">
        <f t="shared" si="47"/>
        <v>24.132687878829255</v>
      </c>
      <c r="FH52" s="22">
        <f t="shared" si="22"/>
        <v>195.66114605562757</v>
      </c>
      <c r="FI52" s="60">
        <f t="shared" si="23"/>
        <v>488.99447938896088</v>
      </c>
      <c r="FJ52" s="60">
        <f ca="1">AVERAGE(OFFSET($FI$3,0,0,'Données projet'!$E$16+1,1))-AVERAGE(OFFSET($H$3,0,0,'Données projet'!$E$16+1,1))</f>
        <v>255.59755832175625</v>
      </c>
      <c r="FK52" s="60">
        <f t="shared" si="48"/>
        <v>154.0840647586964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0" t="e">
        <f t="shared" si="26"/>
        <v>#N/A</v>
      </c>
      <c r="GE52" s="60" t="e">
        <f ca="1">AVERAGE(OFFSET($GD$3,0,0,'Données projet'!$E$17+1,1))-AVERAGE(OFFSET($H$3,0,0,'Données projet'!$E$17+1,1))</f>
        <v>#N/A</v>
      </c>
      <c r="GF52" s="60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7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0" t="e">
        <f t="shared" si="29"/>
        <v>#N/A</v>
      </c>
      <c r="GZ52" s="60" t="e">
        <f ca="1">AVERAGE(OFFSET($GY$3,0,0,'Données projet'!$E$18+1,1))-AVERAGE(OFFSET($H$3,0,0,'Données projet'!$E$18+1,1))</f>
        <v>#N/A</v>
      </c>
      <c r="HA52" s="60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5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68">
        <f t="shared" si="1"/>
        <v>256.66666666666669</v>
      </c>
      <c r="I53" s="7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0" t="e">
        <f t="shared" si="0"/>
        <v>#NUM!</v>
      </c>
      <c r="S53" s="60">
        <f ca="1">AVERAGE(OFFSET($R$3,0,0,'Données projet'!$E$9+1,1))-AVERAGE(OFFSET($H$3,0,0,'Données projet'!$E$9+1,1))</f>
        <v>64.775385872852041</v>
      </c>
      <c r="T53" s="60">
        <f t="shared" si="34"/>
        <v>201.69061202990468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21.625356813570292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5.8998887699887982E-5</v>
      </c>
      <c r="AC53" s="24">
        <f t="shared" si="3"/>
        <v>21.625415812457991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201.786</v>
      </c>
      <c r="AK53" s="14">
        <f t="shared" si="35"/>
        <v>50.136473146268756</v>
      </c>
      <c r="AL53" s="22">
        <f t="shared" si="4"/>
        <v>438.76497406308476</v>
      </c>
      <c r="AM53" s="60">
        <f t="shared" si="5"/>
        <v>732.09830739641802</v>
      </c>
      <c r="AN53" s="60">
        <f ca="1">AVERAGE(OFFSET($AM$3,0,0,'Données projet'!$E$10+1,1))-AVERAGE(OFFSET($H$3,0,0,'Données projet'!$E$10+1,1))</f>
        <v>475.47920969424894</v>
      </c>
      <c r="AO53" s="60">
        <f t="shared" si="36"/>
        <v>271.73544012419364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7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11.611538461538466</v>
      </c>
      <c r="BD53" s="13">
        <f>IF('Données projet'!$A$88&gt;35,BD52+BC53-BL52,IF(A53&lt;'Données projet'!$A$88,$BA$205^A53,IF(A53='Données projet'!$A$88,'Données projet'!$B$88,BD52+BC53-BL52)))</f>
        <v>308.34615384615387</v>
      </c>
      <c r="BE53" s="14">
        <f>BD53*VLOOKUP('Données projet'!$B$11,Paramètres!$A$1:$I$89,3,0)*VLOOKUP('Données projet'!$B$11,Paramètres!$A$1:$I$89,5,0)</f>
        <v>184.39100000000005</v>
      </c>
      <c r="BF53" s="14">
        <f t="shared" si="37"/>
        <v>46.297728214269426</v>
      </c>
      <c r="BG53" s="22">
        <f t="shared" si="7"/>
        <v>401.78286830651933</v>
      </c>
      <c r="BH53" s="60">
        <f t="shared" si="8"/>
        <v>695.11620163985265</v>
      </c>
      <c r="BI53" s="60">
        <f ca="1">AVERAGE(OFFSET($BH$3,0,0,'Données projet'!$E$11+1,1))-AVERAGE(OFFSET($H$3,0,0,'Données projet'!$E$11+1,1))</f>
        <v>260.02504691866199</v>
      </c>
      <c r="BJ53" s="60">
        <f t="shared" si="38"/>
        <v>270.11268336406368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6.7350893867675978</v>
      </c>
      <c r="BQ53" s="23">
        <f>EXP(-LN(2)/25)*BQ52+(1-EXP(-LN(2)/25))/(LN(2)/25)*Calculateur!BL53*Calculateur!BN53*VLOOKUP('Données projet'!$B$11,Paramètres!$A$1:$I$89,3,0)*0.475*44/12</f>
        <v>9.4400245874200852</v>
      </c>
      <c r="BR53" s="23">
        <f>EXP(-LN(2)/2)*BR52+(1-EXP(-LN(2)/2))/(LN(2)/2)*BL53*BO53*VLOOKUP('Données projet'!$B$11,Paramètres!$A$1:$I$89,3,0)*0.475*44/12</f>
        <v>6.1913681112537537E-3</v>
      </c>
      <c r="BS53" s="24">
        <f t="shared" si="9"/>
        <v>16.181305342298934</v>
      </c>
      <c r="BT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10.407692307692306</v>
      </c>
      <c r="BY53" s="13">
        <f>IF('Données projet'!$A$114&gt;35,BY52+BX53-CG52,IF(A53&lt;'Données projet'!$A$114,$BV$205^A53,IF(A53='Données projet'!$A$114,'Données projet'!$B$114,BY52+BX53-CG52)))</f>
        <v>311.43076923076916</v>
      </c>
      <c r="BZ53" s="14">
        <f>BY53*VLOOKUP('Données projet'!$B$12,Paramètres!$A$1:$I$89,3,0)*VLOOKUP('Données projet'!$B$12,Paramètres!$A$1:$I$89,5,0)</f>
        <v>145.74959999999999</v>
      </c>
      <c r="CA53" s="14">
        <f t="shared" si="39"/>
        <v>37.611056965444213</v>
      </c>
      <c r="CB53" s="22">
        <f t="shared" si="10"/>
        <v>319.3531442148153</v>
      </c>
      <c r="CC53" s="60">
        <f t="shared" si="11"/>
        <v>612.68647754814856</v>
      </c>
      <c r="CD53" s="60">
        <f ca="1">AVERAGE(OFFSET($CC$3,0,0,'Données projet'!$E$12+1,1))-AVERAGE(OFFSET($H$3,0,0,'Données projet'!$E$12+1,1))</f>
        <v>246.72166704460847</v>
      </c>
      <c r="CE53" s="60">
        <f t="shared" si="40"/>
        <v>145.54897745089966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199</v>
      </c>
      <c r="CR53" s="13">
        <f>VLOOKUP(A53,'Données projet'!$A$139:$I$159,9,0)</f>
        <v>8.1999999999999993</v>
      </c>
      <c r="CS53" s="13">
        <f t="array" ref="CS53">INDEX(CR:CR,MIN(IF(ISNUMBER(CR53:CR249),ROW(CR53:CR249),"")))</f>
        <v>8.1999999999999993</v>
      </c>
      <c r="CT53" s="13">
        <f>IF('Données projet'!$A$140&gt;35,CT52+CS53-DB52,IF(A53&lt;'Données projet'!$A$140,$CQ$205^A53,IF(A53='Données projet'!$A$140,'Données projet'!$B$140,CT52+CS53-DB52)))</f>
        <v>199</v>
      </c>
      <c r="CU53" s="18">
        <f>CT53*VLOOKUP('Données projet'!$B$13,Paramètres!$A$1:$I$89,3,0)*VLOOKUP('Données projet'!$B$13,Paramètres!$A$1:$I$89,5,0)</f>
        <v>180.05519999999999</v>
      </c>
      <c r="CV53" s="14">
        <f t="shared" si="41"/>
        <v>45.334466930398364</v>
      </c>
      <c r="CW53" s="22">
        <f t="shared" si="13"/>
        <v>392.55366990377706</v>
      </c>
      <c r="CX53" s="60">
        <f t="shared" si="14"/>
        <v>685.88700323711032</v>
      </c>
      <c r="CY53" s="60">
        <f ca="1">AVERAGE(OFFSET($CX$3,0,0,'Données projet'!$E$13+1,1))-AVERAGE(OFFSET($H$3,0,0,'Données projet'!$E$13+1,1))</f>
        <v>428.8489304403459</v>
      </c>
      <c r="CZ53" s="60">
        <f t="shared" si="42"/>
        <v>247.01165577562966</v>
      </c>
      <c r="DA53" s="16">
        <f>IF(ISNA(VLOOKUP(A53,'Données projet'!$A$139:$I$159,3,0)),0,VLOOKUP(A53,'Données projet'!$A$139:$I$159,3,0))</f>
        <v>3</v>
      </c>
      <c r="DB53" s="16">
        <f>IF(ISNA(VLOOKUP(A53,'Données projet'!$A$139:$I$159,4,0)),0,VLOOKUP(A53,'Données projet'!$A$139:$I$159,4,0))</f>
        <v>42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203.2051282051282</v>
      </c>
      <c r="DM53" s="13">
        <f>VLOOKUP(A53,'Données projet'!$A$165:$I$185,9,0)</f>
        <v>6.0256410256410273</v>
      </c>
      <c r="DN53" s="13">
        <f t="array" ref="DN53">INDEX(DM:DM,MIN(IF(ISNUMBER(DM53:DM249),ROW(DM53:DM249),"")))</f>
        <v>6.0256410256410273</v>
      </c>
      <c r="DO53" s="13">
        <f>IF('Données projet'!$A$166&gt;35,DO52+DN53-DW52,IF(A53&lt;'Données projet'!$A$166,$DL$205^A53,IF(A53='Données projet'!$A$166,'Données projet'!$B$166,DO52+DN53-DW52)))</f>
        <v>203.20512820512815</v>
      </c>
      <c r="DP53" s="18">
        <f>DO53*VLOOKUP('Données projet'!$B$14,Paramètres!$A$1:$I$89,3,0)*VLOOKUP('Données projet'!$B$14,Paramètres!$A$1:$I$89,5,0)</f>
        <v>212.38999999999993</v>
      </c>
      <c r="DQ53" s="14">
        <f t="shared" si="43"/>
        <v>52.457516346075991</v>
      </c>
      <c r="DR53" s="22">
        <f t="shared" si="16"/>
        <v>461.27609096941552</v>
      </c>
      <c r="DS53" s="60">
        <f t="shared" si="17"/>
        <v>754.60942430274883</v>
      </c>
      <c r="DT53" s="60">
        <f ca="1">AVERAGE(OFFSET($DS$3,0,0,'Données projet'!$E$14+1,1))-AVERAGE(OFFSET($H$3,0,0,'Données projet'!$E$14+1,1))</f>
        <v>493.70175665335978</v>
      </c>
      <c r="DU53" s="60">
        <f t="shared" si="44"/>
        <v>325.12357781685949</v>
      </c>
      <c r="DV53" s="16">
        <f>IF(ISNA(VLOOKUP(A53,'Données projet'!$A$165:$I$185,3,0)),0,VLOOKUP(A53,'Données projet'!$A$165:$I$185,3,0))</f>
        <v>3</v>
      </c>
      <c r="DW53" s="16">
        <f>IF(ISNA(VLOOKUP(A53,'Données projet'!$A$165:$I$185,4,0)),0,VLOOKUP(A53,'Données projet'!$A$165:$I$185,4,0))</f>
        <v>24.358974358974358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139</v>
      </c>
      <c r="EH53" s="13">
        <f>VLOOKUP(A53,'Données projet'!$A$191:$I$211,9,0)</f>
        <v>4.5999999999999996</v>
      </c>
      <c r="EI53" s="13">
        <f t="array" ref="EI53">INDEX(EH:EH,MIN(IF(ISNUMBER(EH53:EH249),ROW(EH53:EH249),"")))</f>
        <v>4.5999999999999996</v>
      </c>
      <c r="EJ53" s="13">
        <f>IF('Données projet'!$A$192&gt;35,EJ52+EI53-ER52,IF(A53&lt;'Données projet'!$A$192,$EG$205^A53,IF(A53='Données projet'!$A$192,'Données projet'!$B$192,EJ52+EI53-ER52)))</f>
        <v>138.99999999999994</v>
      </c>
      <c r="EK53" s="18">
        <f>EJ53*VLOOKUP('Données projet'!$B$15,Paramètres!$A$1:$I$89,3,0)*VLOOKUP('Données projet'!$B$15,Paramètres!$A$1:$I$89,5,0)</f>
        <v>112.75679999999996</v>
      </c>
      <c r="EL53" s="14">
        <f t="shared" si="45"/>
        <v>29.979569481474449</v>
      </c>
      <c r="EM53" s="22">
        <f t="shared" si="19"/>
        <v>248.59917684690126</v>
      </c>
      <c r="EN53" s="60">
        <f t="shared" si="20"/>
        <v>541.93251018023454</v>
      </c>
      <c r="EO53" s="60">
        <f ca="1">AVERAGE(OFFSET($EN$3,0,0,'Données projet'!$E$15+1,1))-AVERAGE(OFFSET($H$3,0,0,'Données projet'!$E$15+1,1))</f>
        <v>236.22643401787644</v>
      </c>
      <c r="EP53" s="60">
        <f t="shared" si="46"/>
        <v>188.80444043778022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95</v>
      </c>
      <c r="FC53" s="13">
        <f>VLOOKUP(A53,'Données projet'!$A$217:$I$237,9,0)</f>
        <v>3.8</v>
      </c>
      <c r="FD53" s="13">
        <f t="array" ref="FD53">INDEX(FC:FC,MIN(IF(ISNUMBER(FC53:FC249),ROW(FC53:FC249),"")))</f>
        <v>3.8</v>
      </c>
      <c r="FE53" s="13">
        <f>IF('Données projet'!$A$218&gt;35,FE52+FD53-FM52,IF(A53&lt;'Données projet'!$A$218,$FB$205^A53,IF(A53='Données projet'!$A$218,'Données projet'!$B$218,FE52+FD53-FM52)))</f>
        <v>94.999999999999972</v>
      </c>
      <c r="FF53" s="18">
        <f>FE53*VLOOKUP('Données projet'!$B$16,Paramètres!$A$1:$I$89,3,0)*VLOOKUP('Données projet'!$B$16,Paramètres!$A$1:$I$89,5,0)</f>
        <v>91.883999999999972</v>
      </c>
      <c r="FG53" s="14">
        <f t="shared" si="47"/>
        <v>25.019051117801563</v>
      </c>
      <c r="FH53" s="22">
        <f t="shared" si="22"/>
        <v>203.60614736350433</v>
      </c>
      <c r="FI53" s="60">
        <f t="shared" si="23"/>
        <v>496.93948069683768</v>
      </c>
      <c r="FJ53" s="60">
        <f ca="1">AVERAGE(OFFSET($FI$3,0,0,'Données projet'!$E$16+1,1))-AVERAGE(OFFSET($H$3,0,0,'Données projet'!$E$16+1,1))</f>
        <v>255.59755832175625</v>
      </c>
      <c r="FK53" s="60">
        <f t="shared" si="48"/>
        <v>154.0840647586964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0" t="e">
        <f t="shared" si="26"/>
        <v>#N/A</v>
      </c>
      <c r="GE53" s="60" t="e">
        <f ca="1">AVERAGE(OFFSET($GD$3,0,0,'Données projet'!$E$17+1,1))-AVERAGE(OFFSET($H$3,0,0,'Données projet'!$E$17+1,1))</f>
        <v>#N/A</v>
      </c>
      <c r="GF53" s="60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7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0" t="e">
        <f t="shared" si="29"/>
        <v>#N/A</v>
      </c>
      <c r="GZ53" s="60" t="e">
        <f ca="1">AVERAGE(OFFSET($GY$3,0,0,'Données projet'!$E$18+1,1))-AVERAGE(OFFSET($H$3,0,0,'Données projet'!$E$18+1,1))</f>
        <v>#N/A</v>
      </c>
      <c r="HA53" s="60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5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68">
        <f t="shared" si="1"/>
        <v>256.66666666666669</v>
      </c>
      <c r="I54" s="7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0" t="e">
        <f t="shared" si="0"/>
        <v>#NUM!</v>
      </c>
      <c r="S54" s="60">
        <f ca="1">AVERAGE(OFFSET($R$3,0,0,'Données projet'!$E$9+1,1))-AVERAGE(OFFSET($H$3,0,0,'Données projet'!$E$9+1,1))</f>
        <v>64.775385872852041</v>
      </c>
      <c r="T54" s="60">
        <f t="shared" si="34"/>
        <v>201.69061202990468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21.201296756621414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4.1718513575054387E-5</v>
      </c>
      <c r="AC54" s="24">
        <f t="shared" si="3"/>
        <v>21.201338475134989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167.31</v>
      </c>
      <c r="AK54" s="14">
        <f t="shared" si="35"/>
        <v>42.486994942347515</v>
      </c>
      <c r="AL54" s="22">
        <f t="shared" si="4"/>
        <v>365.39643285792187</v>
      </c>
      <c r="AM54" s="60">
        <f t="shared" si="5"/>
        <v>658.72976619125518</v>
      </c>
      <c r="AN54" s="60">
        <f ca="1">AVERAGE(OFFSET($AM$3,0,0,'Données projet'!$E$10+1,1))-AVERAGE(OFFSET($H$3,0,0,'Données projet'!$E$10+1,1))</f>
        <v>475.47920969424894</v>
      </c>
      <c r="AO54" s="60">
        <f t="shared" si="36"/>
        <v>271.73544012419364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7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11.611538461538466</v>
      </c>
      <c r="BD54" s="13">
        <f>IF('Données projet'!$A$88&gt;35,BD53+BC54-BL53,IF(A54&lt;'Données projet'!$A$88,$BA$205^A54,IF(A54='Données projet'!$A$88,'Données projet'!$B$88,BD53+BC54-BL53)))</f>
        <v>319.95769230769235</v>
      </c>
      <c r="BE54" s="14">
        <f>BD54*VLOOKUP('Données projet'!$B$11,Paramètres!$A$1:$I$89,3,0)*VLOOKUP('Données projet'!$B$11,Paramètres!$A$1:$I$89,5,0)</f>
        <v>191.33470000000005</v>
      </c>
      <c r="BF54" s="14">
        <f t="shared" si="37"/>
        <v>47.834915743348681</v>
      </c>
      <c r="BG54" s="22">
        <f t="shared" si="7"/>
        <v>416.55374741966574</v>
      </c>
      <c r="BH54" s="60">
        <f t="shared" si="8"/>
        <v>709.88708075299905</v>
      </c>
      <c r="BI54" s="60">
        <f ca="1">AVERAGE(OFFSET($BH$3,0,0,'Données projet'!$E$11+1,1))-AVERAGE(OFFSET($H$3,0,0,'Données projet'!$E$11+1,1))</f>
        <v>260.02504691866199</v>
      </c>
      <c r="BJ54" s="60">
        <f t="shared" si="38"/>
        <v>270.11268336406368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6.6030183918919798</v>
      </c>
      <c r="BQ54" s="23">
        <f>EXP(-LN(2)/25)*BQ53+(1-EXP(-LN(2)/25))/(LN(2)/25)*Calculateur!BL54*Calculateur!BN54*VLOOKUP('Données projet'!$B$11,Paramètres!$A$1:$I$89,3,0)*0.475*44/12</f>
        <v>9.1818866186477646</v>
      </c>
      <c r="BR54" s="23">
        <f>EXP(-LN(2)/2)*BR53+(1-EXP(-LN(2)/2))/(LN(2)/2)*BL54*BO54*VLOOKUP('Données projet'!$B$11,Paramètres!$A$1:$I$89,3,0)*0.475*44/12</f>
        <v>4.377958376289676E-3</v>
      </c>
      <c r="BS54" s="24">
        <f t="shared" si="9"/>
        <v>15.789282968916035</v>
      </c>
      <c r="BT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>
        <f>VLOOKUP(A54,'Données projet'!$A$113:$I$133,2,0)</f>
        <v>321.8384615384615</v>
      </c>
      <c r="BW54" s="13">
        <f>VLOOKUP(A54,'Données projet'!$A$113:$I$133,9,0)</f>
        <v>10.407692307692306</v>
      </c>
      <c r="BX54" s="13">
        <f t="array" ref="BX54">INDEX(BW:BW,MIN(IF(ISNUMBER(BW54:BW250),ROW(BW54:BW250),"")))</f>
        <v>10.407692307692306</v>
      </c>
      <c r="BY54" s="13">
        <f>IF('Données projet'!$A$114&gt;35,BY53+BX54-CG53,IF(A54&lt;'Données projet'!$A$114,$BV$205^A54,IF(A54='Données projet'!$A$114,'Données projet'!$B$114,BY53+BX54-CG53)))</f>
        <v>321.83846153846144</v>
      </c>
      <c r="BZ54" s="14">
        <f>BY54*VLOOKUP('Données projet'!$B$12,Paramètres!$A$1:$I$89,3,0)*VLOOKUP('Données projet'!$B$12,Paramètres!$A$1:$I$89,5,0)</f>
        <v>150.62039999999996</v>
      </c>
      <c r="CA54" s="14">
        <f t="shared" si="39"/>
        <v>38.719539861211025</v>
      </c>
      <c r="CB54" s="22">
        <f t="shared" si="10"/>
        <v>329.76706192494242</v>
      </c>
      <c r="CC54" s="60">
        <f t="shared" si="11"/>
        <v>623.10039525827574</v>
      </c>
      <c r="CD54" s="60">
        <f ca="1">AVERAGE(OFFSET($CC$3,0,0,'Données projet'!$E$12+1,1))-AVERAGE(OFFSET($H$3,0,0,'Données projet'!$E$12+1,1))</f>
        <v>246.72166704460847</v>
      </c>
      <c r="CE54" s="60">
        <f t="shared" si="40"/>
        <v>145.54897745089966</v>
      </c>
      <c r="CF54" s="16">
        <f>IF(ISNA(VLOOKUP(A54,'Données projet'!$A$113:$I$133,3,0)),0,VLOOKUP(A54,'Données projet'!$A$113:$I$133,3,0))</f>
        <v>1</v>
      </c>
      <c r="CG54" s="16">
        <f>IF(ISNA(VLOOKUP(A54,'Données projet'!$A$113:$I$133,4,0)),0,VLOOKUP(A54,'Données projet'!$A$113:$I$133,4,0))</f>
        <v>100.30769230769231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165</v>
      </c>
      <c r="CU54" s="18">
        <f>CT54*VLOOKUP('Données projet'!$B$13,Paramètres!$A$1:$I$89,3,0)*VLOOKUP('Données projet'!$B$13,Paramètres!$A$1:$I$89,5,0)</f>
        <v>149.29199999999997</v>
      </c>
      <c r="CV54" s="14">
        <f t="shared" si="41"/>
        <v>38.417645803815411</v>
      </c>
      <c r="CW54" s="22">
        <f t="shared" si="13"/>
        <v>326.9276331083118</v>
      </c>
      <c r="CX54" s="60">
        <f t="shared" si="14"/>
        <v>620.26096644164511</v>
      </c>
      <c r="CY54" s="60">
        <f ca="1">AVERAGE(OFFSET($CX$3,0,0,'Données projet'!$E$13+1,1))-AVERAGE(OFFSET($H$3,0,0,'Données projet'!$E$13+1,1))</f>
        <v>428.8489304403459</v>
      </c>
      <c r="CZ54" s="60">
        <f t="shared" si="42"/>
        <v>247.01165577562966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5.6410256410256405</v>
      </c>
      <c r="DO54" s="13">
        <f>IF('Données projet'!$A$166&gt;35,DO53+DN54-DW53,IF(A54&lt;'Données projet'!$A$166,$DL$205^A54,IF(A54='Données projet'!$A$166,'Données projet'!$B$166,DO53+DN54-DW53)))</f>
        <v>184.48717948717942</v>
      </c>
      <c r="DP54" s="18">
        <f>DO54*VLOOKUP('Données projet'!$B$14,Paramètres!$A$1:$I$89,3,0)*VLOOKUP('Données projet'!$B$14,Paramètres!$A$1:$I$89,5,0)</f>
        <v>192.82599999999994</v>
      </c>
      <c r="DQ54" s="14">
        <f t="shared" si="43"/>
        <v>48.164203450161025</v>
      </c>
      <c r="DR54" s="22">
        <f t="shared" si="16"/>
        <v>419.72460434236359</v>
      </c>
      <c r="DS54" s="60">
        <f t="shared" si="17"/>
        <v>713.05793767569685</v>
      </c>
      <c r="DT54" s="60">
        <f ca="1">AVERAGE(OFFSET($DS$3,0,0,'Données projet'!$E$14+1,1))-AVERAGE(OFFSET($H$3,0,0,'Données projet'!$E$14+1,1))</f>
        <v>493.70175665335978</v>
      </c>
      <c r="DU54" s="60">
        <f t="shared" si="44"/>
        <v>325.12357781685949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4.4000000000000004</v>
      </c>
      <c r="EJ54" s="13">
        <f>IF('Données projet'!$A$192&gt;35,EJ53+EI54-ER53,IF(A54&lt;'Données projet'!$A$192,$EG$205^A54,IF(A54='Données projet'!$A$192,'Données projet'!$B$192,EJ53+EI54-ER53)))</f>
        <v>143.39999999999995</v>
      </c>
      <c r="EK54" s="18">
        <f>EJ54*VLOOKUP('Données projet'!$B$15,Paramètres!$A$1:$I$89,3,0)*VLOOKUP('Données projet'!$B$15,Paramètres!$A$1:$I$89,5,0)</f>
        <v>116.32607999999996</v>
      </c>
      <c r="EL54" s="14">
        <f t="shared" si="45"/>
        <v>30.816573268521257</v>
      </c>
      <c r="EM54" s="22">
        <f t="shared" si="19"/>
        <v>256.27345444267445</v>
      </c>
      <c r="EN54" s="60">
        <f t="shared" si="20"/>
        <v>549.60678777600776</v>
      </c>
      <c r="EO54" s="60">
        <f ca="1">AVERAGE(OFFSET($EN$3,0,0,'Données projet'!$E$15+1,1))-AVERAGE(OFFSET($H$3,0,0,'Données projet'!$E$15+1,1))</f>
        <v>236.22643401787644</v>
      </c>
      <c r="EP54" s="60">
        <f t="shared" si="46"/>
        <v>188.80444043778022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4</v>
      </c>
      <c r="FE54" s="13">
        <f>IF('Données projet'!$A$218&gt;35,FE53+FD54-FM53,IF(A54&lt;'Données projet'!$A$218,$FB$205^A54,IF(A54='Données projet'!$A$218,'Données projet'!$B$218,FE53+FD54-FM53)))</f>
        <v>98.999999999999972</v>
      </c>
      <c r="FF54" s="18">
        <f>FE54*VLOOKUP('Données projet'!$B$16,Paramètres!$A$1:$I$89,3,0)*VLOOKUP('Données projet'!$B$16,Paramètres!$A$1:$I$89,5,0)</f>
        <v>95.752799999999979</v>
      </c>
      <c r="FG54" s="14">
        <f t="shared" si="47"/>
        <v>25.94761914276048</v>
      </c>
      <c r="FH54" s="22">
        <f t="shared" si="22"/>
        <v>211.96156334030783</v>
      </c>
      <c r="FI54" s="60">
        <f t="shared" si="23"/>
        <v>505.29489667364112</v>
      </c>
      <c r="FJ54" s="60">
        <f ca="1">AVERAGE(OFFSET($FI$3,0,0,'Données projet'!$E$16+1,1))-AVERAGE(OFFSET($H$3,0,0,'Données projet'!$E$16+1,1))</f>
        <v>255.59755832175625</v>
      </c>
      <c r="FK54" s="60">
        <f t="shared" si="48"/>
        <v>154.0840647586964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0" t="e">
        <f t="shared" si="26"/>
        <v>#N/A</v>
      </c>
      <c r="GE54" s="60" t="e">
        <f ca="1">AVERAGE(OFFSET($GD$3,0,0,'Données projet'!$E$17+1,1))-AVERAGE(OFFSET($H$3,0,0,'Données projet'!$E$17+1,1))</f>
        <v>#N/A</v>
      </c>
      <c r="GF54" s="60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7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0" t="e">
        <f t="shared" si="29"/>
        <v>#N/A</v>
      </c>
      <c r="GZ54" s="60" t="e">
        <f ca="1">AVERAGE(OFFSET($GY$3,0,0,'Données projet'!$E$18+1,1))-AVERAGE(OFFSET($H$3,0,0,'Données projet'!$E$18+1,1))</f>
        <v>#N/A</v>
      </c>
      <c r="HA54" s="60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5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68">
        <f t="shared" si="1"/>
        <v>256.66666666666669</v>
      </c>
      <c r="I55" s="7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0" t="e">
        <f t="shared" si="0"/>
        <v>#NUM!</v>
      </c>
      <c r="S55" s="60">
        <f ca="1">AVERAGE(OFFSET($R$3,0,0,'Données projet'!$E$9+1,1))-AVERAGE(OFFSET($H$3,0,0,'Données projet'!$E$9+1,1))</f>
        <v>64.775385872852041</v>
      </c>
      <c r="T55" s="60">
        <f t="shared" si="34"/>
        <v>201.69061202990468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20.785552258738207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2.9499443849943998E-5</v>
      </c>
      <c r="AC55" s="24">
        <f t="shared" si="3"/>
        <v>20.785581758182058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175.422</v>
      </c>
      <c r="AK55" s="14">
        <f t="shared" si="35"/>
        <v>44.302143412304737</v>
      </c>
      <c r="AL55" s="22">
        <f t="shared" si="4"/>
        <v>382.68621644309741</v>
      </c>
      <c r="AM55" s="60">
        <f t="shared" si="5"/>
        <v>676.01954977643072</v>
      </c>
      <c r="AN55" s="60">
        <f ca="1">AVERAGE(OFFSET($AM$3,0,0,'Données projet'!$E$10+1,1))-AVERAGE(OFFSET($H$3,0,0,'Données projet'!$E$10+1,1))</f>
        <v>475.47920969424894</v>
      </c>
      <c r="AO55" s="60">
        <f t="shared" si="36"/>
        <v>271.73544012419364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7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331.56923076923078</v>
      </c>
      <c r="BB55" s="13">
        <f>VLOOKUP(A55,'Données projet'!$A$87:$I$107,9,0)</f>
        <v>11.611538461538466</v>
      </c>
      <c r="BC55" s="13">
        <f t="array" ref="BC55">INDEX(BB:BB,MIN(IF(ISNUMBER(BB55:BB251),ROW(BB55:BB251),"")))</f>
        <v>11.611538461538466</v>
      </c>
      <c r="BD55" s="13">
        <f>IF('Données projet'!$A$88&gt;35,BD54+BC55-BL54,IF(A55&lt;'Données projet'!$A$88,$BA$205^A55,IF(A55='Données projet'!$A$88,'Données projet'!$B$88,BD54+BC55-BL54)))</f>
        <v>331.56923076923084</v>
      </c>
      <c r="BE55" s="14">
        <f>BD55*VLOOKUP('Données projet'!$B$11,Paramètres!$A$1:$I$89,3,0)*VLOOKUP('Données projet'!$B$11,Paramètres!$A$1:$I$89,5,0)</f>
        <v>198.27840000000003</v>
      </c>
      <c r="BF55" s="14">
        <f t="shared" si="37"/>
        <v>49.36562199236586</v>
      </c>
      <c r="BG55" s="22">
        <f t="shared" si="7"/>
        <v>431.31333830337053</v>
      </c>
      <c r="BH55" s="60">
        <f t="shared" si="8"/>
        <v>724.64667163670379</v>
      </c>
      <c r="BI55" s="60">
        <f ca="1">AVERAGE(OFFSET($BH$3,0,0,'Données projet'!$E$11+1,1))-AVERAGE(OFFSET($H$3,0,0,'Données projet'!$E$11+1,1))</f>
        <v>260.02504691866199</v>
      </c>
      <c r="BJ55" s="60">
        <f t="shared" si="38"/>
        <v>270.11268336406368</v>
      </c>
      <c r="BK55" s="16">
        <f>IF(ISNA(VLOOKUP(A55,'Données projet'!$A$87:$I$107,3,0)),0,VLOOKUP(A55,'Données projet'!$A$87:$I$107,3,0))</f>
        <v>6</v>
      </c>
      <c r="BL55" s="16">
        <f>IF(ISNA(VLOOKUP(A55,'Données projet'!$A$87:$I$107,4,0)),0,VLOOKUP(A55,'Données projet'!$A$87:$I$107,4,0))</f>
        <v>61.784615384615378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6.4735372286705202</v>
      </c>
      <c r="BQ55" s="23">
        <f>EXP(-LN(2)/25)*BQ54+(1-EXP(-LN(2)/25))/(LN(2)/25)*Calculateur!BL55*Calculateur!BN55*VLOOKUP('Données projet'!$B$11,Paramètres!$A$1:$I$89,3,0)*0.475*44/12</f>
        <v>8.9308074462064102</v>
      </c>
      <c r="BR55" s="23">
        <f>EXP(-LN(2)/2)*BR54+(1-EXP(-LN(2)/2))/(LN(2)/2)*BL55*BO55*VLOOKUP('Données projet'!$B$11,Paramètres!$A$1:$I$89,3,0)*0.475*44/12</f>
        <v>3.0956840556268768E-3</v>
      </c>
      <c r="BS55" s="24">
        <f t="shared" si="9"/>
        <v>15.407440358932558</v>
      </c>
      <c r="BT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10.763461538461542</v>
      </c>
      <c r="BY55" s="13">
        <f>IF('Données projet'!$A$114&gt;35,BY54+BX55-CG54,IF(A55&lt;'Données projet'!$A$114,$BV$205^A55,IF(A55='Données projet'!$A$114,'Données projet'!$B$114,BY54+BX55-CG54)))</f>
        <v>232.29423076923064</v>
      </c>
      <c r="BZ55" s="14">
        <f>BY55*VLOOKUP('Données projet'!$B$12,Paramètres!$A$1:$I$89,3,0)*VLOOKUP('Données projet'!$B$12,Paramètres!$A$1:$I$89,5,0)</f>
        <v>108.71369999999995</v>
      </c>
      <c r="CA55" s="14">
        <f t="shared" si="39"/>
        <v>29.027715101649999</v>
      </c>
      <c r="CB55" s="22">
        <f t="shared" si="10"/>
        <v>239.89963130204032</v>
      </c>
      <c r="CC55" s="60">
        <f t="shared" si="11"/>
        <v>533.23296463537361</v>
      </c>
      <c r="CD55" s="60">
        <f ca="1">AVERAGE(OFFSET($CC$3,0,0,'Données projet'!$E$12+1,1))-AVERAGE(OFFSET($H$3,0,0,'Données projet'!$E$12+1,1))</f>
        <v>246.72166704460847</v>
      </c>
      <c r="CE55" s="60">
        <f t="shared" si="40"/>
        <v>145.54897745089966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173</v>
      </c>
      <c r="CU55" s="18">
        <f>CT55*VLOOKUP('Données projet'!$B$13,Paramètres!$A$1:$I$89,3,0)*VLOOKUP('Données projet'!$B$13,Paramètres!$A$1:$I$89,5,0)</f>
        <v>156.53039999999999</v>
      </c>
      <c r="CV55" s="14">
        <f t="shared" si="41"/>
        <v>40.058941713182037</v>
      </c>
      <c r="CW55" s="22">
        <f t="shared" si="13"/>
        <v>342.393103483792</v>
      </c>
      <c r="CX55" s="60">
        <f t="shared" si="14"/>
        <v>635.72643681712532</v>
      </c>
      <c r="CY55" s="60">
        <f ca="1">AVERAGE(OFFSET($CX$3,0,0,'Données projet'!$E$13+1,1))-AVERAGE(OFFSET($H$3,0,0,'Données projet'!$E$13+1,1))</f>
        <v>428.8489304403459</v>
      </c>
      <c r="CZ55" s="60">
        <f t="shared" si="42"/>
        <v>247.01165577562966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5.6410256410256405</v>
      </c>
      <c r="DO55" s="13">
        <f>IF('Données projet'!$A$166&gt;35,DO54+DN55-DW54,IF(A55&lt;'Données projet'!$A$166,$DL$205^A55,IF(A55='Données projet'!$A$166,'Données projet'!$B$166,DO54+DN55-DW54)))</f>
        <v>190.12820512820505</v>
      </c>
      <c r="DP55" s="18">
        <f>DO55*VLOOKUP('Données projet'!$B$14,Paramètres!$A$1:$I$89,3,0)*VLOOKUP('Données projet'!$B$14,Paramètres!$A$1:$I$89,5,0)</f>
        <v>198.72199999999992</v>
      </c>
      <c r="DQ55" s="14">
        <f t="shared" si="43"/>
        <v>49.463197303970119</v>
      </c>
      <c r="DR55" s="22">
        <f t="shared" si="16"/>
        <v>432.25588530441445</v>
      </c>
      <c r="DS55" s="60">
        <f t="shared" si="17"/>
        <v>725.58921863774776</v>
      </c>
      <c r="DT55" s="60">
        <f ca="1">AVERAGE(OFFSET($DS$3,0,0,'Données projet'!$E$14+1,1))-AVERAGE(OFFSET($H$3,0,0,'Données projet'!$E$14+1,1))</f>
        <v>493.70175665335978</v>
      </c>
      <c r="DU55" s="60">
        <f t="shared" si="44"/>
        <v>325.12357781685949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4.4000000000000004</v>
      </c>
      <c r="EJ55" s="13">
        <f>IF('Données projet'!$A$192&gt;35,EJ54+EI55-ER54,IF(A55&lt;'Données projet'!$A$192,$EG$205^A55,IF(A55='Données projet'!$A$192,'Données projet'!$B$192,EJ54+EI55-ER54)))</f>
        <v>147.79999999999995</v>
      </c>
      <c r="EK55" s="18">
        <f>EJ55*VLOOKUP('Données projet'!$B$15,Paramètres!$A$1:$I$89,3,0)*VLOOKUP('Données projet'!$B$15,Paramètres!$A$1:$I$89,5,0)</f>
        <v>119.89535999999997</v>
      </c>
      <c r="EL55" s="14">
        <f t="shared" si="45"/>
        <v>31.650592493512779</v>
      </c>
      <c r="EM55" s="22">
        <f t="shared" si="19"/>
        <v>263.94253392620135</v>
      </c>
      <c r="EN55" s="60">
        <f t="shared" si="20"/>
        <v>557.27586725953461</v>
      </c>
      <c r="EO55" s="60">
        <f ca="1">AVERAGE(OFFSET($EN$3,0,0,'Données projet'!$E$15+1,1))-AVERAGE(OFFSET($H$3,0,0,'Données projet'!$E$15+1,1))</f>
        <v>236.22643401787644</v>
      </c>
      <c r="EP55" s="60">
        <f t="shared" si="46"/>
        <v>188.80444043778022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4</v>
      </c>
      <c r="FE55" s="13">
        <f>IF('Données projet'!$A$218&gt;35,FE54+FD55-FM54,IF(A55&lt;'Données projet'!$A$218,$FB$205^A55,IF(A55='Données projet'!$A$218,'Données projet'!$B$218,FE54+FD55-FM54)))</f>
        <v>102.99999999999997</v>
      </c>
      <c r="FF55" s="18">
        <f>FE55*VLOOKUP('Données projet'!$B$16,Paramètres!$A$1:$I$89,3,0)*VLOOKUP('Données projet'!$B$16,Paramètres!$A$1:$I$89,5,0)</f>
        <v>99.621599999999987</v>
      </c>
      <c r="FG55" s="14">
        <f t="shared" si="47"/>
        <v>26.871829085032747</v>
      </c>
      <c r="FH55" s="22">
        <f t="shared" si="22"/>
        <v>220.30938898976532</v>
      </c>
      <c r="FI55" s="60">
        <f t="shared" si="23"/>
        <v>513.64272232309861</v>
      </c>
      <c r="FJ55" s="60">
        <f ca="1">AVERAGE(OFFSET($FI$3,0,0,'Données projet'!$E$16+1,1))-AVERAGE(OFFSET($H$3,0,0,'Données projet'!$E$16+1,1))</f>
        <v>255.59755832175625</v>
      </c>
      <c r="FK55" s="60">
        <f t="shared" si="48"/>
        <v>154.0840647586964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0" t="e">
        <f t="shared" si="26"/>
        <v>#N/A</v>
      </c>
      <c r="GE55" s="60" t="e">
        <f ca="1">AVERAGE(OFFSET($GD$3,0,0,'Données projet'!$E$17+1,1))-AVERAGE(OFFSET($H$3,0,0,'Données projet'!$E$17+1,1))</f>
        <v>#N/A</v>
      </c>
      <c r="GF55" s="60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7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0" t="e">
        <f t="shared" si="29"/>
        <v>#N/A</v>
      </c>
      <c r="GZ55" s="60" t="e">
        <f ca="1">AVERAGE(OFFSET($GY$3,0,0,'Données projet'!$E$18+1,1))-AVERAGE(OFFSET($H$3,0,0,'Données projet'!$E$18+1,1))</f>
        <v>#N/A</v>
      </c>
      <c r="HA55" s="60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5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68">
        <f t="shared" si="1"/>
        <v>256.66666666666669</v>
      </c>
      <c r="I56" s="7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0" t="e">
        <f t="shared" si="0"/>
        <v>#NUM!</v>
      </c>
      <c r="S56" s="60">
        <f ca="1">AVERAGE(OFFSET($R$3,0,0,'Données projet'!$E$9+1,1))-AVERAGE(OFFSET($H$3,0,0,'Données projet'!$E$9+1,1))</f>
        <v>64.775385872852041</v>
      </c>
      <c r="T56" s="60">
        <f t="shared" si="34"/>
        <v>201.69061202990468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20.377960256879387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2.0859256787527197E-5</v>
      </c>
      <c r="AC56" s="24">
        <f t="shared" si="3"/>
        <v>20.377981116136173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183.53400000000002</v>
      </c>
      <c r="AK56" s="14">
        <f t="shared" si="35"/>
        <v>46.107544136839593</v>
      </c>
      <c r="AL56" s="22">
        <f t="shared" si="4"/>
        <v>399.95902270499568</v>
      </c>
      <c r="AM56" s="60">
        <f t="shared" si="5"/>
        <v>693.29235603832899</v>
      </c>
      <c r="AN56" s="60">
        <f ca="1">AVERAGE(OFFSET($AM$3,0,0,'Données projet'!$E$10+1,1))-AVERAGE(OFFSET($H$3,0,0,'Données projet'!$E$10+1,1))</f>
        <v>475.47920969424894</v>
      </c>
      <c r="AO56" s="60">
        <f t="shared" si="36"/>
        <v>271.73544012419364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7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10.464423076923076</v>
      </c>
      <c r="BD56" s="13">
        <f>IF('Données projet'!$A$88&gt;35,BD55+BC56-BL55,IF(A56&lt;'Données projet'!$A$88,$BA$205^A56,IF(A56='Données projet'!$A$88,'Données projet'!$B$88,BD55+BC56-BL55)))</f>
        <v>280.24903846153853</v>
      </c>
      <c r="BE56" s="14">
        <f>BD56*VLOOKUP('Données projet'!$B$11,Paramètres!$A$1:$I$89,3,0)*VLOOKUP('Données projet'!$B$11,Paramètres!$A$1:$I$89,5,0)</f>
        <v>167.58892500000007</v>
      </c>
      <c r="BF56" s="14">
        <f t="shared" si="37"/>
        <v>42.549574883574216</v>
      </c>
      <c r="BG56" s="22">
        <f t="shared" si="7"/>
        <v>365.99122063055853</v>
      </c>
      <c r="BH56" s="60">
        <f t="shared" si="8"/>
        <v>659.32455396389184</v>
      </c>
      <c r="BI56" s="60">
        <f ca="1">AVERAGE(OFFSET($BH$3,0,0,'Données projet'!$E$11+1,1))-AVERAGE(OFFSET($H$3,0,0,'Données projet'!$E$11+1,1))</f>
        <v>260.02504691866199</v>
      </c>
      <c r="BJ56" s="60">
        <f t="shared" si="38"/>
        <v>270.11268336406368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6.3465951120841222</v>
      </c>
      <c r="BQ56" s="23">
        <f>EXP(-LN(2)/25)*BQ55+(1-EXP(-LN(2)/25))/(LN(2)/25)*Calculateur!BL56*Calculateur!BN56*VLOOKUP('Données projet'!$B$11,Paramètres!$A$1:$I$89,3,0)*0.475*44/12</f>
        <v>8.6865940469391436</v>
      </c>
      <c r="BR56" s="23">
        <f>EXP(-LN(2)/2)*BR55+(1-EXP(-LN(2)/2))/(LN(2)/2)*BL56*BO56*VLOOKUP('Données projet'!$B$11,Paramètres!$A$1:$I$89,3,0)*0.475*44/12</f>
        <v>2.188979188144838E-3</v>
      </c>
      <c r="BS56" s="24">
        <f t="shared" si="9"/>
        <v>15.03537813821141</v>
      </c>
      <c r="BT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10.763461538461542</v>
      </c>
      <c r="BY56" s="13">
        <f>IF('Données projet'!$A$114&gt;35,BY55+BX56-CG55,IF(A56&lt;'Données projet'!$A$114,$BV$205^A56,IF(A56='Données projet'!$A$114,'Données projet'!$B$114,BY55+BX56-CG55)))</f>
        <v>243.05769230769218</v>
      </c>
      <c r="BZ56" s="14">
        <f>BY56*VLOOKUP('Données projet'!$B$12,Paramètres!$A$1:$I$89,3,0)*VLOOKUP('Données projet'!$B$12,Paramètres!$A$1:$I$89,5,0)</f>
        <v>113.75099999999993</v>
      </c>
      <c r="CA56" s="14">
        <f t="shared" si="39"/>
        <v>30.213017355661915</v>
      </c>
      <c r="CB56" s="22">
        <f t="shared" si="10"/>
        <v>250.73733022777768</v>
      </c>
      <c r="CC56" s="60">
        <f t="shared" si="11"/>
        <v>544.07066356111102</v>
      </c>
      <c r="CD56" s="60">
        <f ca="1">AVERAGE(OFFSET($CC$3,0,0,'Données projet'!$E$12+1,1))-AVERAGE(OFFSET($H$3,0,0,'Données projet'!$E$12+1,1))</f>
        <v>246.72166704460847</v>
      </c>
      <c r="CE56" s="60">
        <f t="shared" si="40"/>
        <v>145.54897745089966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181</v>
      </c>
      <c r="CU56" s="18">
        <f>CT56*VLOOKUP('Données projet'!$B$13,Paramètres!$A$1:$I$89,3,0)*VLOOKUP('Données projet'!$B$13,Paramètres!$A$1:$I$89,5,0)</f>
        <v>163.7688</v>
      </c>
      <c r="CV56" s="14">
        <f t="shared" si="41"/>
        <v>41.691423503509803</v>
      </c>
      <c r="CW56" s="22">
        <f t="shared" si="13"/>
        <v>357.84322260194625</v>
      </c>
      <c r="CX56" s="60">
        <f t="shared" si="14"/>
        <v>651.17655593527957</v>
      </c>
      <c r="CY56" s="60">
        <f ca="1">AVERAGE(OFFSET($CX$3,0,0,'Données projet'!$E$13+1,1))-AVERAGE(OFFSET($H$3,0,0,'Données projet'!$E$13+1,1))</f>
        <v>428.8489304403459</v>
      </c>
      <c r="CZ56" s="60">
        <f t="shared" si="42"/>
        <v>247.01165577562966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5.6410256410256405</v>
      </c>
      <c r="DO56" s="13">
        <f>IF('Données projet'!$A$166&gt;35,DO55+DN56-DW55,IF(A56&lt;'Données projet'!$A$166,$DL$205^A56,IF(A56='Données projet'!$A$166,'Données projet'!$B$166,DO55+DN56-DW55)))</f>
        <v>195.76923076923069</v>
      </c>
      <c r="DP56" s="18">
        <f>DO56*VLOOKUP('Données projet'!$B$14,Paramètres!$A$1:$I$89,3,0)*VLOOKUP('Données projet'!$B$14,Paramètres!$A$1:$I$89,5,0)</f>
        <v>204.61799999999994</v>
      </c>
      <c r="DQ56" s="14">
        <f t="shared" si="43"/>
        <v>50.757712073649664</v>
      </c>
      <c r="DR56" s="22">
        <f t="shared" si="16"/>
        <v>444.77936519493966</v>
      </c>
      <c r="DS56" s="60">
        <f t="shared" si="17"/>
        <v>738.11269852827297</v>
      </c>
      <c r="DT56" s="60">
        <f ca="1">AVERAGE(OFFSET($DS$3,0,0,'Données projet'!$E$14+1,1))-AVERAGE(OFFSET($H$3,0,0,'Données projet'!$E$14+1,1))</f>
        <v>493.70175665335978</v>
      </c>
      <c r="DU56" s="60">
        <f t="shared" si="44"/>
        <v>325.12357781685949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4.4000000000000004</v>
      </c>
      <c r="EJ56" s="13">
        <f>IF('Données projet'!$A$192&gt;35,EJ55+EI56-ER55,IF(A56&lt;'Données projet'!$A$192,$EG$205^A56,IF(A56='Données projet'!$A$192,'Données projet'!$B$192,EJ55+EI56-ER55)))</f>
        <v>152.19999999999996</v>
      </c>
      <c r="EK56" s="18">
        <f>EJ56*VLOOKUP('Données projet'!$B$15,Paramètres!$A$1:$I$89,3,0)*VLOOKUP('Données projet'!$B$15,Paramètres!$A$1:$I$89,5,0)</f>
        <v>123.46463999999997</v>
      </c>
      <c r="EL56" s="14">
        <f t="shared" si="45"/>
        <v>32.481726206916214</v>
      </c>
      <c r="EM56" s="22">
        <f t="shared" si="19"/>
        <v>271.60658781037904</v>
      </c>
      <c r="EN56" s="60">
        <f t="shared" si="20"/>
        <v>564.93992114371235</v>
      </c>
      <c r="EO56" s="60">
        <f ca="1">AVERAGE(OFFSET($EN$3,0,0,'Données projet'!$E$15+1,1))-AVERAGE(OFFSET($H$3,0,0,'Données projet'!$E$15+1,1))</f>
        <v>236.22643401787644</v>
      </c>
      <c r="EP56" s="60">
        <f t="shared" si="46"/>
        <v>188.80444043778022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4</v>
      </c>
      <c r="FE56" s="13">
        <f>IF('Données projet'!$A$218&gt;35,FE55+FD56-FM55,IF(A56&lt;'Données projet'!$A$218,$FB$205^A56,IF(A56='Données projet'!$A$218,'Données projet'!$B$218,FE55+FD56-FM55)))</f>
        <v>106.99999999999997</v>
      </c>
      <c r="FF56" s="18">
        <f>FE56*VLOOKUP('Données projet'!$B$16,Paramètres!$A$1:$I$89,3,0)*VLOOKUP('Données projet'!$B$16,Paramètres!$A$1:$I$89,5,0)</f>
        <v>103.49039999999997</v>
      </c>
      <c r="FG56" s="14">
        <f t="shared" si="47"/>
        <v>27.791869560921153</v>
      </c>
      <c r="FH56" s="22">
        <f t="shared" si="22"/>
        <v>228.64995281860425</v>
      </c>
      <c r="FI56" s="60">
        <f t="shared" si="23"/>
        <v>521.98328615193759</v>
      </c>
      <c r="FJ56" s="60">
        <f ca="1">AVERAGE(OFFSET($FI$3,0,0,'Données projet'!$E$16+1,1))-AVERAGE(OFFSET($H$3,0,0,'Données projet'!$E$16+1,1))</f>
        <v>255.59755832175625</v>
      </c>
      <c r="FK56" s="60">
        <f t="shared" si="48"/>
        <v>154.0840647586964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0" t="e">
        <f t="shared" si="26"/>
        <v>#N/A</v>
      </c>
      <c r="GE56" s="60" t="e">
        <f ca="1">AVERAGE(OFFSET($GD$3,0,0,'Données projet'!$E$17+1,1))-AVERAGE(OFFSET($H$3,0,0,'Données projet'!$E$17+1,1))</f>
        <v>#N/A</v>
      </c>
      <c r="GF56" s="60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7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0" t="e">
        <f t="shared" si="29"/>
        <v>#N/A</v>
      </c>
      <c r="GZ56" s="60" t="e">
        <f ca="1">AVERAGE(OFFSET($GY$3,0,0,'Données projet'!$E$18+1,1))-AVERAGE(OFFSET($H$3,0,0,'Données projet'!$E$18+1,1))</f>
        <v>#N/A</v>
      </c>
      <c r="HA56" s="60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5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68">
        <f t="shared" si="1"/>
        <v>256.66666666666669</v>
      </c>
      <c r="I57" s="7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0" t="e">
        <f t="shared" si="0"/>
        <v>#NUM!</v>
      </c>
      <c r="S57" s="60">
        <f ca="1">AVERAGE(OFFSET($R$3,0,0,'Données projet'!$E$9+1,1))-AVERAGE(OFFSET($H$3,0,0,'Données projet'!$E$9+1,1))</f>
        <v>64.775385872852041</v>
      </c>
      <c r="T57" s="60">
        <f t="shared" si="34"/>
        <v>201.69061202990468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19.978360885570446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1.4749721924972001E-5</v>
      </c>
      <c r="AC57" s="24">
        <f t="shared" si="3"/>
        <v>19.97837563529237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191.64600000000002</v>
      </c>
      <c r="AK57" s="14">
        <f t="shared" si="35"/>
        <v>47.903677189291635</v>
      </c>
      <c r="AL57" s="22">
        <f t="shared" si="4"/>
        <v>417.21568777134962</v>
      </c>
      <c r="AM57" s="60">
        <f t="shared" si="5"/>
        <v>710.54902110468288</v>
      </c>
      <c r="AN57" s="60">
        <f ca="1">AVERAGE(OFFSET($AM$3,0,0,'Données projet'!$E$10+1,1))-AVERAGE(OFFSET($H$3,0,0,'Données projet'!$E$10+1,1))</f>
        <v>475.47920969424894</v>
      </c>
      <c r="AO57" s="60">
        <f t="shared" si="36"/>
        <v>271.73544012419364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7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10.464423076923076</v>
      </c>
      <c r="BD57" s="13">
        <f>IF('Données projet'!$A$88&gt;35,BD56+BC57-BL56,IF(A57&lt;'Données projet'!$A$88,$BA$205^A57,IF(A57='Données projet'!$A$88,'Données projet'!$B$88,BD56+BC57-BL56)))</f>
        <v>290.71346153846162</v>
      </c>
      <c r="BE57" s="14">
        <f>BD57*VLOOKUP('Données projet'!$B$11,Paramètres!$A$1:$I$89,3,0)*VLOOKUP('Données projet'!$B$11,Paramètres!$A$1:$I$89,5,0)</f>
        <v>173.84665000000007</v>
      </c>
      <c r="BF57" s="14">
        <f t="shared" si="37"/>
        <v>43.9504201164318</v>
      </c>
      <c r="BG57" s="22">
        <f t="shared" si="7"/>
        <v>379.3298971194522</v>
      </c>
      <c r="BH57" s="60">
        <f t="shared" si="8"/>
        <v>672.66323045278546</v>
      </c>
      <c r="BI57" s="60">
        <f ca="1">AVERAGE(OFFSET($BH$3,0,0,'Données projet'!$E$11+1,1))-AVERAGE(OFFSET($H$3,0,0,'Données projet'!$E$11+1,1))</f>
        <v>260.02504691866199</v>
      </c>
      <c r="BJ57" s="60">
        <f t="shared" si="38"/>
        <v>270.11268336406368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6.222142252976937</v>
      </c>
      <c r="BQ57" s="23">
        <f>EXP(-LN(2)/25)*BQ56+(1-EXP(-LN(2)/25))/(LN(2)/25)*Calculateur!BL57*Calculateur!BN57*VLOOKUP('Données projet'!$B$11,Paramètres!$A$1:$I$89,3,0)*0.475*44/12</f>
        <v>8.4490586759174651</v>
      </c>
      <c r="BR57" s="23">
        <f>EXP(-LN(2)/2)*BR56+(1-EXP(-LN(2)/2))/(LN(2)/2)*BL57*BO57*VLOOKUP('Données projet'!$B$11,Paramètres!$A$1:$I$89,3,0)*0.475*44/12</f>
        <v>1.5478420278134384E-3</v>
      </c>
      <c r="BS57" s="24">
        <f t="shared" si="9"/>
        <v>14.672748770922215</v>
      </c>
      <c r="BT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10.763461538461542</v>
      </c>
      <c r="BY57" s="13">
        <f>IF('Données projet'!$A$114&gt;35,BY56+BX57-CG56,IF(A57&lt;'Données projet'!$A$114,$BV$205^A57,IF(A57='Données projet'!$A$114,'Données projet'!$B$114,BY56+BX57-CG56)))</f>
        <v>253.82115384615372</v>
      </c>
      <c r="BZ57" s="14">
        <f>BY57*VLOOKUP('Données projet'!$B$12,Paramètres!$A$1:$I$89,3,0)*VLOOKUP('Données projet'!$B$12,Paramètres!$A$1:$I$89,5,0)</f>
        <v>118.78829999999994</v>
      </c>
      <c r="CA57" s="14">
        <f t="shared" si="39"/>
        <v>31.392223457890381</v>
      </c>
      <c r="CB57" s="22">
        <f t="shared" si="10"/>
        <v>261.56441168915899</v>
      </c>
      <c r="CC57" s="60">
        <f t="shared" si="11"/>
        <v>554.89774502249224</v>
      </c>
      <c r="CD57" s="60">
        <f ca="1">AVERAGE(OFFSET($CC$3,0,0,'Données projet'!$E$12+1,1))-AVERAGE(OFFSET($H$3,0,0,'Données projet'!$E$12+1,1))</f>
        <v>246.72166704460847</v>
      </c>
      <c r="CE57" s="60">
        <f t="shared" si="40"/>
        <v>145.54897745089966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189</v>
      </c>
      <c r="CU57" s="18">
        <f>CT57*VLOOKUP('Données projet'!$B$13,Paramètres!$A$1:$I$89,3,0)*VLOOKUP('Données projet'!$B$13,Paramètres!$A$1:$I$89,5,0)</f>
        <v>171.00719999999998</v>
      </c>
      <c r="CV57" s="14">
        <f t="shared" si="41"/>
        <v>43.315525267338089</v>
      </c>
      <c r="CW57" s="22">
        <f t="shared" si="13"/>
        <v>373.27874650728046</v>
      </c>
      <c r="CX57" s="60">
        <f t="shared" si="14"/>
        <v>666.61207984061377</v>
      </c>
      <c r="CY57" s="60">
        <f ca="1">AVERAGE(OFFSET($CX$3,0,0,'Données projet'!$E$13+1,1))-AVERAGE(OFFSET($H$3,0,0,'Données projet'!$E$13+1,1))</f>
        <v>428.8489304403459</v>
      </c>
      <c r="CZ57" s="60">
        <f t="shared" si="42"/>
        <v>247.01165577562966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5.6410256410256405</v>
      </c>
      <c r="DO57" s="13">
        <f>IF('Données projet'!$A$166&gt;35,DO56+DN57-DW56,IF(A57&lt;'Données projet'!$A$166,$DL$205^A57,IF(A57='Données projet'!$A$166,'Données projet'!$B$166,DO56+DN57-DW56)))</f>
        <v>201.41025641025632</v>
      </c>
      <c r="DP57" s="18">
        <f>DO57*VLOOKUP('Données projet'!$B$14,Paramètres!$A$1:$I$89,3,0)*VLOOKUP('Données projet'!$B$14,Paramètres!$A$1:$I$89,5,0)</f>
        <v>210.51399999999992</v>
      </c>
      <c r="DQ57" s="14">
        <f t="shared" si="43"/>
        <v>52.047891644487855</v>
      </c>
      <c r="DR57" s="22">
        <f t="shared" si="16"/>
        <v>457.2952946141495</v>
      </c>
      <c r="DS57" s="60">
        <f t="shared" si="17"/>
        <v>750.62862794748276</v>
      </c>
      <c r="DT57" s="60">
        <f ca="1">AVERAGE(OFFSET($DS$3,0,0,'Données projet'!$E$14+1,1))-AVERAGE(OFFSET($H$3,0,0,'Données projet'!$E$14+1,1))</f>
        <v>493.70175665335978</v>
      </c>
      <c r="DU57" s="60">
        <f t="shared" si="44"/>
        <v>325.12357781685949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4.4000000000000004</v>
      </c>
      <c r="EJ57" s="13">
        <f>IF('Données projet'!$A$192&gt;35,EJ56+EI57-ER56,IF(A57&lt;'Données projet'!$A$192,$EG$205^A57,IF(A57='Données projet'!$A$192,'Données projet'!$B$192,EJ56+EI57-ER56)))</f>
        <v>156.59999999999997</v>
      </c>
      <c r="EK57" s="18">
        <f>EJ57*VLOOKUP('Données projet'!$B$15,Paramètres!$A$1:$I$89,3,0)*VLOOKUP('Données projet'!$B$15,Paramètres!$A$1:$I$89,5,0)</f>
        <v>127.03391999999998</v>
      </c>
      <c r="EL57" s="14">
        <f t="shared" si="45"/>
        <v>33.31006740655728</v>
      </c>
      <c r="EM57" s="22">
        <f t="shared" si="19"/>
        <v>279.26577806642058</v>
      </c>
      <c r="EN57" s="60">
        <f t="shared" si="20"/>
        <v>572.59911139975384</v>
      </c>
      <c r="EO57" s="60">
        <f ca="1">AVERAGE(OFFSET($EN$3,0,0,'Données projet'!$E$15+1,1))-AVERAGE(OFFSET($H$3,0,0,'Données projet'!$E$15+1,1))</f>
        <v>236.22643401787644</v>
      </c>
      <c r="EP57" s="60">
        <f t="shared" si="46"/>
        <v>188.80444043778022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4</v>
      </c>
      <c r="FE57" s="13">
        <f>IF('Données projet'!$A$218&gt;35,FE56+FD57-FM56,IF(A57&lt;'Données projet'!$A$218,$FB$205^A57,IF(A57='Données projet'!$A$218,'Données projet'!$B$218,FE56+FD57-FM56)))</f>
        <v>110.99999999999997</v>
      </c>
      <c r="FF57" s="18">
        <f>FE57*VLOOKUP('Données projet'!$B$16,Paramètres!$A$1:$I$89,3,0)*VLOOKUP('Données projet'!$B$16,Paramètres!$A$1:$I$89,5,0)</f>
        <v>107.35919999999997</v>
      </c>
      <c r="FG57" s="14">
        <f t="shared" si="47"/>
        <v>28.707914285651373</v>
      </c>
      <c r="FH57" s="22">
        <f t="shared" si="22"/>
        <v>236.98355738084277</v>
      </c>
      <c r="FI57" s="60">
        <f t="shared" si="23"/>
        <v>530.31689071417611</v>
      </c>
      <c r="FJ57" s="60">
        <f ca="1">AVERAGE(OFFSET($FI$3,0,0,'Données projet'!$E$16+1,1))-AVERAGE(OFFSET($H$3,0,0,'Données projet'!$E$16+1,1))</f>
        <v>255.59755832175625</v>
      </c>
      <c r="FK57" s="60">
        <f t="shared" si="48"/>
        <v>154.0840647586964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0" t="e">
        <f t="shared" si="26"/>
        <v>#N/A</v>
      </c>
      <c r="GE57" s="60" t="e">
        <f ca="1">AVERAGE(OFFSET($GD$3,0,0,'Données projet'!$E$17+1,1))-AVERAGE(OFFSET($H$3,0,0,'Données projet'!$E$17+1,1))</f>
        <v>#N/A</v>
      </c>
      <c r="GF57" s="60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7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0" t="e">
        <f t="shared" si="29"/>
        <v>#N/A</v>
      </c>
      <c r="GZ57" s="60" t="e">
        <f ca="1">AVERAGE(OFFSET($GY$3,0,0,'Données projet'!$E$18+1,1))-AVERAGE(OFFSET($H$3,0,0,'Données projet'!$E$18+1,1))</f>
        <v>#N/A</v>
      </c>
      <c r="HA57" s="60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5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68">
        <f t="shared" si="1"/>
        <v>256.66666666666669</v>
      </c>
      <c r="I58" s="7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0" t="e">
        <f t="shared" si="0"/>
        <v>#NUM!</v>
      </c>
      <c r="S58" s="60">
        <f ca="1">AVERAGE(OFFSET($R$3,0,0,'Données projet'!$E$9+1,1))-AVERAGE(OFFSET($H$3,0,0,'Données projet'!$E$9+1,1))</f>
        <v>64.775385872852041</v>
      </c>
      <c r="T58" s="60">
        <f t="shared" si="34"/>
        <v>201.69061202990468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19.586597414201321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1.04296283937636E-5</v>
      </c>
      <c r="AC58" s="24">
        <f t="shared" si="3"/>
        <v>19.586607843829714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199.75800000000004</v>
      </c>
      <c r="AK58" s="14">
        <f t="shared" si="35"/>
        <v>49.690979702964015</v>
      </c>
      <c r="AL58" s="22">
        <f t="shared" si="4"/>
        <v>434.45697298266236</v>
      </c>
      <c r="AM58" s="60">
        <f t="shared" si="5"/>
        <v>727.79030631599562</v>
      </c>
      <c r="AN58" s="60">
        <f ca="1">AVERAGE(OFFSET($AM$3,0,0,'Données projet'!$E$10+1,1))-AVERAGE(OFFSET($H$3,0,0,'Données projet'!$E$10+1,1))</f>
        <v>475.47920969424894</v>
      </c>
      <c r="AO58" s="60">
        <f t="shared" si="36"/>
        <v>271.73544012419364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7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10.464423076923076</v>
      </c>
      <c r="BD58" s="13">
        <f>IF('Données projet'!$A$88&gt;35,BD57+BC58-BL57,IF(A58&lt;'Données projet'!$A$88,$BA$205^A58,IF(A58='Données projet'!$A$88,'Données projet'!$B$88,BD57+BC58-BL57)))</f>
        <v>301.1778846153847</v>
      </c>
      <c r="BE58" s="14">
        <f>BD58*VLOOKUP('Données projet'!$B$11,Paramètres!$A$1:$I$89,3,0)*VLOOKUP('Données projet'!$B$11,Paramètres!$A$1:$I$89,5,0)</f>
        <v>180.10437500000006</v>
      </c>
      <c r="BF58" s="14">
        <f t="shared" si="37"/>
        <v>45.345406897560061</v>
      </c>
      <c r="BG58" s="22">
        <f t="shared" si="7"/>
        <v>392.65837013825052</v>
      </c>
      <c r="BH58" s="60">
        <f t="shared" si="8"/>
        <v>685.99170347158383</v>
      </c>
      <c r="BI58" s="60">
        <f ca="1">AVERAGE(OFFSET($BH$3,0,0,'Données projet'!$E$11+1,1))-AVERAGE(OFFSET($H$3,0,0,'Données projet'!$E$11+1,1))</f>
        <v>260.02504691866199</v>
      </c>
      <c r="BJ58" s="60">
        <f t="shared" si="38"/>
        <v>270.11268336406368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6.1001298385280958</v>
      </c>
      <c r="BQ58" s="23">
        <f>EXP(-LN(2)/25)*BQ57+(1-EXP(-LN(2)/25))/(LN(2)/25)*Calculateur!BL58*Calculateur!BN58*VLOOKUP('Données projet'!$B$11,Paramètres!$A$1:$I$89,3,0)*0.475*44/12</f>
        <v>8.218018722107816</v>
      </c>
      <c r="BR58" s="23">
        <f>EXP(-LN(2)/2)*BR57+(1-EXP(-LN(2)/2))/(LN(2)/2)*BL58*BO58*VLOOKUP('Données projet'!$B$11,Paramètres!$A$1:$I$89,3,0)*0.475*44/12</f>
        <v>1.094489594072419E-3</v>
      </c>
      <c r="BS58" s="24">
        <f t="shared" si="9"/>
        <v>14.319243050229984</v>
      </c>
      <c r="BT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10.763461538461542</v>
      </c>
      <c r="BY58" s="13">
        <f>IF('Données projet'!$A$114&gt;35,BY57+BX58-CG57,IF(A58&lt;'Données projet'!$A$114,$BV$205^A58,IF(A58='Données projet'!$A$114,'Données projet'!$B$114,BY57+BX58-CG57)))</f>
        <v>264.58461538461529</v>
      </c>
      <c r="BZ58" s="14">
        <f>BY58*VLOOKUP('Données projet'!$B$12,Paramètres!$A$1:$I$89,3,0)*VLOOKUP('Données projet'!$B$12,Paramètres!$A$1:$I$89,5,0)</f>
        <v>123.82559999999997</v>
      </c>
      <c r="CA58" s="14">
        <f t="shared" si="39"/>
        <v>32.565621475657444</v>
      </c>
      <c r="CB58" s="22">
        <f t="shared" si="10"/>
        <v>272.38137740343666</v>
      </c>
      <c r="CC58" s="60">
        <f t="shared" si="11"/>
        <v>565.71471073677003</v>
      </c>
      <c r="CD58" s="60">
        <f ca="1">AVERAGE(OFFSET($CC$3,0,0,'Données projet'!$E$12+1,1))-AVERAGE(OFFSET($H$3,0,0,'Données projet'!$E$12+1,1))</f>
        <v>246.72166704460847</v>
      </c>
      <c r="CE58" s="60">
        <f t="shared" si="40"/>
        <v>145.54897745089966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197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197</v>
      </c>
      <c r="CU58" s="18">
        <f>CT58*VLOOKUP('Données projet'!$B$13,Paramètres!$A$1:$I$89,3,0)*VLOOKUP('Données projet'!$B$13,Paramètres!$A$1:$I$89,5,0)</f>
        <v>178.2456</v>
      </c>
      <c r="CV58" s="14">
        <f t="shared" si="41"/>
        <v>44.931642269910427</v>
      </c>
      <c r="CW58" s="22">
        <f t="shared" si="13"/>
        <v>388.70036362009404</v>
      </c>
      <c r="CX58" s="60">
        <f t="shared" si="14"/>
        <v>682.03369695342735</v>
      </c>
      <c r="CY58" s="60">
        <f ca="1">AVERAGE(OFFSET($CX$3,0,0,'Données projet'!$E$13+1,1))-AVERAGE(OFFSET($H$3,0,0,'Données projet'!$E$13+1,1))</f>
        <v>428.8489304403459</v>
      </c>
      <c r="CZ58" s="60">
        <f t="shared" si="42"/>
        <v>247.01165577562966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207.05128205128204</v>
      </c>
      <c r="DM58" s="13">
        <f>VLOOKUP(A58,'Données projet'!$A$165:$I$185,9,0)</f>
        <v>5.6410256410256405</v>
      </c>
      <c r="DN58" s="13">
        <f t="array" ref="DN58">INDEX(DM:DM,MIN(IF(ISNUMBER(DM58:DM254),ROW(DM58:DM254),"")))</f>
        <v>5.6410256410256405</v>
      </c>
      <c r="DO58" s="13">
        <f>IF('Données projet'!$A$166&gt;35,DO57+DN58-DW57,IF(A58&lt;'Données projet'!$A$166,$DL$205^A58,IF(A58='Données projet'!$A$166,'Données projet'!$B$166,DO57+DN58-DW57)))</f>
        <v>207.05128205128196</v>
      </c>
      <c r="DP58" s="18">
        <f>DO58*VLOOKUP('Données projet'!$B$14,Paramètres!$A$1:$I$89,3,0)*VLOOKUP('Données projet'!$B$14,Paramètres!$A$1:$I$89,5,0)</f>
        <v>216.40999999999991</v>
      </c>
      <c r="DQ58" s="14">
        <f t="shared" si="43"/>
        <v>53.333871383439472</v>
      </c>
      <c r="DR58" s="22">
        <f t="shared" si="16"/>
        <v>469.80390932615688</v>
      </c>
      <c r="DS58" s="60">
        <f t="shared" si="17"/>
        <v>763.1372426594902</v>
      </c>
      <c r="DT58" s="60">
        <f ca="1">AVERAGE(OFFSET($DS$3,0,0,'Données projet'!$E$14+1,1))-AVERAGE(OFFSET($H$3,0,0,'Données projet'!$E$14+1,1))</f>
        <v>493.70175665335978</v>
      </c>
      <c r="DU58" s="60">
        <f t="shared" si="44"/>
        <v>325.12357781685949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161</v>
      </c>
      <c r="EH58" s="13">
        <f>VLOOKUP(A58,'Données projet'!$A$191:$I$211,9,0)</f>
        <v>4.4000000000000004</v>
      </c>
      <c r="EI58" s="13">
        <f t="array" ref="EI58">INDEX(EH:EH,MIN(IF(ISNUMBER(EH58:EH254),ROW(EH58:EH254),"")))</f>
        <v>4.4000000000000004</v>
      </c>
      <c r="EJ58" s="13">
        <f>IF('Données projet'!$A$192&gt;35,EJ57+EI58-ER57,IF(A58&lt;'Données projet'!$A$192,$EG$205^A58,IF(A58='Données projet'!$A$192,'Données projet'!$B$192,EJ57+EI58-ER57)))</f>
        <v>160.99999999999997</v>
      </c>
      <c r="EK58" s="18">
        <f>EJ58*VLOOKUP('Données projet'!$B$15,Paramètres!$A$1:$I$89,3,0)*VLOOKUP('Données projet'!$B$15,Paramètres!$A$1:$I$89,5,0)</f>
        <v>130.60319999999999</v>
      </c>
      <c r="EL58" s="14">
        <f t="shared" si="45"/>
        <v>34.135703567016428</v>
      </c>
      <c r="EM58" s="22">
        <f t="shared" si="19"/>
        <v>286.9202570458869</v>
      </c>
      <c r="EN58" s="60">
        <f t="shared" si="20"/>
        <v>580.25359037922021</v>
      </c>
      <c r="EO58" s="60">
        <f ca="1">AVERAGE(OFFSET($EN$3,0,0,'Données projet'!$E$15+1,1))-AVERAGE(OFFSET($H$3,0,0,'Données projet'!$E$15+1,1))</f>
        <v>236.22643401787644</v>
      </c>
      <c r="EP58" s="60">
        <f t="shared" si="46"/>
        <v>188.80444043778022</v>
      </c>
      <c r="EQ58" s="16">
        <f>IF(ISNA(VLOOKUP(A58,'Données projet'!$A$191:$I$211,3,0)),0,VLOOKUP(A58,'Données projet'!$A$191:$I$211,3,0))</f>
        <v>4</v>
      </c>
      <c r="ER58" s="16">
        <f>IF(ISNA(VLOOKUP(A58,'Données projet'!$A$191:$I$211,4,0)),0,VLOOKUP(A58,'Données projet'!$A$191:$I$211,4,0))</f>
        <v>22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115</v>
      </c>
      <c r="FC58" s="13">
        <f>VLOOKUP(A58,'Données projet'!$A$217:$I$237,9,0)</f>
        <v>4</v>
      </c>
      <c r="FD58" s="13">
        <f t="array" ref="FD58">INDEX(FC:FC,MIN(IF(ISNUMBER(FC58:FC254),ROW(FC58:FC254),"")))</f>
        <v>4</v>
      </c>
      <c r="FE58" s="13">
        <f>IF('Données projet'!$A$218&gt;35,FE57+FD58-FM57,IF(A58&lt;'Données projet'!$A$218,$FB$205^A58,IF(A58='Données projet'!$A$218,'Données projet'!$B$218,FE57+FD58-FM57)))</f>
        <v>114.99999999999997</v>
      </c>
      <c r="FF58" s="18">
        <f>FE58*VLOOKUP('Données projet'!$B$16,Paramètres!$A$1:$I$89,3,0)*VLOOKUP('Données projet'!$B$16,Paramètres!$A$1:$I$89,5,0)</f>
        <v>111.22799999999998</v>
      </c>
      <c r="FG58" s="14">
        <f t="shared" si="47"/>
        <v>29.620123744783804</v>
      </c>
      <c r="FH58" s="22">
        <f t="shared" si="22"/>
        <v>245.31048218883168</v>
      </c>
      <c r="FI58" s="60">
        <f t="shared" si="23"/>
        <v>538.64381552216503</v>
      </c>
      <c r="FJ58" s="60">
        <f ca="1">AVERAGE(OFFSET($FI$3,0,0,'Données projet'!$E$16+1,1))-AVERAGE(OFFSET($H$3,0,0,'Données projet'!$E$16+1,1))</f>
        <v>255.59755832175625</v>
      </c>
      <c r="FK58" s="60">
        <f t="shared" si="48"/>
        <v>154.0840647586964</v>
      </c>
      <c r="FL58" s="16">
        <f>IF(ISNA(VLOOKUP(A58,'Données projet'!$A$217:$I$237,3,0)),0,VLOOKUP(A58,'Données projet'!$A$217:$I$237,3,0))</f>
        <v>3</v>
      </c>
      <c r="FM58" s="16">
        <f>IF(ISNA(VLOOKUP(A58,'Données projet'!$A$217:$I$237,4,0)),0,VLOOKUP(A58,'Données projet'!$A$217:$I$237,4,0))</f>
        <v>19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0" t="e">
        <f t="shared" si="26"/>
        <v>#N/A</v>
      </c>
      <c r="GE58" s="60" t="e">
        <f ca="1">AVERAGE(OFFSET($GD$3,0,0,'Données projet'!$E$17+1,1))-AVERAGE(OFFSET($H$3,0,0,'Données projet'!$E$17+1,1))</f>
        <v>#N/A</v>
      </c>
      <c r="GF58" s="60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7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0" t="e">
        <f t="shared" si="29"/>
        <v>#N/A</v>
      </c>
      <c r="GZ58" s="60" t="e">
        <f ca="1">AVERAGE(OFFSET($GY$3,0,0,'Données projet'!$E$18+1,1))-AVERAGE(OFFSET($H$3,0,0,'Données projet'!$E$18+1,1))</f>
        <v>#N/A</v>
      </c>
      <c r="HA58" s="60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5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68">
        <f t="shared" si="1"/>
        <v>256.66666666666669</v>
      </c>
      <c r="I59" s="7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0" t="e">
        <f t="shared" si="0"/>
        <v>#NUM!</v>
      </c>
      <c r="S59" s="60">
        <f ca="1">AVERAGE(OFFSET($R$3,0,0,'Données projet'!$E$9+1,1))-AVERAGE(OFFSET($H$3,0,0,'Données projet'!$E$9+1,1))</f>
        <v>64.775385872852041</v>
      </c>
      <c r="T59" s="60">
        <f t="shared" si="34"/>
        <v>201.69061202990468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19.202516185553623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7.374860962486002E-6</v>
      </c>
      <c r="AC59" s="24">
        <f t="shared" si="3"/>
        <v>19.202523560414587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207.46440000000001</v>
      </c>
      <c r="AK59" s="14">
        <f t="shared" si="35"/>
        <v>51.381102169014063</v>
      </c>
      <c r="AL59" s="22">
        <f t="shared" si="4"/>
        <v>450.82258294436616</v>
      </c>
      <c r="AM59" s="60">
        <f t="shared" si="5"/>
        <v>744.15591627769948</v>
      </c>
      <c r="AN59" s="60">
        <f ca="1">AVERAGE(OFFSET($AM$3,0,0,'Données projet'!$E$10+1,1))-AVERAGE(OFFSET($H$3,0,0,'Données projet'!$E$10+1,1))</f>
        <v>475.47920969424894</v>
      </c>
      <c r="AO59" s="60">
        <f t="shared" si="36"/>
        <v>271.73544012419364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7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10.464423076923076</v>
      </c>
      <c r="BD59" s="13">
        <f>IF('Données projet'!$A$88&gt;35,BD58+BC59-BL58,IF(A59&lt;'Données projet'!$A$88,$BA$205^A59,IF(A59='Données projet'!$A$88,'Données projet'!$B$88,BD58+BC59-BL58)))</f>
        <v>311.64230769230778</v>
      </c>
      <c r="BE59" s="14">
        <f>BD59*VLOOKUP('Données projet'!$B$11,Paramètres!$A$1:$I$89,3,0)*VLOOKUP('Données projet'!$B$11,Paramètres!$A$1:$I$89,5,0)</f>
        <v>186.36210000000005</v>
      </c>
      <c r="BF59" s="14">
        <f t="shared" si="37"/>
        <v>46.734762106127967</v>
      </c>
      <c r="BG59" s="22">
        <f t="shared" si="7"/>
        <v>405.97703483483957</v>
      </c>
      <c r="BH59" s="60">
        <f t="shared" si="8"/>
        <v>699.31036816817289</v>
      </c>
      <c r="BI59" s="60">
        <f ca="1">AVERAGE(OFFSET($BH$3,0,0,'Données projet'!$E$11+1,1))-AVERAGE(OFFSET($H$3,0,0,'Données projet'!$E$11+1,1))</f>
        <v>260.02504691866199</v>
      </c>
      <c r="BJ59" s="60">
        <f t="shared" si="38"/>
        <v>270.11268336406368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5.9805100131063718</v>
      </c>
      <c r="BQ59" s="23">
        <f>EXP(-LN(2)/25)*BQ58+(1-EXP(-LN(2)/25))/(LN(2)/25)*Calculateur!BL59*Calculateur!BN59*VLOOKUP('Données projet'!$B$11,Paramètres!$A$1:$I$89,3,0)*0.475*44/12</f>
        <v>7.9932965679849559</v>
      </c>
      <c r="BR59" s="23">
        <f>EXP(-LN(2)/2)*BR58+(1-EXP(-LN(2)/2))/(LN(2)/2)*BL59*BO59*VLOOKUP('Données projet'!$B$11,Paramètres!$A$1:$I$89,3,0)*0.475*44/12</f>
        <v>7.7392101390671921E-4</v>
      </c>
      <c r="BS59" s="24">
        <f t="shared" si="9"/>
        <v>13.974580502105235</v>
      </c>
      <c r="BT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10.763461538461542</v>
      </c>
      <c r="BY59" s="13">
        <f>IF('Données projet'!$A$114&gt;35,BY58+BX59-CG58,IF(A59&lt;'Données projet'!$A$114,$BV$205^A59,IF(A59='Données projet'!$A$114,'Données projet'!$B$114,BY58+BX59-CG58)))</f>
        <v>275.34807692307686</v>
      </c>
      <c r="BZ59" s="14">
        <f>BY59*VLOOKUP('Données projet'!$B$12,Paramètres!$A$1:$I$89,3,0)*VLOOKUP('Données projet'!$B$12,Paramètres!$A$1:$I$89,5,0)</f>
        <v>128.86289999999997</v>
      </c>
      <c r="CA59" s="14">
        <f t="shared" si="39"/>
        <v>33.733474712413404</v>
      </c>
      <c r="CB59" s="22">
        <f t="shared" si="10"/>
        <v>283.18868595745323</v>
      </c>
      <c r="CC59" s="60">
        <f t="shared" si="11"/>
        <v>576.5220192907866</v>
      </c>
      <c r="CD59" s="60">
        <f ca="1">AVERAGE(OFFSET($CC$3,0,0,'Données projet'!$E$12+1,1))-AVERAGE(OFFSET($H$3,0,0,'Données projet'!$E$12+1,1))</f>
        <v>246.72166704460847</v>
      </c>
      <c r="CE59" s="60">
        <f t="shared" si="40"/>
        <v>145.54897745089966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7.6</v>
      </c>
      <c r="CT59" s="13">
        <f>IF('Données projet'!$A$140&gt;35,CT58+CS59-DB58,IF(A59&lt;'Données projet'!$A$140,$CQ$205^A59,IF(A59='Données projet'!$A$140,'Données projet'!$B$140,CT58+CS59-DB58)))</f>
        <v>204.6</v>
      </c>
      <c r="CU59" s="18">
        <f>CT59*VLOOKUP('Données projet'!$B$13,Paramètres!$A$1:$I$89,3,0)*VLOOKUP('Données projet'!$B$13,Paramètres!$A$1:$I$89,5,0)</f>
        <v>185.12207999999998</v>
      </c>
      <c r="CV59" s="14">
        <f t="shared" si="41"/>
        <v>46.459887003478677</v>
      </c>
      <c r="CW59" s="22">
        <f t="shared" si="13"/>
        <v>403.33859253105862</v>
      </c>
      <c r="CX59" s="60">
        <f t="shared" si="14"/>
        <v>696.67192586439194</v>
      </c>
      <c r="CY59" s="60">
        <f ca="1">AVERAGE(OFFSET($CX$3,0,0,'Données projet'!$E$13+1,1))-AVERAGE(OFFSET($H$3,0,0,'Données projet'!$E$13+1,1))</f>
        <v>428.8489304403459</v>
      </c>
      <c r="CZ59" s="60">
        <f t="shared" si="42"/>
        <v>247.01165577562966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5.2564102564102537</v>
      </c>
      <c r="DO59" s="13">
        <f>IF('Données projet'!$A$166&gt;35,DO58+DN59-DW58,IF(A59&lt;'Données projet'!$A$166,$DL$205^A59,IF(A59='Données projet'!$A$166,'Données projet'!$B$166,DO58+DN59-DW58)))</f>
        <v>212.30769230769221</v>
      </c>
      <c r="DP59" s="18">
        <f>DO59*VLOOKUP('Données projet'!$B$14,Paramètres!$A$1:$I$89,3,0)*VLOOKUP('Données projet'!$B$14,Paramètres!$A$1:$I$89,5,0)</f>
        <v>221.90399999999991</v>
      </c>
      <c r="DQ59" s="14">
        <f t="shared" si="43"/>
        <v>54.528502940168273</v>
      </c>
      <c r="DR59" s="22">
        <f t="shared" si="16"/>
        <v>481.45327595412624</v>
      </c>
      <c r="DS59" s="60">
        <f t="shared" si="17"/>
        <v>774.78660928745956</v>
      </c>
      <c r="DT59" s="60">
        <f ca="1">AVERAGE(OFFSET($DS$3,0,0,'Données projet'!$E$14+1,1))-AVERAGE(OFFSET($H$3,0,0,'Données projet'!$E$14+1,1))</f>
        <v>493.70175665335978</v>
      </c>
      <c r="DU59" s="60">
        <f t="shared" si="44"/>
        <v>325.12357781685949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4.2</v>
      </c>
      <c r="EJ59" s="13">
        <f>IF('Données projet'!$A$192&gt;35,EJ58+EI59-ER58,IF(A59&lt;'Données projet'!$A$192,$EG$205^A59,IF(A59='Données projet'!$A$192,'Données projet'!$B$192,EJ58+EI59-ER58)))</f>
        <v>143.19999999999996</v>
      </c>
      <c r="EK59" s="18">
        <f>EJ59*VLOOKUP('Données projet'!$B$15,Paramètres!$A$1:$I$89,3,0)*VLOOKUP('Données projet'!$B$15,Paramètres!$A$1:$I$89,5,0)</f>
        <v>116.16383999999998</v>
      </c>
      <c r="EL59" s="14">
        <f t="shared" si="45"/>
        <v>30.778593163150692</v>
      </c>
      <c r="EM59" s="22">
        <f t="shared" si="19"/>
        <v>255.92473775915406</v>
      </c>
      <c r="EN59" s="60">
        <f t="shared" si="20"/>
        <v>549.2580710924874</v>
      </c>
      <c r="EO59" s="60">
        <f ca="1">AVERAGE(OFFSET($EN$3,0,0,'Données projet'!$E$15+1,1))-AVERAGE(OFFSET($H$3,0,0,'Données projet'!$E$15+1,1))</f>
        <v>236.22643401787644</v>
      </c>
      <c r="EP59" s="60">
        <f t="shared" si="46"/>
        <v>188.80444043778022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3.8</v>
      </c>
      <c r="FE59" s="13">
        <f>IF('Données projet'!$A$218&gt;35,FE58+FD59-FM58,IF(A59&lt;'Données projet'!$A$218,$FB$205^A59,IF(A59='Données projet'!$A$218,'Données projet'!$B$218,FE58+FD59-FM58)))</f>
        <v>99.799999999999969</v>
      </c>
      <c r="FF59" s="18">
        <f>FE59*VLOOKUP('Données projet'!$B$16,Paramètres!$A$1:$I$89,3,0)*VLOOKUP('Données projet'!$B$16,Paramètres!$A$1:$I$89,5,0)</f>
        <v>96.526559999999975</v>
      </c>
      <c r="FG59" s="14">
        <f t="shared" si="47"/>
        <v>26.132803512664371</v>
      </c>
      <c r="FH59" s="22">
        <f t="shared" si="22"/>
        <v>213.63172478455704</v>
      </c>
      <c r="FI59" s="60">
        <f t="shared" si="23"/>
        <v>506.96505811789035</v>
      </c>
      <c r="FJ59" s="60">
        <f ca="1">AVERAGE(OFFSET($FI$3,0,0,'Données projet'!$E$16+1,1))-AVERAGE(OFFSET($H$3,0,0,'Données projet'!$E$16+1,1))</f>
        <v>255.59755832175625</v>
      </c>
      <c r="FK59" s="60">
        <f t="shared" si="48"/>
        <v>154.0840647586964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0" t="e">
        <f t="shared" si="26"/>
        <v>#N/A</v>
      </c>
      <c r="GE59" s="60" t="e">
        <f ca="1">AVERAGE(OFFSET($GD$3,0,0,'Données projet'!$E$17+1,1))-AVERAGE(OFFSET($H$3,0,0,'Données projet'!$E$17+1,1))</f>
        <v>#N/A</v>
      </c>
      <c r="GF59" s="60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7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0" t="e">
        <f t="shared" si="29"/>
        <v>#N/A</v>
      </c>
      <c r="GZ59" s="60" t="e">
        <f ca="1">AVERAGE(OFFSET($GY$3,0,0,'Données projet'!$E$18+1,1))-AVERAGE(OFFSET($H$3,0,0,'Données projet'!$E$18+1,1))</f>
        <v>#N/A</v>
      </c>
      <c r="HA59" s="60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5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68">
        <f t="shared" si="1"/>
        <v>256.66666666666669</v>
      </c>
      <c r="I60" s="7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0" t="e">
        <f t="shared" si="0"/>
        <v>#NUM!</v>
      </c>
      <c r="S60" s="60">
        <f ca="1">AVERAGE(OFFSET($R$3,0,0,'Données projet'!$E$9+1,1))-AVERAGE(OFFSET($H$3,0,0,'Données projet'!$E$9+1,1))</f>
        <v>64.775385872852041</v>
      </c>
      <c r="T60" s="60">
        <f t="shared" si="34"/>
        <v>201.69061202990468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18.825966555533288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5.214814196881801E-6</v>
      </c>
      <c r="AC60" s="24">
        <f t="shared" si="3"/>
        <v>18.825971770347486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215.17080000000001</v>
      </c>
      <c r="AK60" s="14">
        <f t="shared" si="35"/>
        <v>53.063930965723607</v>
      </c>
      <c r="AL60" s="22">
        <f t="shared" si="4"/>
        <v>467.17548976530185</v>
      </c>
      <c r="AM60" s="60">
        <f t="shared" si="5"/>
        <v>760.50882309863516</v>
      </c>
      <c r="AN60" s="60">
        <f ca="1">AVERAGE(OFFSET($AM$3,0,0,'Données projet'!$E$10+1,1))-AVERAGE(OFFSET($H$3,0,0,'Données projet'!$E$10+1,1))</f>
        <v>475.47920969424894</v>
      </c>
      <c r="AO60" s="60">
        <f t="shared" si="36"/>
        <v>271.73544012419364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7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10.464423076923076</v>
      </c>
      <c r="BD60" s="13">
        <f>IF('Données projet'!$A$88&gt;35,BD59+BC60-BL59,IF(A60&lt;'Données projet'!$A$88,$BA$205^A60,IF(A60='Données projet'!$A$88,'Données projet'!$B$88,BD59+BC60-BL59)))</f>
        <v>322.10673076923086</v>
      </c>
      <c r="BE60" s="14">
        <f>BD60*VLOOKUP('Données projet'!$B$11,Paramètres!$A$1:$I$89,3,0)*VLOOKUP('Données projet'!$B$11,Paramètres!$A$1:$I$89,5,0)</f>
        <v>192.61982500000008</v>
      </c>
      <c r="BF60" s="14">
        <f t="shared" si="37"/>
        <v>48.118696520369063</v>
      </c>
      <c r="BG60" s="22">
        <f t="shared" si="7"/>
        <v>419.28625831464296</v>
      </c>
      <c r="BH60" s="60">
        <f t="shared" si="8"/>
        <v>712.61959164797622</v>
      </c>
      <c r="BI60" s="60">
        <f ca="1">AVERAGE(OFFSET($BH$3,0,0,'Données projet'!$E$11+1,1))-AVERAGE(OFFSET($H$3,0,0,'Données projet'!$E$11+1,1))</f>
        <v>260.02504691866199</v>
      </c>
      <c r="BJ60" s="60">
        <f t="shared" si="38"/>
        <v>270.11268336406368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5.8632358595002785</v>
      </c>
      <c r="BQ60" s="23">
        <f>EXP(-LN(2)/25)*BQ59+(1-EXP(-LN(2)/25))/(LN(2)/25)*Calculateur!BL60*Calculateur!BN60*VLOOKUP('Données projet'!$B$11,Paramètres!$A$1:$I$89,3,0)*0.475*44/12</f>
        <v>7.7747194529842094</v>
      </c>
      <c r="BR60" s="23">
        <f>EXP(-LN(2)/2)*BR59+(1-EXP(-LN(2)/2))/(LN(2)/2)*BL60*BO60*VLOOKUP('Données projet'!$B$11,Paramètres!$A$1:$I$89,3,0)*0.475*44/12</f>
        <v>5.472447970362095E-4</v>
      </c>
      <c r="BS60" s="24">
        <f t="shared" si="9"/>
        <v>13.638502557281525</v>
      </c>
      <c r="BT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10.763461538461542</v>
      </c>
      <c r="BY60" s="13">
        <f>IF('Données projet'!$A$114&gt;35,BY59+BX60-CG59,IF(A60&lt;'Données projet'!$A$114,$BV$205^A60,IF(A60='Données projet'!$A$114,'Données projet'!$B$114,BY59+BX60-CG59)))</f>
        <v>286.11153846153843</v>
      </c>
      <c r="BZ60" s="14">
        <f>BY60*VLOOKUP('Données projet'!$B$12,Paramètres!$A$1:$I$89,3,0)*VLOOKUP('Données projet'!$B$12,Paramètres!$A$1:$I$89,5,0)</f>
        <v>133.90019999999998</v>
      </c>
      <c r="CA60" s="14">
        <f t="shared" si="39"/>
        <v>34.89602472081711</v>
      </c>
      <c r="CB60" s="22">
        <f t="shared" si="10"/>
        <v>293.98675805542308</v>
      </c>
      <c r="CC60" s="60">
        <f t="shared" si="11"/>
        <v>587.3200913887564</v>
      </c>
      <c r="CD60" s="60">
        <f ca="1">AVERAGE(OFFSET($CC$3,0,0,'Données projet'!$E$12+1,1))-AVERAGE(OFFSET($H$3,0,0,'Données projet'!$E$12+1,1))</f>
        <v>246.72166704460847</v>
      </c>
      <c r="CE60" s="60">
        <f t="shared" si="40"/>
        <v>145.54897745089966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7.6</v>
      </c>
      <c r="CT60" s="13">
        <f>IF('Données projet'!$A$140&gt;35,CT59+CS60-DB59,IF(A60&lt;'Données projet'!$A$140,$CQ$205^A60,IF(A60='Données projet'!$A$140,'Données projet'!$B$140,CT59+CS60-DB59)))</f>
        <v>212.2</v>
      </c>
      <c r="CU60" s="18">
        <f>CT60*VLOOKUP('Données projet'!$B$13,Paramètres!$A$1:$I$89,3,0)*VLOOKUP('Données projet'!$B$13,Paramètres!$A$1:$I$89,5,0)</f>
        <v>191.99855999999997</v>
      </c>
      <c r="CV60" s="14">
        <f t="shared" si="41"/>
        <v>47.981536645873334</v>
      </c>
      <c r="CW60" s="22">
        <f t="shared" si="13"/>
        <v>417.96533499156266</v>
      </c>
      <c r="CX60" s="60">
        <f t="shared" si="14"/>
        <v>711.29866832489597</v>
      </c>
      <c r="CY60" s="60">
        <f ca="1">AVERAGE(OFFSET($CX$3,0,0,'Données projet'!$E$13+1,1))-AVERAGE(OFFSET($H$3,0,0,'Données projet'!$E$13+1,1))</f>
        <v>428.8489304403459</v>
      </c>
      <c r="CZ60" s="60">
        <f t="shared" si="42"/>
        <v>247.01165577562966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5.2564102564102537</v>
      </c>
      <c r="DO60" s="13">
        <f>IF('Données projet'!$A$166&gt;35,DO59+DN60-DW59,IF(A60&lt;'Données projet'!$A$166,$DL$205^A60,IF(A60='Données projet'!$A$166,'Données projet'!$B$166,DO59+DN60-DW59)))</f>
        <v>217.56410256410246</v>
      </c>
      <c r="DP60" s="18">
        <f>DO60*VLOOKUP('Données projet'!$B$14,Paramètres!$A$1:$I$89,3,0)*VLOOKUP('Données projet'!$B$14,Paramètres!$A$1:$I$89,5,0)</f>
        <v>227.39799999999991</v>
      </c>
      <c r="DQ60" s="14">
        <f t="shared" si="43"/>
        <v>55.719696292134515</v>
      </c>
      <c r="DR60" s="22">
        <f t="shared" si="16"/>
        <v>493.09665437546749</v>
      </c>
      <c r="DS60" s="60">
        <f t="shared" si="17"/>
        <v>786.42998770880081</v>
      </c>
      <c r="DT60" s="60">
        <f ca="1">AVERAGE(OFFSET($DS$3,0,0,'Données projet'!$E$14+1,1))-AVERAGE(OFFSET($H$3,0,0,'Données projet'!$E$14+1,1))</f>
        <v>493.70175665335978</v>
      </c>
      <c r="DU60" s="60">
        <f t="shared" si="44"/>
        <v>325.12357781685949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4.2</v>
      </c>
      <c r="EJ60" s="13">
        <f>IF('Données projet'!$A$192&gt;35,EJ59+EI60-ER59,IF(A60&lt;'Données projet'!$A$192,$EG$205^A60,IF(A60='Données projet'!$A$192,'Données projet'!$B$192,EJ59+EI60-ER59)))</f>
        <v>147.39999999999995</v>
      </c>
      <c r="EK60" s="18">
        <f>EJ60*VLOOKUP('Données projet'!$B$15,Paramètres!$A$1:$I$89,3,0)*VLOOKUP('Données projet'!$B$15,Paramètres!$A$1:$I$89,5,0)</f>
        <v>119.57087999999997</v>
      </c>
      <c r="EL60" s="14">
        <f t="shared" si="45"/>
        <v>31.574893243250646</v>
      </c>
      <c r="EM60" s="22">
        <f t="shared" si="19"/>
        <v>263.24555506532818</v>
      </c>
      <c r="EN60" s="60">
        <f t="shared" si="20"/>
        <v>556.57888839866155</v>
      </c>
      <c r="EO60" s="60">
        <f ca="1">AVERAGE(OFFSET($EN$3,0,0,'Données projet'!$E$15+1,1))-AVERAGE(OFFSET($H$3,0,0,'Données projet'!$E$15+1,1))</f>
        <v>236.22643401787644</v>
      </c>
      <c r="EP60" s="60">
        <f t="shared" si="46"/>
        <v>188.80444043778022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3.8</v>
      </c>
      <c r="FE60" s="13">
        <f>IF('Données projet'!$A$218&gt;35,FE59+FD60-FM59,IF(A60&lt;'Données projet'!$A$218,$FB$205^A60,IF(A60='Données projet'!$A$218,'Données projet'!$B$218,FE59+FD60-FM59)))</f>
        <v>103.59999999999997</v>
      </c>
      <c r="FF60" s="18">
        <f>FE60*VLOOKUP('Données projet'!$B$16,Paramètres!$A$1:$I$89,3,0)*VLOOKUP('Données projet'!$B$16,Paramètres!$A$1:$I$89,5,0)</f>
        <v>100.20191999999999</v>
      </c>
      <c r="FG60" s="14">
        <f t="shared" si="47"/>
        <v>27.010096555049586</v>
      </c>
      <c r="FH60" s="22">
        <f t="shared" si="22"/>
        <v>221.56092883337803</v>
      </c>
      <c r="FI60" s="60">
        <f t="shared" si="23"/>
        <v>514.89426216671131</v>
      </c>
      <c r="FJ60" s="60">
        <f ca="1">AVERAGE(OFFSET($FI$3,0,0,'Données projet'!$E$16+1,1))-AVERAGE(OFFSET($H$3,0,0,'Données projet'!$E$16+1,1))</f>
        <v>255.59755832175625</v>
      </c>
      <c r="FK60" s="60">
        <f t="shared" si="48"/>
        <v>154.0840647586964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0" t="e">
        <f t="shared" si="26"/>
        <v>#N/A</v>
      </c>
      <c r="GE60" s="60" t="e">
        <f ca="1">AVERAGE(OFFSET($GD$3,0,0,'Données projet'!$E$17+1,1))-AVERAGE(OFFSET($H$3,0,0,'Données projet'!$E$17+1,1))</f>
        <v>#N/A</v>
      </c>
      <c r="GF60" s="60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7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0" t="e">
        <f t="shared" si="29"/>
        <v>#N/A</v>
      </c>
      <c r="GZ60" s="60" t="e">
        <f ca="1">AVERAGE(OFFSET($GY$3,0,0,'Données projet'!$E$18+1,1))-AVERAGE(OFFSET($H$3,0,0,'Données projet'!$E$18+1,1))</f>
        <v>#N/A</v>
      </c>
      <c r="HA60" s="60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5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68">
        <f t="shared" si="1"/>
        <v>256.66666666666669</v>
      </c>
      <c r="I61" s="7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0" t="e">
        <f t="shared" si="0"/>
        <v>#NUM!</v>
      </c>
      <c r="S61" s="60">
        <f ca="1">AVERAGE(OFFSET($R$3,0,0,'Données projet'!$E$9+1,1))-AVERAGE(OFFSET($H$3,0,0,'Données projet'!$E$9+1,1))</f>
        <v>64.775385872852041</v>
      </c>
      <c r="T61" s="60">
        <f t="shared" si="34"/>
        <v>201.69061202990468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18.456800834085055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3.6874304812430014E-6</v>
      </c>
      <c r="AC61" s="24">
        <f t="shared" si="3"/>
        <v>18.456804521515537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222.87720000000002</v>
      </c>
      <c r="AK61" s="14">
        <f t="shared" si="35"/>
        <v>54.739757243913829</v>
      </c>
      <c r="AL61" s="22">
        <f t="shared" si="4"/>
        <v>483.51620053314986</v>
      </c>
      <c r="AM61" s="60">
        <f t="shared" si="5"/>
        <v>776.84953386648317</v>
      </c>
      <c r="AN61" s="60">
        <f ca="1">AVERAGE(OFFSET($AM$3,0,0,'Données projet'!$E$10+1,1))-AVERAGE(OFFSET($H$3,0,0,'Données projet'!$E$10+1,1))</f>
        <v>475.47920969424894</v>
      </c>
      <c r="AO61" s="60">
        <f t="shared" si="36"/>
        <v>271.73544012419364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7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10.464423076923076</v>
      </c>
      <c r="BD61" s="13">
        <f>IF('Données projet'!$A$88&gt;35,BD60+BC61-BL60,IF(A61&lt;'Données projet'!$A$88,$BA$205^A61,IF(A61='Données projet'!$A$88,'Données projet'!$B$88,BD60+BC61-BL60)))</f>
        <v>332.57115384615395</v>
      </c>
      <c r="BE61" s="14">
        <f>BD61*VLOOKUP('Données projet'!$B$11,Paramètres!$A$1:$I$89,3,0)*VLOOKUP('Données projet'!$B$11,Paramètres!$A$1:$I$89,5,0)</f>
        <v>198.87755000000007</v>
      </c>
      <c r="BF61" s="14">
        <f t="shared" si="37"/>
        <v>49.49740644579321</v>
      </c>
      <c r="BG61" s="22">
        <f t="shared" si="7"/>
        <v>432.5863824764233</v>
      </c>
      <c r="BH61" s="60">
        <f t="shared" si="8"/>
        <v>725.91971580975655</v>
      </c>
      <c r="BI61" s="60">
        <f ca="1">AVERAGE(OFFSET($BH$3,0,0,'Données projet'!$E$11+1,1))-AVERAGE(OFFSET($H$3,0,0,'Données projet'!$E$11+1,1))</f>
        <v>260.02504691866199</v>
      </c>
      <c r="BJ61" s="60">
        <f t="shared" si="38"/>
        <v>270.11268336406368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5.7482613805162295</v>
      </c>
      <c r="BQ61" s="23">
        <f>EXP(-LN(2)/25)*BQ60+(1-EXP(-LN(2)/25))/(LN(2)/25)*Calculateur!BL61*Calculateur!BN61*VLOOKUP('Données projet'!$B$11,Paramètres!$A$1:$I$89,3,0)*0.475*44/12</f>
        <v>7.5621193406876293</v>
      </c>
      <c r="BR61" s="23">
        <f>EXP(-LN(2)/2)*BR60+(1-EXP(-LN(2)/2))/(LN(2)/2)*BL61*BO61*VLOOKUP('Données projet'!$B$11,Paramètres!$A$1:$I$89,3,0)*0.475*44/12</f>
        <v>3.869605069533596E-4</v>
      </c>
      <c r="BS61" s="24">
        <f t="shared" si="9"/>
        <v>13.310767681710812</v>
      </c>
      <c r="BT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10.763461538461542</v>
      </c>
      <c r="BY61" s="13">
        <f>IF('Données projet'!$A$114&gt;35,BY60+BX61-CG60,IF(A61&lt;'Données projet'!$A$114,$BV$205^A61,IF(A61='Données projet'!$A$114,'Données projet'!$B$114,BY60+BX61-CG60)))</f>
        <v>296.875</v>
      </c>
      <c r="BZ61" s="14">
        <f>BY61*VLOOKUP('Données projet'!$B$12,Paramètres!$A$1:$I$89,3,0)*VLOOKUP('Données projet'!$B$12,Paramètres!$A$1:$I$89,5,0)</f>
        <v>138.9375</v>
      </c>
      <c r="CA61" s="14">
        <f t="shared" si="39"/>
        <v>36.053493849661677</v>
      </c>
      <c r="CB61" s="22">
        <f t="shared" si="10"/>
        <v>304.77598095482739</v>
      </c>
      <c r="CC61" s="60">
        <f t="shared" si="11"/>
        <v>598.1093142881607</v>
      </c>
      <c r="CD61" s="60">
        <f ca="1">AVERAGE(OFFSET($CC$3,0,0,'Données projet'!$E$12+1,1))-AVERAGE(OFFSET($H$3,0,0,'Données projet'!$E$12+1,1))</f>
        <v>246.72166704460847</v>
      </c>
      <c r="CE61" s="60">
        <f t="shared" si="40"/>
        <v>145.54897745089966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7.6</v>
      </c>
      <c r="CT61" s="13">
        <f>IF('Données projet'!$A$140&gt;35,CT60+CS61-DB60,IF(A61&lt;'Données projet'!$A$140,$CQ$205^A61,IF(A61='Données projet'!$A$140,'Données projet'!$B$140,CT60+CS61-DB60)))</f>
        <v>219.79999999999998</v>
      </c>
      <c r="CU61" s="18">
        <f>CT61*VLOOKUP('Données projet'!$B$13,Paramètres!$A$1:$I$89,3,0)*VLOOKUP('Données projet'!$B$13,Paramètres!$A$1:$I$89,5,0)</f>
        <v>198.87503999999998</v>
      </c>
      <c r="CV61" s="14">
        <f t="shared" si="41"/>
        <v>49.496854461868558</v>
      </c>
      <c r="CW61" s="22">
        <f t="shared" si="13"/>
        <v>432.58104952108766</v>
      </c>
      <c r="CX61" s="60">
        <f t="shared" si="14"/>
        <v>725.91438285442098</v>
      </c>
      <c r="CY61" s="60">
        <f ca="1">AVERAGE(OFFSET($CX$3,0,0,'Données projet'!$E$13+1,1))-AVERAGE(OFFSET($H$3,0,0,'Données projet'!$E$13+1,1))</f>
        <v>428.8489304403459</v>
      </c>
      <c r="CZ61" s="60">
        <f t="shared" si="42"/>
        <v>247.01165577562966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5.2564102564102537</v>
      </c>
      <c r="DO61" s="13">
        <f>IF('Données projet'!$A$166&gt;35,DO60+DN61-DW60,IF(A61&lt;'Données projet'!$A$166,$DL$205^A61,IF(A61='Données projet'!$A$166,'Données projet'!$B$166,DO60+DN61-DW60)))</f>
        <v>222.8205128205127</v>
      </c>
      <c r="DP61" s="18">
        <f>DO61*VLOOKUP('Données projet'!$B$14,Paramètres!$A$1:$I$89,3,0)*VLOOKUP('Données projet'!$B$14,Paramètres!$A$1:$I$89,5,0)</f>
        <v>232.89199999999991</v>
      </c>
      <c r="DQ61" s="14">
        <f t="shared" si="43"/>
        <v>56.907544064397435</v>
      </c>
      <c r="DR61" s="22">
        <f t="shared" si="16"/>
        <v>504.73420591215864</v>
      </c>
      <c r="DS61" s="60">
        <f t="shared" si="17"/>
        <v>798.06753924549196</v>
      </c>
      <c r="DT61" s="60">
        <f ca="1">AVERAGE(OFFSET($DS$3,0,0,'Données projet'!$E$14+1,1))-AVERAGE(OFFSET($H$3,0,0,'Données projet'!$E$14+1,1))</f>
        <v>493.70175665335978</v>
      </c>
      <c r="DU61" s="60">
        <f t="shared" si="44"/>
        <v>325.12357781685949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4.2</v>
      </c>
      <c r="EJ61" s="13">
        <f>IF('Données projet'!$A$192&gt;35,EJ60+EI61-ER60,IF(A61&lt;'Données projet'!$A$192,$EG$205^A61,IF(A61='Données projet'!$A$192,'Données projet'!$B$192,EJ60+EI61-ER60)))</f>
        <v>151.59999999999994</v>
      </c>
      <c r="EK61" s="18">
        <f>EJ61*VLOOKUP('Données projet'!$B$15,Paramètres!$A$1:$I$89,3,0)*VLOOKUP('Données projet'!$B$15,Paramètres!$A$1:$I$89,5,0)</f>
        <v>122.97791999999995</v>
      </c>
      <c r="EL61" s="14">
        <f t="shared" si="45"/>
        <v>32.36855624133463</v>
      </c>
      <c r="EM61" s="22">
        <f t="shared" si="19"/>
        <v>270.56177945365772</v>
      </c>
      <c r="EN61" s="60">
        <f t="shared" si="20"/>
        <v>563.89511278699104</v>
      </c>
      <c r="EO61" s="60">
        <f ca="1">AVERAGE(OFFSET($EN$3,0,0,'Données projet'!$E$15+1,1))-AVERAGE(OFFSET($H$3,0,0,'Données projet'!$E$15+1,1))</f>
        <v>236.22643401787644</v>
      </c>
      <c r="EP61" s="60">
        <f t="shared" si="46"/>
        <v>188.80444043778022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3.8</v>
      </c>
      <c r="FE61" s="13">
        <f>IF('Données projet'!$A$218&gt;35,FE60+FD61-FM60,IF(A61&lt;'Données projet'!$A$218,$FB$205^A61,IF(A61='Données projet'!$A$218,'Données projet'!$B$218,FE60+FD61-FM60)))</f>
        <v>107.39999999999996</v>
      </c>
      <c r="FF61" s="18">
        <f>FE61*VLOOKUP('Données projet'!$B$16,Paramètres!$A$1:$I$89,3,0)*VLOOKUP('Données projet'!$B$16,Paramètres!$A$1:$I$89,5,0)</f>
        <v>103.87727999999997</v>
      </c>
      <c r="FG61" s="14">
        <f t="shared" si="47"/>
        <v>27.883651095560136</v>
      </c>
      <c r="FH61" s="22">
        <f t="shared" si="22"/>
        <v>229.48362165810047</v>
      </c>
      <c r="FI61" s="60">
        <f t="shared" si="23"/>
        <v>522.81695499143382</v>
      </c>
      <c r="FJ61" s="60">
        <f ca="1">AVERAGE(OFFSET($FI$3,0,0,'Données projet'!$E$16+1,1))-AVERAGE(OFFSET($H$3,0,0,'Données projet'!$E$16+1,1))</f>
        <v>255.59755832175625</v>
      </c>
      <c r="FK61" s="60">
        <f t="shared" si="48"/>
        <v>154.0840647586964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0" t="e">
        <f t="shared" si="26"/>
        <v>#N/A</v>
      </c>
      <c r="GE61" s="60" t="e">
        <f ca="1">AVERAGE(OFFSET($GD$3,0,0,'Données projet'!$E$17+1,1))-AVERAGE(OFFSET($H$3,0,0,'Données projet'!$E$17+1,1))</f>
        <v>#N/A</v>
      </c>
      <c r="GF61" s="60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7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0" t="e">
        <f t="shared" si="29"/>
        <v>#N/A</v>
      </c>
      <c r="GZ61" s="60" t="e">
        <f ca="1">AVERAGE(OFFSET($GY$3,0,0,'Données projet'!$E$18+1,1))-AVERAGE(OFFSET($H$3,0,0,'Données projet'!$E$18+1,1))</f>
        <v>#N/A</v>
      </c>
      <c r="HA61" s="60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5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68">
        <f t="shared" si="1"/>
        <v>256.66666666666669</v>
      </c>
      <c r="I62" s="7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0" t="e">
        <f t="shared" si="0"/>
        <v>#NUM!</v>
      </c>
      <c r="S62" s="60">
        <f ca="1">AVERAGE(OFFSET($R$3,0,0,'Données projet'!$E$9+1,1))-AVERAGE(OFFSET($H$3,0,0,'Données projet'!$E$9+1,1))</f>
        <v>64.775385872852041</v>
      </c>
      <c r="T62" s="60">
        <f t="shared" si="34"/>
        <v>201.69061202990468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18.094874227265567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2.6074070984409009E-6</v>
      </c>
      <c r="AC62" s="24">
        <f t="shared" si="3"/>
        <v>18.094876834672665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230.58360000000002</v>
      </c>
      <c r="AK62" s="14">
        <f t="shared" si="35"/>
        <v>56.408850878327968</v>
      </c>
      <c r="AL62" s="22">
        <f t="shared" si="4"/>
        <v>499.8451852797545</v>
      </c>
      <c r="AM62" s="60">
        <f t="shared" si="5"/>
        <v>793.17851861308782</v>
      </c>
      <c r="AN62" s="60">
        <f ca="1">AVERAGE(OFFSET($AM$3,0,0,'Données projet'!$E$10+1,1))-AVERAGE(OFFSET($H$3,0,0,'Données projet'!$E$10+1,1))</f>
        <v>475.47920969424894</v>
      </c>
      <c r="AO62" s="60">
        <f t="shared" si="36"/>
        <v>271.73544012419364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7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10.464423076923076</v>
      </c>
      <c r="BD62" s="13">
        <f>IF('Données projet'!$A$88&gt;35,BD61+BC62-BL61,IF(A62&lt;'Données projet'!$A$88,$BA$205^A62,IF(A62='Données projet'!$A$88,'Données projet'!$B$88,BD61+BC62-BL61)))</f>
        <v>343.03557692307703</v>
      </c>
      <c r="BE62" s="14">
        <f>BD62*VLOOKUP('Données projet'!$B$11,Paramètres!$A$1:$I$89,3,0)*VLOOKUP('Données projet'!$B$11,Paramètres!$A$1:$I$89,5,0)</f>
        <v>205.13527500000006</v>
      </c>
      <c r="BF62" s="14">
        <f t="shared" si="37"/>
        <v>50.871075132713329</v>
      </c>
      <c r="BG62" s="22">
        <f t="shared" si="7"/>
        <v>445.87772648114247</v>
      </c>
      <c r="BH62" s="60">
        <f t="shared" si="8"/>
        <v>739.21105981447579</v>
      </c>
      <c r="BI62" s="60">
        <f ca="1">AVERAGE(OFFSET($BH$3,0,0,'Données projet'!$E$11+1,1))-AVERAGE(OFFSET($H$3,0,0,'Données projet'!$E$11+1,1))</f>
        <v>260.02504691866199</v>
      </c>
      <c r="BJ62" s="60">
        <f t="shared" si="38"/>
        <v>270.11268336406368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5.6355414809375501</v>
      </c>
      <c r="BQ62" s="23">
        <f>EXP(-LN(2)/25)*BQ61+(1-EXP(-LN(2)/25))/(LN(2)/25)*Calculateur!BL62*Calculateur!BN62*VLOOKUP('Données projet'!$B$11,Paramètres!$A$1:$I$89,3,0)*0.475*44/12</f>
        <v>7.3553327896419534</v>
      </c>
      <c r="BR62" s="23">
        <f>EXP(-LN(2)/2)*BR61+(1-EXP(-LN(2)/2))/(LN(2)/2)*BL62*BO62*VLOOKUP('Données projet'!$B$11,Paramètres!$A$1:$I$89,3,0)*0.475*44/12</f>
        <v>2.7362239851810475E-4</v>
      </c>
      <c r="BS62" s="24">
        <f t="shared" si="9"/>
        <v>12.991147892978022</v>
      </c>
      <c r="BT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10.763461538461542</v>
      </c>
      <c r="BY62" s="13">
        <f>IF('Données projet'!$A$114&gt;35,BY61+BX62-CG61,IF(A62&lt;'Données projet'!$A$114,$BV$205^A62,IF(A62='Données projet'!$A$114,'Données projet'!$B$114,BY61+BX62-CG61)))</f>
        <v>307.63846153846157</v>
      </c>
      <c r="BZ62" s="14">
        <f>BY62*VLOOKUP('Données projet'!$B$12,Paramètres!$A$1:$I$89,3,0)*VLOOKUP('Données projet'!$B$12,Paramètres!$A$1:$I$89,5,0)</f>
        <v>143.97480000000002</v>
      </c>
      <c r="CA62" s="14">
        <f t="shared" si="39"/>
        <v>37.206087411055172</v>
      </c>
      <c r="CB62" s="22">
        <f t="shared" si="10"/>
        <v>315.55671224092112</v>
      </c>
      <c r="CC62" s="60">
        <f t="shared" si="11"/>
        <v>608.89004557425437</v>
      </c>
      <c r="CD62" s="60">
        <f ca="1">AVERAGE(OFFSET($CC$3,0,0,'Données projet'!$E$12+1,1))-AVERAGE(OFFSET($H$3,0,0,'Données projet'!$E$12+1,1))</f>
        <v>246.72166704460847</v>
      </c>
      <c r="CE62" s="60">
        <f t="shared" si="40"/>
        <v>145.54897745089966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7.6</v>
      </c>
      <c r="CT62" s="13">
        <f>IF('Données projet'!$A$140&gt;35,CT61+CS62-DB61,IF(A62&lt;'Données projet'!$A$140,$CQ$205^A62,IF(A62='Données projet'!$A$140,'Données projet'!$B$140,CT61+CS62-DB61)))</f>
        <v>227.39999999999998</v>
      </c>
      <c r="CU62" s="18">
        <f>CT62*VLOOKUP('Données projet'!$B$13,Paramètres!$A$1:$I$89,3,0)*VLOOKUP('Données projet'!$B$13,Paramètres!$A$1:$I$89,5,0)</f>
        <v>205.75151999999994</v>
      </c>
      <c r="CV62" s="14">
        <f t="shared" si="41"/>
        <v>51.006084477955554</v>
      </c>
      <c r="CW62" s="22">
        <f t="shared" si="13"/>
        <v>447.18616113243911</v>
      </c>
      <c r="CX62" s="60">
        <f t="shared" si="14"/>
        <v>740.51949446577237</v>
      </c>
      <c r="CY62" s="60">
        <f ca="1">AVERAGE(OFFSET($CX$3,0,0,'Données projet'!$E$13+1,1))-AVERAGE(OFFSET($H$3,0,0,'Données projet'!$E$13+1,1))</f>
        <v>428.8489304403459</v>
      </c>
      <c r="CZ62" s="60">
        <f t="shared" si="42"/>
        <v>247.01165577562966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5.2564102564102537</v>
      </c>
      <c r="DO62" s="13">
        <f>IF('Données projet'!$A$166&gt;35,DO61+DN62-DW61,IF(A62&lt;'Données projet'!$A$166,$DL$205^A62,IF(A62='Données projet'!$A$166,'Données projet'!$B$166,DO61+DN62-DW61)))</f>
        <v>228.07692307692295</v>
      </c>
      <c r="DP62" s="18">
        <f>DO62*VLOOKUP('Données projet'!$B$14,Paramètres!$A$1:$I$89,3,0)*VLOOKUP('Données projet'!$B$14,Paramètres!$A$1:$I$89,5,0)</f>
        <v>238.38599999999991</v>
      </c>
      <c r="DQ62" s="14">
        <f t="shared" si="43"/>
        <v>58.092134262616966</v>
      </c>
      <c r="DR62" s="22">
        <f t="shared" si="16"/>
        <v>516.3660838407244</v>
      </c>
      <c r="DS62" s="60">
        <f t="shared" si="17"/>
        <v>809.69941717405777</v>
      </c>
      <c r="DT62" s="60">
        <f ca="1">AVERAGE(OFFSET($DS$3,0,0,'Données projet'!$E$14+1,1))-AVERAGE(OFFSET($H$3,0,0,'Données projet'!$E$14+1,1))</f>
        <v>493.70175665335978</v>
      </c>
      <c r="DU62" s="60">
        <f t="shared" si="44"/>
        <v>325.12357781685949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4.2</v>
      </c>
      <c r="EJ62" s="13">
        <f>IF('Données projet'!$A$192&gt;35,EJ61+EI62-ER61,IF(A62&lt;'Données projet'!$A$192,$EG$205^A62,IF(A62='Données projet'!$A$192,'Données projet'!$B$192,EJ61+EI62-ER61)))</f>
        <v>155.79999999999993</v>
      </c>
      <c r="EK62" s="18">
        <f>EJ62*VLOOKUP('Données projet'!$B$15,Paramètres!$A$1:$I$89,3,0)*VLOOKUP('Données projet'!$B$15,Paramètres!$A$1:$I$89,5,0)</f>
        <v>126.38495999999995</v>
      </c>
      <c r="EL62" s="14">
        <f t="shared" si="45"/>
        <v>33.15966361020606</v>
      </c>
      <c r="EM62" s="22">
        <f t="shared" si="19"/>
        <v>277.87355278777545</v>
      </c>
      <c r="EN62" s="60">
        <f t="shared" si="20"/>
        <v>571.20688612110871</v>
      </c>
      <c r="EO62" s="60">
        <f ca="1">AVERAGE(OFFSET($EN$3,0,0,'Données projet'!$E$15+1,1))-AVERAGE(OFFSET($H$3,0,0,'Données projet'!$E$15+1,1))</f>
        <v>236.22643401787644</v>
      </c>
      <c r="EP62" s="60">
        <f t="shared" si="46"/>
        <v>188.80444043778022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3.8</v>
      </c>
      <c r="FE62" s="13">
        <f>IF('Données projet'!$A$218&gt;35,FE61+FD62-FM61,IF(A62&lt;'Données projet'!$A$218,$FB$205^A62,IF(A62='Données projet'!$A$218,'Données projet'!$B$218,FE61+FD62-FM61)))</f>
        <v>111.19999999999996</v>
      </c>
      <c r="FF62" s="18">
        <f>FE62*VLOOKUP('Données projet'!$B$16,Paramètres!$A$1:$I$89,3,0)*VLOOKUP('Données projet'!$B$16,Paramètres!$A$1:$I$89,5,0)</f>
        <v>107.55263999999997</v>
      </c>
      <c r="FG62" s="14">
        <f t="shared" si="47"/>
        <v>28.753614564587743</v>
      </c>
      <c r="FH62" s="22">
        <f t="shared" si="22"/>
        <v>237.40006003332357</v>
      </c>
      <c r="FI62" s="60">
        <f t="shared" si="23"/>
        <v>530.73339336665686</v>
      </c>
      <c r="FJ62" s="60">
        <f ca="1">AVERAGE(OFFSET($FI$3,0,0,'Données projet'!$E$16+1,1))-AVERAGE(OFFSET($H$3,0,0,'Données projet'!$E$16+1,1))</f>
        <v>255.59755832175625</v>
      </c>
      <c r="FK62" s="60">
        <f t="shared" si="48"/>
        <v>154.0840647586964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0" t="e">
        <f t="shared" si="26"/>
        <v>#N/A</v>
      </c>
      <c r="GE62" s="60" t="e">
        <f ca="1">AVERAGE(OFFSET($GD$3,0,0,'Données projet'!$E$17+1,1))-AVERAGE(OFFSET($H$3,0,0,'Données projet'!$E$17+1,1))</f>
        <v>#N/A</v>
      </c>
      <c r="GF62" s="60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7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0" t="e">
        <f t="shared" si="29"/>
        <v>#N/A</v>
      </c>
      <c r="GZ62" s="60" t="e">
        <f ca="1">AVERAGE(OFFSET($GY$3,0,0,'Données projet'!$E$18+1,1))-AVERAGE(OFFSET($H$3,0,0,'Données projet'!$E$18+1,1))</f>
        <v>#N/A</v>
      </c>
      <c r="HA62" s="60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5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68">
        <f t="shared" si="1"/>
        <v>256.66666666666669</v>
      </c>
      <c r="I63" s="7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0" t="e">
        <f t="shared" si="0"/>
        <v>#NUM!</v>
      </c>
      <c r="S63" s="60">
        <f ca="1">AVERAGE(OFFSET($R$3,0,0,'Données projet'!$E$9+1,1))-AVERAGE(OFFSET($H$3,0,0,'Données projet'!$E$9+1,1))</f>
        <v>64.775385872852041</v>
      </c>
      <c r="T63" s="60">
        <f t="shared" si="34"/>
        <v>201.69061202990468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17.740044780452376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1.8437152406215009E-6</v>
      </c>
      <c r="AC63" s="24">
        <f t="shared" si="3"/>
        <v>17.740046624167615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238.29000000000002</v>
      </c>
      <c r="AK63" s="14">
        <f t="shared" si="35"/>
        <v>58.071462681001513</v>
      </c>
      <c r="AL63" s="22">
        <f t="shared" si="4"/>
        <v>516.16288083607753</v>
      </c>
      <c r="AM63" s="60">
        <f t="shared" si="5"/>
        <v>809.49621416941091</v>
      </c>
      <c r="AN63" s="60">
        <f ca="1">AVERAGE(OFFSET($AM$3,0,0,'Données projet'!$E$10+1,1))-AVERAGE(OFFSET($H$3,0,0,'Données projet'!$E$10+1,1))</f>
        <v>475.47920969424894</v>
      </c>
      <c r="AO63" s="60">
        <f t="shared" si="36"/>
        <v>271.73544012419364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7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353.5</v>
      </c>
      <c r="BB63" s="13">
        <f>VLOOKUP(A63,'Données projet'!$A$87:$I$107,9,0)</f>
        <v>10.464423076923076</v>
      </c>
      <c r="BC63" s="13">
        <f t="array" ref="BC63">INDEX(BB:BB,MIN(IF(ISNUMBER(BB63:BB259),ROW(BB63:BB259),"")))</f>
        <v>10.464423076923076</v>
      </c>
      <c r="BD63" s="13">
        <f>IF('Données projet'!$A$88&gt;35,BD62+BC63-BL62,IF(A63&lt;'Données projet'!$A$88,$BA$205^A63,IF(A63='Données projet'!$A$88,'Données projet'!$B$88,BD62+BC63-BL62)))</f>
        <v>353.50000000000011</v>
      </c>
      <c r="BE63" s="14">
        <f>BD63*VLOOKUP('Données projet'!$B$11,Paramètres!$A$1:$I$89,3,0)*VLOOKUP('Données projet'!$B$11,Paramètres!$A$1:$I$89,5,0)</f>
        <v>211.39300000000009</v>
      </c>
      <c r="BF63" s="14">
        <f t="shared" si="37"/>
        <v>52.239874015944089</v>
      </c>
      <c r="BG63" s="22">
        <f t="shared" si="7"/>
        <v>459.16058891110282</v>
      </c>
      <c r="BH63" s="60">
        <f t="shared" si="8"/>
        <v>752.49392224443613</v>
      </c>
      <c r="BI63" s="60">
        <f ca="1">AVERAGE(OFFSET($BH$3,0,0,'Données projet'!$E$11+1,1))-AVERAGE(OFFSET($H$3,0,0,'Données projet'!$E$11+1,1))</f>
        <v>260.02504691866199</v>
      </c>
      <c r="BJ63" s="60">
        <f t="shared" si="38"/>
        <v>270.11268336406368</v>
      </c>
      <c r="BK63" s="16">
        <f>IF(ISNA(VLOOKUP(A63,'Données projet'!$A$87:$I$107,3,0)),0,VLOOKUP(A63,'Données projet'!$A$87:$I$107,3,0))</f>
        <v>7</v>
      </c>
      <c r="BL63" s="16">
        <f>IF(ISNA(VLOOKUP(A63,'Données projet'!$A$87:$I$107,4,0)),0,VLOOKUP(A63,'Données projet'!$A$87:$I$107,4,0))</f>
        <v>353.5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5.5250319498372589</v>
      </c>
      <c r="BQ63" s="23">
        <f>EXP(-LN(2)/25)*BQ62+(1-EXP(-LN(2)/25))/(LN(2)/25)*Calculateur!BL63*Calculateur!BN63*VLOOKUP('Données projet'!$B$11,Paramètres!$A$1:$I$89,3,0)*0.475*44/12</f>
        <v>7.1542008277090536</v>
      </c>
      <c r="BR63" s="23">
        <f>EXP(-LN(2)/2)*BR62+(1-EXP(-LN(2)/2))/(LN(2)/2)*BL63*BO63*VLOOKUP('Données projet'!$B$11,Paramètres!$A$1:$I$89,3,0)*0.475*44/12</f>
        <v>1.934802534766798E-4</v>
      </c>
      <c r="BS63" s="24">
        <f t="shared" si="9"/>
        <v>12.67942625779979</v>
      </c>
      <c r="BT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10.763461538461542</v>
      </c>
      <c r="BY63" s="13">
        <f>IF('Données projet'!$A$114&gt;35,BY62+BX63-CG62,IF(A63&lt;'Données projet'!$A$114,$BV$205^A63,IF(A63='Données projet'!$A$114,'Données projet'!$B$114,BY62+BX63-CG62)))</f>
        <v>318.40192307692314</v>
      </c>
      <c r="BZ63" s="14">
        <f>BY63*VLOOKUP('Données projet'!$B$12,Paramètres!$A$1:$I$89,3,0)*VLOOKUP('Données projet'!$B$12,Paramètres!$A$1:$I$89,5,0)</f>
        <v>149.01210000000003</v>
      </c>
      <c r="CA63" s="14">
        <f t="shared" si="39"/>
        <v>38.353995535783497</v>
      </c>
      <c r="CB63" s="22">
        <f t="shared" si="10"/>
        <v>326.32928305815631</v>
      </c>
      <c r="CC63" s="60">
        <f t="shared" si="11"/>
        <v>619.66261639148956</v>
      </c>
      <c r="CD63" s="60">
        <f ca="1">AVERAGE(OFFSET($CC$3,0,0,'Données projet'!$E$12+1,1))-AVERAGE(OFFSET($H$3,0,0,'Données projet'!$E$12+1,1))</f>
        <v>246.72166704460847</v>
      </c>
      <c r="CE63" s="60">
        <f t="shared" si="40"/>
        <v>145.54897745089966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235</v>
      </c>
      <c r="CR63" s="13">
        <f>VLOOKUP(A63,'Données projet'!$A$139:$I$159,9,0)</f>
        <v>7.6</v>
      </c>
      <c r="CS63" s="13">
        <f t="array" ref="CS63">INDEX(CR:CR,MIN(IF(ISNUMBER(CR63:CR259),ROW(CR63:CR259),"")))</f>
        <v>7.6</v>
      </c>
      <c r="CT63" s="13">
        <f>IF('Données projet'!$A$140&gt;35,CT62+CS63-DB62,IF(A63&lt;'Données projet'!$A$140,$CQ$205^A63,IF(A63='Données projet'!$A$140,'Données projet'!$B$140,CT62+CS63-DB62)))</f>
        <v>234.99999999999997</v>
      </c>
      <c r="CU63" s="18">
        <f>CT63*VLOOKUP('Données projet'!$B$13,Paramètres!$A$1:$I$89,3,0)*VLOOKUP('Données projet'!$B$13,Paramètres!$A$1:$I$89,5,0)</f>
        <v>212.62799999999999</v>
      </c>
      <c r="CV63" s="14">
        <f t="shared" si="41"/>
        <v>52.509453483719035</v>
      </c>
      <c r="CW63" s="22">
        <f t="shared" si="13"/>
        <v>461.78106481747727</v>
      </c>
      <c r="CX63" s="60">
        <f t="shared" si="14"/>
        <v>755.11439815081053</v>
      </c>
      <c r="CY63" s="60">
        <f ca="1">AVERAGE(OFFSET($CX$3,0,0,'Données projet'!$E$13+1,1))-AVERAGE(OFFSET($H$3,0,0,'Données projet'!$E$13+1,1))</f>
        <v>428.8489304403459</v>
      </c>
      <c r="CZ63" s="60">
        <f t="shared" si="42"/>
        <v>247.01165577562966</v>
      </c>
      <c r="DA63" s="16">
        <f>IF(ISNA(VLOOKUP(A63,'Données projet'!$A$139:$I$159,3,0)),0,VLOOKUP(A63,'Données projet'!$A$139:$I$159,3,0))</f>
        <v>4</v>
      </c>
      <c r="DB63" s="16">
        <f>IF(ISNA(VLOOKUP(A63,'Données projet'!$A$139:$I$159,4,0)),0,VLOOKUP(A63,'Données projet'!$A$139:$I$159,4,0))</f>
        <v>42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233.33333333333331</v>
      </c>
      <c r="DM63" s="13">
        <f>VLOOKUP(A63,'Données projet'!$A$165:$I$185,9,0)</f>
        <v>5.2564102564102537</v>
      </c>
      <c r="DN63" s="13">
        <f t="array" ref="DN63">INDEX(DM:DM,MIN(IF(ISNUMBER(DM63:DM259),ROW(DM63:DM259),"")))</f>
        <v>5.2564102564102537</v>
      </c>
      <c r="DO63" s="13">
        <f>IF('Données projet'!$A$166&gt;35,DO62+DN63-DW62,IF(A63&lt;'Données projet'!$A$166,$DL$205^A63,IF(A63='Données projet'!$A$166,'Données projet'!$B$166,DO62+DN63-DW62)))</f>
        <v>233.3333333333332</v>
      </c>
      <c r="DP63" s="18">
        <f>DO63*VLOOKUP('Données projet'!$B$14,Paramètres!$A$1:$I$89,3,0)*VLOOKUP('Données projet'!$B$14,Paramètres!$A$1:$I$89,5,0)</f>
        <v>243.87999999999988</v>
      </c>
      <c r="DQ63" s="14">
        <f t="shared" si="43"/>
        <v>59.2735506045045</v>
      </c>
      <c r="DR63" s="22">
        <f t="shared" si="16"/>
        <v>527.99243396951181</v>
      </c>
      <c r="DS63" s="60">
        <f t="shared" si="17"/>
        <v>821.32576730284518</v>
      </c>
      <c r="DT63" s="60">
        <f ca="1">AVERAGE(OFFSET($DS$3,0,0,'Données projet'!$E$14+1,1))-AVERAGE(OFFSET($H$3,0,0,'Données projet'!$E$14+1,1))</f>
        <v>493.70175665335978</v>
      </c>
      <c r="DU63" s="60">
        <f t="shared" si="44"/>
        <v>325.12357781685949</v>
      </c>
      <c r="DV63" s="16">
        <f>IF(ISNA(VLOOKUP(A63,'Données projet'!$A$165:$I$185,3,0)),0,VLOOKUP(A63,'Données projet'!$A$165:$I$185,3,0))</f>
        <v>4</v>
      </c>
      <c r="DW63" s="16">
        <f>IF(ISNA(VLOOKUP(A63,'Données projet'!$A$165:$I$185,4,0)),0,VLOOKUP(A63,'Données projet'!$A$165:$I$185,4,0))</f>
        <v>24.358974358974358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160</v>
      </c>
      <c r="EH63" s="13">
        <f>VLOOKUP(A63,'Données projet'!$A$191:$I$211,9,0)</f>
        <v>4.2</v>
      </c>
      <c r="EI63" s="13">
        <f t="array" ref="EI63">INDEX(EH:EH,MIN(IF(ISNUMBER(EH63:EH259),ROW(EH63:EH259),"")))</f>
        <v>4.2</v>
      </c>
      <c r="EJ63" s="13">
        <f>IF('Données projet'!$A$192&gt;35,EJ62+EI63-ER62,IF(A63&lt;'Données projet'!$A$192,$EG$205^A63,IF(A63='Données projet'!$A$192,'Données projet'!$B$192,EJ62+EI63-ER62)))</f>
        <v>159.99999999999991</v>
      </c>
      <c r="EK63" s="18">
        <f>EJ63*VLOOKUP('Données projet'!$B$15,Paramètres!$A$1:$I$89,3,0)*VLOOKUP('Données projet'!$B$15,Paramètres!$A$1:$I$89,5,0)</f>
        <v>129.79199999999994</v>
      </c>
      <c r="EL63" s="14">
        <f t="shared" si="45"/>
        <v>33.948292161114985</v>
      </c>
      <c r="EM63" s="22">
        <f t="shared" si="19"/>
        <v>285.18100884727511</v>
      </c>
      <c r="EN63" s="60">
        <f t="shared" si="20"/>
        <v>578.51434218060842</v>
      </c>
      <c r="EO63" s="60">
        <f ca="1">AVERAGE(OFFSET($EN$3,0,0,'Données projet'!$E$15+1,1))-AVERAGE(OFFSET($H$3,0,0,'Données projet'!$E$15+1,1))</f>
        <v>236.22643401787644</v>
      </c>
      <c r="EP63" s="60">
        <f t="shared" si="46"/>
        <v>188.80444043778022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115</v>
      </c>
      <c r="FC63" s="13">
        <f>VLOOKUP(A63,'Données projet'!$A$217:$I$237,9,0)</f>
        <v>3.8</v>
      </c>
      <c r="FD63" s="13">
        <f t="array" ref="FD63">INDEX(FC:FC,MIN(IF(ISNUMBER(FC63:FC259),ROW(FC63:FC259),"")))</f>
        <v>3.8</v>
      </c>
      <c r="FE63" s="13">
        <f>IF('Données projet'!$A$218&gt;35,FE62+FD63-FM62,IF(A63&lt;'Données projet'!$A$218,$FB$205^A63,IF(A63='Données projet'!$A$218,'Données projet'!$B$218,FE62+FD63-FM62)))</f>
        <v>114.99999999999996</v>
      </c>
      <c r="FF63" s="18">
        <f>FE63*VLOOKUP('Données projet'!$B$16,Paramètres!$A$1:$I$89,3,0)*VLOOKUP('Données projet'!$B$16,Paramètres!$A$1:$I$89,5,0)</f>
        <v>111.22799999999995</v>
      </c>
      <c r="FG63" s="14">
        <f t="shared" si="47"/>
        <v>29.620123744783804</v>
      </c>
      <c r="FH63" s="22">
        <f t="shared" si="22"/>
        <v>245.31048218883168</v>
      </c>
      <c r="FI63" s="60">
        <f t="shared" si="23"/>
        <v>538.64381552216503</v>
      </c>
      <c r="FJ63" s="60">
        <f ca="1">AVERAGE(OFFSET($FI$3,0,0,'Données projet'!$E$16+1,1))-AVERAGE(OFFSET($H$3,0,0,'Données projet'!$E$16+1,1))</f>
        <v>255.59755832175625</v>
      </c>
      <c r="FK63" s="60">
        <f t="shared" si="48"/>
        <v>154.0840647586964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0" t="e">
        <f t="shared" si="26"/>
        <v>#N/A</v>
      </c>
      <c r="GE63" s="60" t="e">
        <f ca="1">AVERAGE(OFFSET($GD$3,0,0,'Données projet'!$E$17+1,1))-AVERAGE(OFFSET($H$3,0,0,'Données projet'!$E$17+1,1))</f>
        <v>#N/A</v>
      </c>
      <c r="GF63" s="60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7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0" t="e">
        <f t="shared" si="29"/>
        <v>#N/A</v>
      </c>
      <c r="GZ63" s="60" t="e">
        <f ca="1">AVERAGE(OFFSET($GY$3,0,0,'Données projet'!$E$18+1,1))-AVERAGE(OFFSET($H$3,0,0,'Données projet'!$E$18+1,1))</f>
        <v>#N/A</v>
      </c>
      <c r="HA63" s="60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5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68">
        <f t="shared" si="1"/>
        <v>256.66666666666669</v>
      </c>
      <c r="I64" s="7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0" t="e">
        <f t="shared" si="0"/>
        <v>#NUM!</v>
      </c>
      <c r="S64" s="60">
        <f ca="1">AVERAGE(OFFSET($R$3,0,0,'Données projet'!$E$9+1,1))-AVERAGE(OFFSET($H$3,0,0,'Données projet'!$E$9+1,1))</f>
        <v>64.775385872852041</v>
      </c>
      <c r="T64" s="60">
        <f t="shared" si="34"/>
        <v>201.69061202990468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17.392173322666601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1.3037035492204507E-6</v>
      </c>
      <c r="AC64" s="24">
        <f t="shared" si="3"/>
        <v>17.392174626370149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203.00279999999995</v>
      </c>
      <c r="AK64" s="14">
        <f t="shared" si="35"/>
        <v>50.403518824343074</v>
      </c>
      <c r="AL64" s="22">
        <f t="shared" si="4"/>
        <v>441.3493386190641</v>
      </c>
      <c r="AM64" s="60">
        <f t="shared" si="5"/>
        <v>734.68267195239741</v>
      </c>
      <c r="AN64" s="60">
        <f ca="1">AVERAGE(OFFSET($AM$3,0,0,'Données projet'!$E$10+1,1))-AVERAGE(OFFSET($H$3,0,0,'Données projet'!$E$10+1,1))</f>
        <v>475.47920969424894</v>
      </c>
      <c r="AO64" s="60">
        <f t="shared" si="36"/>
        <v>271.73544012419364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7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6.7984728957526396E-14</v>
      </c>
      <c r="BF64" s="14">
        <f t="shared" si="37"/>
        <v>1.0682447123141398E-12</v>
      </c>
      <c r="BG64" s="22">
        <f t="shared" si="7"/>
        <v>1.978932943548152E-12</v>
      </c>
      <c r="BH64" s="60">
        <f t="shared" si="8"/>
        <v>293.3333333333353</v>
      </c>
      <c r="BI64" s="60">
        <f ca="1">AVERAGE(OFFSET($BH$3,0,0,'Données projet'!$E$11+1,1))-AVERAGE(OFFSET($H$3,0,0,'Données projet'!$E$11+1,1))</f>
        <v>260.02504691866199</v>
      </c>
      <c r="BJ64" s="60">
        <f t="shared" si="38"/>
        <v>270.11268336406368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5.4166894432376864</v>
      </c>
      <c r="BQ64" s="23">
        <f>EXP(-LN(2)/25)*BQ63+(1-EXP(-LN(2)/25))/(LN(2)/25)*Calculateur!BL64*Calculateur!BN64*VLOOKUP('Données projet'!$B$11,Paramètres!$A$1:$I$89,3,0)*0.475*44/12</f>
        <v>6.958568829852279</v>
      </c>
      <c r="BR64" s="23">
        <f>EXP(-LN(2)/2)*BR63+(1-EXP(-LN(2)/2))/(LN(2)/2)*BL64*BO64*VLOOKUP('Données projet'!$B$11,Paramètres!$A$1:$I$89,3,0)*0.475*44/12</f>
        <v>1.3681119925905238E-4</v>
      </c>
      <c r="BS64" s="24">
        <f t="shared" si="9"/>
        <v>12.375395084289224</v>
      </c>
      <c r="BT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10.763461538461542</v>
      </c>
      <c r="BY64" s="13">
        <f>IF('Données projet'!$A$114&gt;35,BY63+BX64-CG63,IF(A64&lt;'Données projet'!$A$114,$BV$205^A64,IF(A64='Données projet'!$A$114,'Données projet'!$B$114,BY63+BX64-CG63)))</f>
        <v>329.16538461538471</v>
      </c>
      <c r="BZ64" s="14">
        <f>BY64*VLOOKUP('Données projet'!$B$12,Paramètres!$A$1:$I$89,3,0)*VLOOKUP('Données projet'!$B$12,Paramètres!$A$1:$I$89,5,0)</f>
        <v>154.04940000000005</v>
      </c>
      <c r="CA64" s="14">
        <f t="shared" si="39"/>
        <v>39.497394770746702</v>
      </c>
      <c r="CB64" s="22">
        <f t="shared" si="10"/>
        <v>337.09400089238392</v>
      </c>
      <c r="CC64" s="60">
        <f t="shared" si="11"/>
        <v>630.42733422571723</v>
      </c>
      <c r="CD64" s="60">
        <f ca="1">AVERAGE(OFFSET($CC$3,0,0,'Données projet'!$E$12+1,1))-AVERAGE(OFFSET($H$3,0,0,'Données projet'!$E$12+1,1))</f>
        <v>246.72166704460847</v>
      </c>
      <c r="CE64" s="60">
        <f t="shared" si="40"/>
        <v>145.54897745089966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200.19999999999996</v>
      </c>
      <c r="CU64" s="18">
        <f>CT64*VLOOKUP('Données projet'!$B$13,Paramètres!$A$1:$I$89,3,0)*VLOOKUP('Données projet'!$B$13,Paramètres!$A$1:$I$89,5,0)</f>
        <v>181.14095999999995</v>
      </c>
      <c r="CV64" s="14">
        <f t="shared" si="41"/>
        <v>45.575935320610945</v>
      </c>
      <c r="CW64" s="22">
        <f t="shared" si="13"/>
        <v>394.86525935006392</v>
      </c>
      <c r="CX64" s="60">
        <f t="shared" si="14"/>
        <v>688.19859268339724</v>
      </c>
      <c r="CY64" s="60">
        <f ca="1">AVERAGE(OFFSET($CX$3,0,0,'Données projet'!$E$13+1,1))-AVERAGE(OFFSET($H$3,0,0,'Données projet'!$E$13+1,1))</f>
        <v>428.8489304403459</v>
      </c>
      <c r="CZ64" s="60">
        <f t="shared" si="42"/>
        <v>247.01165577562966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5.0000000000000053</v>
      </c>
      <c r="DO64" s="13">
        <f>IF('Données projet'!$A$166&gt;35,DO63+DN64-DW63,IF(A64&lt;'Données projet'!$A$166,$DL$205^A64,IF(A64='Données projet'!$A$166,'Données projet'!$B$166,DO63+DN64-DW63)))</f>
        <v>213.97435897435884</v>
      </c>
      <c r="DP64" s="18">
        <f>DO64*VLOOKUP('Données projet'!$B$14,Paramètres!$A$1:$I$89,3,0)*VLOOKUP('Données projet'!$B$14,Paramètres!$A$1:$I$89,5,0)</f>
        <v>223.64599999999987</v>
      </c>
      <c r="DQ64" s="14">
        <f t="shared" si="43"/>
        <v>54.906566144961104</v>
      </c>
      <c r="DR64" s="22">
        <f t="shared" si="16"/>
        <v>485.14571936914029</v>
      </c>
      <c r="DS64" s="60">
        <f t="shared" si="17"/>
        <v>778.47905270247361</v>
      </c>
      <c r="DT64" s="60">
        <f ca="1">AVERAGE(OFFSET($DS$3,0,0,'Données projet'!$E$14+1,1))-AVERAGE(OFFSET($H$3,0,0,'Données projet'!$E$14+1,1))</f>
        <v>493.70175665335978</v>
      </c>
      <c r="DU64" s="60">
        <f t="shared" si="44"/>
        <v>325.12357781685949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</v>
      </c>
      <c r="EJ64" s="13">
        <f>IF('Données projet'!$A$192&gt;35,EJ63+EI64-ER63,IF(A64&lt;'Données projet'!$A$192,$EG$205^A64,IF(A64='Données projet'!$A$192,'Données projet'!$B$192,EJ63+EI64-ER63)))</f>
        <v>163.99999999999991</v>
      </c>
      <c r="EK64" s="18">
        <f>EJ64*VLOOKUP('Données projet'!$B$15,Paramètres!$A$1:$I$89,3,0)*VLOOKUP('Données projet'!$B$15,Paramètres!$A$1:$I$89,5,0)</f>
        <v>133.03679999999994</v>
      </c>
      <c r="EL64" s="14">
        <f t="shared" si="45"/>
        <v>34.697128823525233</v>
      </c>
      <c r="EM64" s="22">
        <f t="shared" si="19"/>
        <v>292.13659270097298</v>
      </c>
      <c r="EN64" s="60">
        <f t="shared" si="20"/>
        <v>585.46992603430635</v>
      </c>
      <c r="EO64" s="60">
        <f ca="1">AVERAGE(OFFSET($EN$3,0,0,'Données projet'!$E$15+1,1))-AVERAGE(OFFSET($H$3,0,0,'Données projet'!$E$15+1,1))</f>
        <v>236.22643401787644</v>
      </c>
      <c r="EP64" s="60">
        <f t="shared" si="46"/>
        <v>188.80444043778022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3.8</v>
      </c>
      <c r="FE64" s="13">
        <f>IF('Données projet'!$A$218&gt;35,FE63+FD64-FM63,IF(A64&lt;'Données projet'!$A$218,$FB$205^A64,IF(A64='Données projet'!$A$218,'Données projet'!$B$218,FE63+FD64-FM63)))</f>
        <v>118.79999999999995</v>
      </c>
      <c r="FF64" s="18">
        <f>FE64*VLOOKUP('Données projet'!$B$16,Paramètres!$A$1:$I$89,3,0)*VLOOKUP('Données projet'!$B$16,Paramètres!$A$1:$I$89,5,0)</f>
        <v>114.90335999999996</v>
      </c>
      <c r="FG64" s="14">
        <f t="shared" si="47"/>
        <v>30.483305866236858</v>
      </c>
      <c r="FH64" s="22">
        <f t="shared" si="22"/>
        <v>253.21510971702909</v>
      </c>
      <c r="FI64" s="60">
        <f t="shared" si="23"/>
        <v>546.54844305036238</v>
      </c>
      <c r="FJ64" s="60">
        <f ca="1">AVERAGE(OFFSET($FI$3,0,0,'Données projet'!$E$16+1,1))-AVERAGE(OFFSET($H$3,0,0,'Données projet'!$E$16+1,1))</f>
        <v>255.59755832175625</v>
      </c>
      <c r="FK64" s="60">
        <f t="shared" si="48"/>
        <v>154.0840647586964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0" t="e">
        <f t="shared" si="26"/>
        <v>#N/A</v>
      </c>
      <c r="GE64" s="60" t="e">
        <f ca="1">AVERAGE(OFFSET($GD$3,0,0,'Données projet'!$E$17+1,1))-AVERAGE(OFFSET($H$3,0,0,'Données projet'!$E$17+1,1))</f>
        <v>#N/A</v>
      </c>
      <c r="GF64" s="60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7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0" t="e">
        <f t="shared" si="29"/>
        <v>#N/A</v>
      </c>
      <c r="GZ64" s="60" t="e">
        <f ca="1">AVERAGE(OFFSET($GY$3,0,0,'Données projet'!$E$18+1,1))-AVERAGE(OFFSET($H$3,0,0,'Données projet'!$E$18+1,1))</f>
        <v>#N/A</v>
      </c>
      <c r="HA64" s="60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5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68">
        <f t="shared" si="1"/>
        <v>256.66666666666669</v>
      </c>
      <c r="I65" s="7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0" t="e">
        <f t="shared" si="0"/>
        <v>#NUM!</v>
      </c>
      <c r="S65" s="60">
        <f ca="1">AVERAGE(OFFSET($R$3,0,0,'Données projet'!$E$9+1,1))-AVERAGE(OFFSET($H$3,0,0,'Données projet'!$E$9+1,1))</f>
        <v>64.775385872852041</v>
      </c>
      <c r="T65" s="60">
        <f t="shared" si="34"/>
        <v>201.69061202990468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17.051123411987366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9.2185762031075068E-7</v>
      </c>
      <c r="AC65" s="24">
        <f t="shared" si="3"/>
        <v>17.051124333844985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210.30359999999996</v>
      </c>
      <c r="AK65" s="14">
        <f t="shared" si="35"/>
        <v>52.001924357524459</v>
      </c>
      <c r="AL65" s="22">
        <f t="shared" si="4"/>
        <v>456.84878825602163</v>
      </c>
      <c r="AM65" s="60">
        <f t="shared" si="5"/>
        <v>750.18212158935489</v>
      </c>
      <c r="AN65" s="60">
        <f ca="1">AVERAGE(OFFSET($AM$3,0,0,'Données projet'!$E$10+1,1))-AVERAGE(OFFSET($H$3,0,0,'Données projet'!$E$10+1,1))</f>
        <v>475.47920969424894</v>
      </c>
      <c r="AO65" s="60">
        <f t="shared" si="36"/>
        <v>271.73544012419364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7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6.7984728957526396E-14</v>
      </c>
      <c r="BF65" s="14">
        <f t="shared" si="37"/>
        <v>1.0682447123141398E-12</v>
      </c>
      <c r="BG65" s="22">
        <f t="shared" si="7"/>
        <v>1.978932943548152E-12</v>
      </c>
      <c r="BH65" s="60">
        <f t="shared" si="8"/>
        <v>293.3333333333353</v>
      </c>
      <c r="BI65" s="60">
        <f ca="1">AVERAGE(OFFSET($BH$3,0,0,'Données projet'!$E$11+1,1))-AVERAGE(OFFSET($H$3,0,0,'Données projet'!$E$11+1,1))</f>
        <v>260.02504691866199</v>
      </c>
      <c r="BJ65" s="60">
        <f t="shared" si="38"/>
        <v>270.11268336406368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5.3104714671101272</v>
      </c>
      <c r="BQ65" s="23">
        <f>EXP(-LN(2)/25)*BQ64+(1-EXP(-LN(2)/25))/(LN(2)/25)*Calculateur!BL65*Calculateur!BN65*VLOOKUP('Données projet'!$B$11,Paramètres!$A$1:$I$89,3,0)*0.475*44/12</f>
        <v>6.7682863992647375</v>
      </c>
      <c r="BR65" s="23">
        <f>EXP(-LN(2)/2)*BR64+(1-EXP(-LN(2)/2))/(LN(2)/2)*BL65*BO65*VLOOKUP('Données projet'!$B$11,Paramètres!$A$1:$I$89,3,0)*0.475*44/12</f>
        <v>9.6740126738339901E-5</v>
      </c>
      <c r="BS65" s="24">
        <f t="shared" si="9"/>
        <v>12.078854606501602</v>
      </c>
      <c r="BT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10.763461538461542</v>
      </c>
      <c r="BY65" s="13">
        <f>IF('Données projet'!$A$114&gt;35,BY64+BX65-CG64,IF(A65&lt;'Données projet'!$A$114,$BV$205^A65,IF(A65='Données projet'!$A$114,'Données projet'!$B$114,BY64+BX65-CG64)))</f>
        <v>339.92884615384628</v>
      </c>
      <c r="BZ65" s="14">
        <f>BY65*VLOOKUP('Données projet'!$B$12,Paramètres!$A$1:$I$89,3,0)*VLOOKUP('Données projet'!$B$12,Paramètres!$A$1:$I$89,5,0)</f>
        <v>159.08670000000006</v>
      </c>
      <c r="CA65" s="14">
        <f t="shared" si="39"/>
        <v>40.636449461585293</v>
      </c>
      <c r="CB65" s="22">
        <f t="shared" si="10"/>
        <v>347.85115197892782</v>
      </c>
      <c r="CC65" s="60">
        <f t="shared" si="11"/>
        <v>641.18448531226113</v>
      </c>
      <c r="CD65" s="60">
        <f ca="1">AVERAGE(OFFSET($CC$3,0,0,'Données projet'!$E$12+1,1))-AVERAGE(OFFSET($H$3,0,0,'Données projet'!$E$12+1,1))</f>
        <v>246.72166704460847</v>
      </c>
      <c r="CE65" s="60">
        <f t="shared" si="40"/>
        <v>145.54897745089966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207.39999999999995</v>
      </c>
      <c r="CU65" s="18">
        <f>CT65*VLOOKUP('Données projet'!$B$13,Paramètres!$A$1:$I$89,3,0)*VLOOKUP('Données projet'!$B$13,Paramètres!$A$1:$I$89,5,0)</f>
        <v>187.65551999999994</v>
      </c>
      <c r="CV65" s="14">
        <f t="shared" si="41"/>
        <v>47.021247649900147</v>
      </c>
      <c r="CW65" s="22">
        <f t="shared" si="13"/>
        <v>408.72870365690932</v>
      </c>
      <c r="CX65" s="60">
        <f t="shared" si="14"/>
        <v>702.06203699024263</v>
      </c>
      <c r="CY65" s="60">
        <f ca="1">AVERAGE(OFFSET($CX$3,0,0,'Données projet'!$E$13+1,1))-AVERAGE(OFFSET($H$3,0,0,'Données projet'!$E$13+1,1))</f>
        <v>428.8489304403459</v>
      </c>
      <c r="CZ65" s="60">
        <f t="shared" si="42"/>
        <v>247.01165577562966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5.0000000000000053</v>
      </c>
      <c r="DO65" s="13">
        <f>IF('Données projet'!$A$166&gt;35,DO64+DN65-DW64,IF(A65&lt;'Données projet'!$A$166,$DL$205^A65,IF(A65='Données projet'!$A$166,'Données projet'!$B$166,DO64+DN65-DW64)))</f>
        <v>218.97435897435884</v>
      </c>
      <c r="DP65" s="18">
        <f>DO65*VLOOKUP('Données projet'!$B$14,Paramètres!$A$1:$I$89,3,0)*VLOOKUP('Données projet'!$B$14,Paramètres!$A$1:$I$89,5,0)</f>
        <v>228.87199999999987</v>
      </c>
      <c r="DQ65" s="14">
        <f t="shared" si="43"/>
        <v>56.038711813998113</v>
      </c>
      <c r="DR65" s="22">
        <f t="shared" si="16"/>
        <v>496.21948974271317</v>
      </c>
      <c r="DS65" s="60">
        <f t="shared" si="17"/>
        <v>789.55282307604648</v>
      </c>
      <c r="DT65" s="60">
        <f ca="1">AVERAGE(OFFSET($DS$3,0,0,'Données projet'!$E$14+1,1))-AVERAGE(OFFSET($H$3,0,0,'Données projet'!$E$14+1,1))</f>
        <v>493.70175665335978</v>
      </c>
      <c r="DU65" s="60">
        <f t="shared" si="44"/>
        <v>325.12357781685949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</v>
      </c>
      <c r="EJ65" s="13">
        <f>IF('Données projet'!$A$192&gt;35,EJ64+EI65-ER64,IF(A65&lt;'Données projet'!$A$192,$EG$205^A65,IF(A65='Données projet'!$A$192,'Données projet'!$B$192,EJ64+EI65-ER64)))</f>
        <v>167.99999999999991</v>
      </c>
      <c r="EK65" s="18">
        <f>EJ65*VLOOKUP('Données projet'!$B$15,Paramètres!$A$1:$I$89,3,0)*VLOOKUP('Données projet'!$B$15,Paramètres!$A$1:$I$89,5,0)</f>
        <v>136.28159999999994</v>
      </c>
      <c r="EL65" s="14">
        <f t="shared" si="45"/>
        <v>35.443842312892279</v>
      </c>
      <c r="EM65" s="22">
        <f t="shared" si="19"/>
        <v>299.08847869495395</v>
      </c>
      <c r="EN65" s="60">
        <f t="shared" si="20"/>
        <v>592.42181202828726</v>
      </c>
      <c r="EO65" s="60">
        <f ca="1">AVERAGE(OFFSET($EN$3,0,0,'Données projet'!$E$15+1,1))-AVERAGE(OFFSET($H$3,0,0,'Données projet'!$E$15+1,1))</f>
        <v>236.22643401787644</v>
      </c>
      <c r="EP65" s="60">
        <f t="shared" si="46"/>
        <v>188.80444043778022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3.8</v>
      </c>
      <c r="FE65" s="13">
        <f>IF('Données projet'!$A$218&gt;35,FE64+FD65-FM64,IF(A65&lt;'Données projet'!$A$218,$FB$205^A65,IF(A65='Données projet'!$A$218,'Données projet'!$B$218,FE64+FD65-FM64)))</f>
        <v>122.59999999999995</v>
      </c>
      <c r="FF65" s="18">
        <f>FE65*VLOOKUP('Données projet'!$B$16,Paramètres!$A$1:$I$89,3,0)*VLOOKUP('Données projet'!$B$16,Paramètres!$A$1:$I$89,5,0)</f>
        <v>118.57871999999996</v>
      </c>
      <c r="FG65" s="14">
        <f t="shared" si="47"/>
        <v>31.343279557590108</v>
      </c>
      <c r="FH65" s="22">
        <f t="shared" si="22"/>
        <v>261.11414922946938</v>
      </c>
      <c r="FI65" s="60">
        <f t="shared" si="23"/>
        <v>554.44748256280263</v>
      </c>
      <c r="FJ65" s="60">
        <f ca="1">AVERAGE(OFFSET($FI$3,0,0,'Données projet'!$E$16+1,1))-AVERAGE(OFFSET($H$3,0,0,'Données projet'!$E$16+1,1))</f>
        <v>255.59755832175625</v>
      </c>
      <c r="FK65" s="60">
        <f t="shared" si="48"/>
        <v>154.0840647586964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0" t="e">
        <f t="shared" si="26"/>
        <v>#N/A</v>
      </c>
      <c r="GE65" s="60" t="e">
        <f ca="1">AVERAGE(OFFSET($GD$3,0,0,'Données projet'!$E$17+1,1))-AVERAGE(OFFSET($H$3,0,0,'Données projet'!$E$17+1,1))</f>
        <v>#N/A</v>
      </c>
      <c r="GF65" s="60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7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0" t="e">
        <f t="shared" si="29"/>
        <v>#N/A</v>
      </c>
      <c r="GZ65" s="60" t="e">
        <f ca="1">AVERAGE(OFFSET($GY$3,0,0,'Données projet'!$E$18+1,1))-AVERAGE(OFFSET($H$3,0,0,'Données projet'!$E$18+1,1))</f>
        <v>#N/A</v>
      </c>
      <c r="HA65" s="60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5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68">
        <f t="shared" si="1"/>
        <v>256.66666666666669</v>
      </c>
      <c r="I66" s="7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0" t="e">
        <f t="shared" si="0"/>
        <v>#NUM!</v>
      </c>
      <c r="S66" s="60">
        <f ca="1">AVERAGE(OFFSET($R$3,0,0,'Données projet'!$E$9+1,1))-AVERAGE(OFFSET($H$3,0,0,'Données projet'!$E$9+1,1))</f>
        <v>64.775385872852041</v>
      </c>
      <c r="T66" s="60">
        <f t="shared" si="34"/>
        <v>201.69061202990468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16.716761282036643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6.5185177461022544E-7</v>
      </c>
      <c r="AC66" s="24">
        <f t="shared" si="3"/>
        <v>16.716761933888417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217.60439999999994</v>
      </c>
      <c r="AK66" s="14">
        <f t="shared" si="35"/>
        <v>53.593882578706356</v>
      </c>
      <c r="AL66" s="22">
        <f t="shared" si="4"/>
        <v>472.33700882458015</v>
      </c>
      <c r="AM66" s="60">
        <f t="shared" si="5"/>
        <v>765.67034215791341</v>
      </c>
      <c r="AN66" s="60">
        <f ca="1">AVERAGE(OFFSET($AM$3,0,0,'Données projet'!$E$10+1,1))-AVERAGE(OFFSET($H$3,0,0,'Données projet'!$E$10+1,1))</f>
        <v>475.47920969424894</v>
      </c>
      <c r="AO66" s="60">
        <f t="shared" si="36"/>
        <v>271.73544012419364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7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6.7984728957526396E-14</v>
      </c>
      <c r="BF66" s="14">
        <f t="shared" si="37"/>
        <v>1.0682447123141398E-12</v>
      </c>
      <c r="BG66" s="22">
        <f t="shared" si="7"/>
        <v>1.978932943548152E-12</v>
      </c>
      <c r="BH66" s="60">
        <f t="shared" si="8"/>
        <v>293.3333333333353</v>
      </c>
      <c r="BI66" s="60">
        <f ca="1">AVERAGE(OFFSET($BH$3,0,0,'Données projet'!$E$11+1,1))-AVERAGE(OFFSET($H$3,0,0,'Données projet'!$E$11+1,1))</f>
        <v>260.02504691866199</v>
      </c>
      <c r="BJ66" s="60">
        <f t="shared" si="38"/>
        <v>270.11268336406368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5.2063363607078612</v>
      </c>
      <c r="BQ66" s="23">
        <f>EXP(-LN(2)/25)*BQ65+(1-EXP(-LN(2)/25))/(LN(2)/25)*Calculateur!BL66*Calculateur!BN66*VLOOKUP('Données projet'!$B$11,Paramètres!$A$1:$I$89,3,0)*0.475*44/12</f>
        <v>6.5832072517481306</v>
      </c>
      <c r="BR66" s="23">
        <f>EXP(-LN(2)/2)*BR65+(1-EXP(-LN(2)/2))/(LN(2)/2)*BL66*BO66*VLOOKUP('Données projet'!$B$11,Paramètres!$A$1:$I$89,3,0)*0.475*44/12</f>
        <v>6.8405599629526188E-5</v>
      </c>
      <c r="BS66" s="24">
        <f t="shared" si="9"/>
        <v>11.789612018055621</v>
      </c>
      <c r="BT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>
        <f>VLOOKUP(A66,'Données projet'!$A$113:$I$133,2,0)</f>
        <v>350.69230769230768</v>
      </c>
      <c r="BW66" s="13">
        <f>VLOOKUP(A66,'Données projet'!$A$113:$I$133,9,0)</f>
        <v>10.763461538461542</v>
      </c>
      <c r="BX66" s="13">
        <f t="array" ref="BX66">INDEX(BW:BW,MIN(IF(ISNUMBER(BW66:BW262),ROW(BW66:BW262),"")))</f>
        <v>10.763461538461542</v>
      </c>
      <c r="BY66" s="13">
        <f>IF('Données projet'!$A$114&gt;35,BY65+BX66-CG65,IF(A66&lt;'Données projet'!$A$114,$BV$205^A66,IF(A66='Données projet'!$A$114,'Données projet'!$B$114,BY65+BX66-CG65)))</f>
        <v>350.69230769230785</v>
      </c>
      <c r="BZ66" s="14">
        <f>BY66*VLOOKUP('Données projet'!$B$12,Paramètres!$A$1:$I$89,3,0)*VLOOKUP('Données projet'!$B$12,Paramètres!$A$1:$I$89,5,0)</f>
        <v>164.12400000000008</v>
      </c>
      <c r="CA66" s="14">
        <f t="shared" si="39"/>
        <v>41.771312955270602</v>
      </c>
      <c r="CB66" s="22">
        <f t="shared" si="10"/>
        <v>358.60100339709646</v>
      </c>
      <c r="CC66" s="60">
        <f t="shared" si="11"/>
        <v>651.93433673042978</v>
      </c>
      <c r="CD66" s="60">
        <f ca="1">AVERAGE(OFFSET($CC$3,0,0,'Données projet'!$E$12+1,1))-AVERAGE(OFFSET($H$3,0,0,'Données projet'!$E$12+1,1))</f>
        <v>246.72166704460847</v>
      </c>
      <c r="CE66" s="60">
        <f t="shared" si="40"/>
        <v>145.54897745089966</v>
      </c>
      <c r="CF66" s="16">
        <f>IF(ISNA(VLOOKUP(A66,'Données projet'!$A$113:$I$133,3,0)),0,VLOOKUP(A66,'Données projet'!$A$113:$I$133,3,0))</f>
        <v>2</v>
      </c>
      <c r="CG66" s="16">
        <f>IF(ISNA(VLOOKUP(A66,'Données projet'!$A$113:$I$133,4,0)),0,VLOOKUP(A66,'Données projet'!$A$113:$I$133,4,0))</f>
        <v>108.08461538461538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214.59999999999994</v>
      </c>
      <c r="CU66" s="18">
        <f>CT66*VLOOKUP('Données projet'!$B$13,Paramètres!$A$1:$I$89,3,0)*VLOOKUP('Données projet'!$B$13,Paramètres!$A$1:$I$89,5,0)</f>
        <v>194.17007999999996</v>
      </c>
      <c r="CV66" s="14">
        <f t="shared" si="41"/>
        <v>48.460730182351035</v>
      </c>
      <c r="CW66" s="22">
        <f t="shared" si="13"/>
        <v>422.5819944009279</v>
      </c>
      <c r="CX66" s="60">
        <f t="shared" si="14"/>
        <v>715.91532773426115</v>
      </c>
      <c r="CY66" s="60">
        <f ca="1">AVERAGE(OFFSET($CX$3,0,0,'Données projet'!$E$13+1,1))-AVERAGE(OFFSET($H$3,0,0,'Données projet'!$E$13+1,1))</f>
        <v>428.8489304403459</v>
      </c>
      <c r="CZ66" s="60">
        <f t="shared" si="42"/>
        <v>247.01165577562966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5.0000000000000053</v>
      </c>
      <c r="DO66" s="13">
        <f>IF('Données projet'!$A$166&gt;35,DO65+DN66-DW65,IF(A66&lt;'Données projet'!$A$166,$DL$205^A66,IF(A66='Données projet'!$A$166,'Données projet'!$B$166,DO65+DN66-DW65)))</f>
        <v>223.97435897435884</v>
      </c>
      <c r="DP66" s="18">
        <f>DO66*VLOOKUP('Données projet'!$B$14,Paramètres!$A$1:$I$89,3,0)*VLOOKUP('Données projet'!$B$14,Paramètres!$A$1:$I$89,5,0)</f>
        <v>234.09799999999987</v>
      </c>
      <c r="DQ66" s="14">
        <f t="shared" si="43"/>
        <v>57.167852134096286</v>
      </c>
      <c r="DR66" s="22">
        <f t="shared" si="16"/>
        <v>507.28802580021755</v>
      </c>
      <c r="DS66" s="60">
        <f t="shared" si="17"/>
        <v>800.62135913355087</v>
      </c>
      <c r="DT66" s="60">
        <f ca="1">AVERAGE(OFFSET($DS$3,0,0,'Données projet'!$E$14+1,1))-AVERAGE(OFFSET($H$3,0,0,'Données projet'!$E$14+1,1))</f>
        <v>493.70175665335978</v>
      </c>
      <c r="DU66" s="60">
        <f t="shared" si="44"/>
        <v>325.12357781685949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</v>
      </c>
      <c r="EJ66" s="13">
        <f>IF('Données projet'!$A$192&gt;35,EJ65+EI66-ER65,IF(A66&lt;'Données projet'!$A$192,$EG$205^A66,IF(A66='Données projet'!$A$192,'Données projet'!$B$192,EJ65+EI66-ER65)))</f>
        <v>171.99999999999991</v>
      </c>
      <c r="EK66" s="18">
        <f>EJ66*VLOOKUP('Données projet'!$B$15,Paramètres!$A$1:$I$89,3,0)*VLOOKUP('Données projet'!$B$15,Paramètres!$A$1:$I$89,5,0)</f>
        <v>139.52639999999994</v>
      </c>
      <c r="EL66" s="14">
        <f t="shared" si="45"/>
        <v>36.188488997813856</v>
      </c>
      <c r="EM66" s="22">
        <f t="shared" si="19"/>
        <v>306.03676500452571</v>
      </c>
      <c r="EN66" s="60">
        <f t="shared" si="20"/>
        <v>599.37009833785896</v>
      </c>
      <c r="EO66" s="60">
        <f ca="1">AVERAGE(OFFSET($EN$3,0,0,'Données projet'!$E$15+1,1))-AVERAGE(OFFSET($H$3,0,0,'Données projet'!$E$15+1,1))</f>
        <v>236.22643401787644</v>
      </c>
      <c r="EP66" s="60">
        <f t="shared" si="46"/>
        <v>188.80444043778022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3.8</v>
      </c>
      <c r="FE66" s="13">
        <f>IF('Données projet'!$A$218&gt;35,FE65+FD66-FM65,IF(A66&lt;'Données projet'!$A$218,$FB$205^A66,IF(A66='Données projet'!$A$218,'Données projet'!$B$218,FE65+FD66-FM65)))</f>
        <v>126.39999999999995</v>
      </c>
      <c r="FF66" s="18">
        <f>FE66*VLOOKUP('Données projet'!$B$16,Paramètres!$A$1:$I$89,3,0)*VLOOKUP('Données projet'!$B$16,Paramètres!$A$1:$I$89,5,0)</f>
        <v>122.25407999999995</v>
      </c>
      <c r="FG66" s="14">
        <f t="shared" si="47"/>
        <v>32.20015567592624</v>
      </c>
      <c r="FH66" s="22">
        <f t="shared" si="22"/>
        <v>269.0077938022381</v>
      </c>
      <c r="FI66" s="60">
        <f t="shared" si="23"/>
        <v>562.34112713557147</v>
      </c>
      <c r="FJ66" s="60">
        <f ca="1">AVERAGE(OFFSET($FI$3,0,0,'Données projet'!$E$16+1,1))-AVERAGE(OFFSET($H$3,0,0,'Données projet'!$E$16+1,1))</f>
        <v>255.59755832175625</v>
      </c>
      <c r="FK66" s="60">
        <f t="shared" si="48"/>
        <v>154.0840647586964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0" t="e">
        <f t="shared" si="26"/>
        <v>#N/A</v>
      </c>
      <c r="GE66" s="60" t="e">
        <f ca="1">AVERAGE(OFFSET($GD$3,0,0,'Données projet'!$E$17+1,1))-AVERAGE(OFFSET($H$3,0,0,'Données projet'!$E$17+1,1))</f>
        <v>#N/A</v>
      </c>
      <c r="GF66" s="60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7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0" t="e">
        <f t="shared" si="29"/>
        <v>#N/A</v>
      </c>
      <c r="GZ66" s="60" t="e">
        <f ca="1">AVERAGE(OFFSET($GY$3,0,0,'Données projet'!$E$18+1,1))-AVERAGE(OFFSET($H$3,0,0,'Données projet'!$E$18+1,1))</f>
        <v>#N/A</v>
      </c>
      <c r="HA66" s="60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5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68">
        <f t="shared" si="1"/>
        <v>256.66666666666669</v>
      </c>
      <c r="I67" s="7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0" t="e">
        <f t="shared" ref="R67:R130" si="55">Q67+(I67+J67)*44/12</f>
        <v>#NUM!</v>
      </c>
      <c r="S67" s="60">
        <f ca="1">AVERAGE(OFFSET($R$3,0,0,'Données projet'!$E$9+1,1))-AVERAGE(OFFSET($H$3,0,0,'Données projet'!$E$9+1,1))</f>
        <v>64.775385872852041</v>
      </c>
      <c r="T67" s="60">
        <f t="shared" si="34"/>
        <v>201.69061202990468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16.388955789513492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4.6092881015537539E-7</v>
      </c>
      <c r="AC67" s="24">
        <f t="shared" si="3"/>
        <v>16.388956250442302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224.90519999999995</v>
      </c>
      <c r="AK67" s="14">
        <f t="shared" si="35"/>
        <v>55.17963460003309</v>
      </c>
      <c r="AL67" s="22">
        <f t="shared" si="4"/>
        <v>487.81442026172425</v>
      </c>
      <c r="AM67" s="60">
        <f t="shared" si="5"/>
        <v>781.14775359505757</v>
      </c>
      <c r="AN67" s="60">
        <f ca="1">AVERAGE(OFFSET($AM$3,0,0,'Données projet'!$E$10+1,1))-AVERAGE(OFFSET($H$3,0,0,'Données projet'!$E$10+1,1))</f>
        <v>475.47920969424894</v>
      </c>
      <c r="AO67" s="60">
        <f t="shared" si="36"/>
        <v>271.73544012419364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7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6.7984728957526396E-14</v>
      </c>
      <c r="BF67" s="14">
        <f t="shared" si="37"/>
        <v>1.0682447123141398E-12</v>
      </c>
      <c r="BG67" s="22">
        <f t="shared" si="7"/>
        <v>1.978932943548152E-12</v>
      </c>
      <c r="BH67" s="60">
        <f t="shared" si="8"/>
        <v>293.3333333333353</v>
      </c>
      <c r="BI67" s="60">
        <f ca="1">AVERAGE(OFFSET($BH$3,0,0,'Données projet'!$E$11+1,1))-AVERAGE(OFFSET($H$3,0,0,'Données projet'!$E$11+1,1))</f>
        <v>260.02504691866199</v>
      </c>
      <c r="BJ67" s="60">
        <f t="shared" si="38"/>
        <v>270.11268336406368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5.104243280226</v>
      </c>
      <c r="BQ67" s="23">
        <f>EXP(-LN(2)/25)*BQ66+(1-EXP(-LN(2)/25))/(LN(2)/25)*Calculateur!BL67*Calculateur!BN67*VLOOKUP('Données projet'!$B$11,Paramètres!$A$1:$I$89,3,0)*0.475*44/12</f>
        <v>6.4031891032532551</v>
      </c>
      <c r="BR67" s="23">
        <f>EXP(-LN(2)/2)*BR66+(1-EXP(-LN(2)/2))/(LN(2)/2)*BL67*BO67*VLOOKUP('Données projet'!$B$11,Paramètres!$A$1:$I$89,3,0)*0.475*44/12</f>
        <v>4.837006336916995E-5</v>
      </c>
      <c r="BS67" s="24">
        <f t="shared" si="9"/>
        <v>11.507480753542625</v>
      </c>
      <c r="BT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9.8224358974358967</v>
      </c>
      <c r="BY67" s="13">
        <f>IF('Données projet'!$A$114&gt;35,BY66+BX67-CG66,IF(A67&lt;'Données projet'!$A$114,$BV$205^A67,IF(A67='Données projet'!$A$114,'Données projet'!$B$114,BY66+BX67-CG66)))</f>
        <v>252.4301282051284</v>
      </c>
      <c r="BZ67" s="14">
        <f>BY67*VLOOKUP('Données projet'!$B$12,Paramètres!$A$1:$I$89,3,0)*VLOOKUP('Données projet'!$B$12,Paramètres!$A$1:$I$89,5,0)</f>
        <v>118.1373000000001</v>
      </c>
      <c r="CA67" s="14">
        <f t="shared" si="39"/>
        <v>31.240160341179944</v>
      </c>
      <c r="CB67" s="22">
        <f t="shared" si="10"/>
        <v>260.16574342755524</v>
      </c>
      <c r="CC67" s="60">
        <f t="shared" si="11"/>
        <v>553.49907676088856</v>
      </c>
      <c r="CD67" s="60">
        <f ca="1">AVERAGE(OFFSET($CC$3,0,0,'Données projet'!$E$12+1,1))-AVERAGE(OFFSET($H$3,0,0,'Données projet'!$E$12+1,1))</f>
        <v>246.72166704460847</v>
      </c>
      <c r="CE67" s="60">
        <f t="shared" si="40"/>
        <v>145.54897745089966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221.79999999999993</v>
      </c>
      <c r="CU67" s="18">
        <f>CT67*VLOOKUP('Données projet'!$B$13,Paramètres!$A$1:$I$89,3,0)*VLOOKUP('Données projet'!$B$13,Paramètres!$A$1:$I$89,5,0)</f>
        <v>200.68463999999992</v>
      </c>
      <c r="CV67" s="14">
        <f t="shared" si="41"/>
        <v>49.894600936700193</v>
      </c>
      <c r="CW67" s="22">
        <f t="shared" si="13"/>
        <v>436.42551129808606</v>
      </c>
      <c r="CX67" s="60">
        <f t="shared" si="14"/>
        <v>729.75884463141938</v>
      </c>
      <c r="CY67" s="60">
        <f ca="1">AVERAGE(OFFSET($CX$3,0,0,'Données projet'!$E$13+1,1))-AVERAGE(OFFSET($H$3,0,0,'Données projet'!$E$13+1,1))</f>
        <v>428.8489304403459</v>
      </c>
      <c r="CZ67" s="60">
        <f t="shared" si="42"/>
        <v>247.01165577562966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5.0000000000000053</v>
      </c>
      <c r="DO67" s="13">
        <f>IF('Données projet'!$A$166&gt;35,DO66+DN67-DW66,IF(A67&lt;'Données projet'!$A$166,$DL$205^A67,IF(A67='Données projet'!$A$166,'Données projet'!$B$166,DO66+DN67-DW66)))</f>
        <v>228.97435897435884</v>
      </c>
      <c r="DP67" s="18">
        <f>DO67*VLOOKUP('Données projet'!$B$14,Paramètres!$A$1:$I$89,3,0)*VLOOKUP('Données projet'!$B$14,Paramètres!$A$1:$I$89,5,0)</f>
        <v>239.32399999999987</v>
      </c>
      <c r="DQ67" s="14">
        <f t="shared" si="43"/>
        <v>58.294061921376255</v>
      </c>
      <c r="DR67" s="22">
        <f t="shared" si="16"/>
        <v>518.35145784639667</v>
      </c>
      <c r="DS67" s="60">
        <f t="shared" si="17"/>
        <v>811.68479117972993</v>
      </c>
      <c r="DT67" s="60">
        <f ca="1">AVERAGE(OFFSET($DS$3,0,0,'Données projet'!$E$14+1,1))-AVERAGE(OFFSET($H$3,0,0,'Données projet'!$E$14+1,1))</f>
        <v>493.70175665335978</v>
      </c>
      <c r="DU67" s="60">
        <f t="shared" si="44"/>
        <v>325.12357781685949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</v>
      </c>
      <c r="EJ67" s="13">
        <f>IF('Données projet'!$A$192&gt;35,EJ66+EI67-ER66,IF(A67&lt;'Données projet'!$A$192,$EG$205^A67,IF(A67='Données projet'!$A$192,'Données projet'!$B$192,EJ66+EI67-ER66)))</f>
        <v>175.99999999999991</v>
      </c>
      <c r="EK67" s="18">
        <f>EJ67*VLOOKUP('Données projet'!$B$15,Paramètres!$A$1:$I$89,3,0)*VLOOKUP('Données projet'!$B$15,Paramètres!$A$1:$I$89,5,0)</f>
        <v>142.77119999999994</v>
      </c>
      <c r="EL67" s="14">
        <f t="shared" si="45"/>
        <v>36.931122475504061</v>
      </c>
      <c r="EM67" s="22">
        <f t="shared" si="19"/>
        <v>312.98154497816944</v>
      </c>
      <c r="EN67" s="60">
        <f t="shared" si="20"/>
        <v>606.31487831150275</v>
      </c>
      <c r="EO67" s="60">
        <f ca="1">AVERAGE(OFFSET($EN$3,0,0,'Données projet'!$E$15+1,1))-AVERAGE(OFFSET($H$3,0,0,'Données projet'!$E$15+1,1))</f>
        <v>236.22643401787644</v>
      </c>
      <c r="EP67" s="60">
        <f t="shared" si="46"/>
        <v>188.80444043778022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3.8</v>
      </c>
      <c r="FE67" s="13">
        <f>IF('Données projet'!$A$218&gt;35,FE66+FD67-FM66,IF(A67&lt;'Données projet'!$A$218,$FB$205^A67,IF(A67='Données projet'!$A$218,'Données projet'!$B$218,FE66+FD67-FM66)))</f>
        <v>130.19999999999996</v>
      </c>
      <c r="FF67" s="18">
        <f>FE67*VLOOKUP('Données projet'!$B$16,Paramètres!$A$1:$I$89,3,0)*VLOOKUP('Données projet'!$B$16,Paramètres!$A$1:$I$89,5,0)</f>
        <v>125.92943999999997</v>
      </c>
      <c r="FG67" s="14">
        <f t="shared" si="47"/>
        <v>33.054038034052049</v>
      </c>
      <c r="FH67" s="22">
        <f t="shared" si="22"/>
        <v>276.89622424264059</v>
      </c>
      <c r="FI67" s="60">
        <f t="shared" si="23"/>
        <v>570.2295575759739</v>
      </c>
      <c r="FJ67" s="60">
        <f ca="1">AVERAGE(OFFSET($FI$3,0,0,'Données projet'!$E$16+1,1))-AVERAGE(OFFSET($H$3,0,0,'Données projet'!$E$16+1,1))</f>
        <v>255.59755832175625</v>
      </c>
      <c r="FK67" s="60">
        <f t="shared" si="48"/>
        <v>154.0840647586964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0" t="e">
        <f t="shared" si="26"/>
        <v>#N/A</v>
      </c>
      <c r="GE67" s="60" t="e">
        <f ca="1">AVERAGE(OFFSET($GD$3,0,0,'Données projet'!$E$17+1,1))-AVERAGE(OFFSET($H$3,0,0,'Données projet'!$E$17+1,1))</f>
        <v>#N/A</v>
      </c>
      <c r="GF67" s="60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7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0" t="e">
        <f t="shared" si="29"/>
        <v>#N/A</v>
      </c>
      <c r="GZ67" s="60" t="e">
        <f ca="1">AVERAGE(OFFSET($GY$3,0,0,'Données projet'!$E$18+1,1))-AVERAGE(OFFSET($H$3,0,0,'Données projet'!$E$18+1,1))</f>
        <v>#N/A</v>
      </c>
      <c r="HA67" s="60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5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68">
        <f t="shared" ref="H68:H131" si="56">(B68+E68+F68)*44/12+(C68+D68)*0.475*44/12</f>
        <v>256.66666666666669</v>
      </c>
      <c r="I68" s="7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0" t="e">
        <f t="shared" si="55"/>
        <v>#NUM!</v>
      </c>
      <c r="S68" s="60">
        <f ca="1">AVERAGE(OFFSET($R$3,0,0,'Données projet'!$E$9+1,1))-AVERAGE(OFFSET($H$3,0,0,'Données projet'!$E$9+1,1))</f>
        <v>64.775385872852041</v>
      </c>
      <c r="T68" s="60">
        <f t="shared" si="34"/>
        <v>201.69061202990468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16.067578362757114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3.2592588730511277E-7</v>
      </c>
      <c r="AC68" s="24">
        <f t="shared" ref="AC68:AC131" si="57">SUM(Z68:AB68)</f>
        <v>16.067578688683003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232.2059999999999</v>
      </c>
      <c r="AK68" s="14">
        <f t="shared" si="35"/>
        <v>56.759404991217522</v>
      </c>
      <c r="AL68" s="22">
        <f t="shared" ref="AL68:AL131" si="58">(AJ68+AK68)*0.475*44/12</f>
        <v>503.281413693037</v>
      </c>
      <c r="AM68" s="60">
        <f t="shared" ref="AM68:AM131" si="59">AL68+(AD68+AE68)*44/12</f>
        <v>796.61474702637031</v>
      </c>
      <c r="AN68" s="60">
        <f ca="1">AVERAGE(OFFSET($AM$3,0,0,'Données projet'!$E$10+1,1))-AVERAGE(OFFSET($H$3,0,0,'Données projet'!$E$10+1,1))</f>
        <v>475.47920969424894</v>
      </c>
      <c r="AO68" s="60">
        <f t="shared" si="36"/>
        <v>271.73544012419364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7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6.7984728957526396E-14</v>
      </c>
      <c r="BF68" s="14">
        <f t="shared" si="37"/>
        <v>1.0682447123141398E-12</v>
      </c>
      <c r="BG68" s="22">
        <f t="shared" ref="BG68:BG131" si="61">(BE68+BF68)*0.475*44/12</f>
        <v>1.978932943548152E-12</v>
      </c>
      <c r="BH68" s="60">
        <f t="shared" ref="BH68:BH131" si="62">BG68+(AY68+AZ68)*44/12</f>
        <v>293.3333333333353</v>
      </c>
      <c r="BI68" s="60">
        <f ca="1">AVERAGE(OFFSET($BH$3,0,0,'Données projet'!$E$11+1,1))-AVERAGE(OFFSET($H$3,0,0,'Données projet'!$E$11+1,1))</f>
        <v>260.02504691866199</v>
      </c>
      <c r="BJ68" s="60">
        <f t="shared" si="38"/>
        <v>270.11268336406368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5.0041521827817581</v>
      </c>
      <c r="BQ68" s="23">
        <f>EXP(-LN(2)/25)*BQ67+(1-EXP(-LN(2)/25))/(LN(2)/25)*Calculateur!BL68*Calculateur!BN68*VLOOKUP('Données projet'!$B$11,Paramètres!$A$1:$I$89,3,0)*0.475*44/12</f>
        <v>6.2280935604957142</v>
      </c>
      <c r="BR68" s="23">
        <f>EXP(-LN(2)/2)*BR67+(1-EXP(-LN(2)/2))/(LN(2)/2)*BL68*BO68*VLOOKUP('Données projet'!$B$11,Paramètres!$A$1:$I$89,3,0)*0.475*44/12</f>
        <v>3.4202799814763094E-5</v>
      </c>
      <c r="BS68" s="24">
        <f t="shared" ref="BS68:BS131" si="63">SUM(BP68:BR68)</f>
        <v>11.232279946077288</v>
      </c>
      <c r="BT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9.8224358974358967</v>
      </c>
      <c r="BY68" s="13">
        <f>IF('Données projet'!$A$114&gt;35,BY67+BX68-CG67,IF(A68&lt;'Données projet'!$A$114,$BV$205^A68,IF(A68='Données projet'!$A$114,'Données projet'!$B$114,BY67+BX68-CG67)))</f>
        <v>262.25256410256429</v>
      </c>
      <c r="BZ68" s="14">
        <f>BY68*VLOOKUP('Données projet'!$B$12,Paramètres!$A$1:$I$89,3,0)*VLOOKUP('Données projet'!$B$12,Paramètres!$A$1:$I$89,5,0)</f>
        <v>122.73420000000009</v>
      </c>
      <c r="CA68" s="14">
        <f t="shared" si="39"/>
        <v>32.311867973295051</v>
      </c>
      <c r="CB68" s="22">
        <f t="shared" ref="CB68:CB131" si="64">(BZ68+CA68)*0.475*44/12</f>
        <v>270.03856838682231</v>
      </c>
      <c r="CC68" s="60">
        <f t="shared" ref="CC68:CC131" si="65">CB68+(BT68+BU68)*44/12</f>
        <v>563.37190172015562</v>
      </c>
      <c r="CD68" s="60">
        <f ca="1">AVERAGE(OFFSET($CC$3,0,0,'Données projet'!$E$12+1,1))-AVERAGE(OFFSET($H$3,0,0,'Données projet'!$E$12+1,1))</f>
        <v>246.72166704460847</v>
      </c>
      <c r="CE68" s="60">
        <f t="shared" si="40"/>
        <v>145.54897745089966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228.99999999999991</v>
      </c>
      <c r="CU68" s="18">
        <f>CT68*VLOOKUP('Données projet'!$B$13,Paramètres!$A$1:$I$89,3,0)*VLOOKUP('Données projet'!$B$13,Paramètres!$A$1:$I$89,5,0)</f>
        <v>207.19919999999991</v>
      </c>
      <c r="CV68" s="14">
        <f t="shared" si="41"/>
        <v>51.3230629736655</v>
      </c>
      <c r="CW68" s="22">
        <f t="shared" ref="CW68:CW131" si="67">(CU68+CV68)*0.475*44/12</f>
        <v>450.25960801246725</v>
      </c>
      <c r="CX68" s="60">
        <f t="shared" ref="CX68:CX131" si="68">CW68+(CO68+CP68)*44/12</f>
        <v>743.59294134580057</v>
      </c>
      <c r="CY68" s="60">
        <f ca="1">AVERAGE(OFFSET($CX$3,0,0,'Données projet'!$E$13+1,1))-AVERAGE(OFFSET($H$3,0,0,'Données projet'!$E$13+1,1))</f>
        <v>428.8489304403459</v>
      </c>
      <c r="CZ68" s="60">
        <f t="shared" si="42"/>
        <v>247.01165577562966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233.97435897435898</v>
      </c>
      <c r="DM68" s="13">
        <f>VLOOKUP(A68,'Données projet'!$A$165:$I$185,9,0)</f>
        <v>5.0000000000000053</v>
      </c>
      <c r="DN68" s="13">
        <f t="array" ref="DN68">INDEX(DM:DM,MIN(IF(ISNUMBER(DM68:DM264),ROW(DM68:DM264),"")))</f>
        <v>5.0000000000000053</v>
      </c>
      <c r="DO68" s="13">
        <f>IF('Données projet'!$A$166&gt;35,DO67+DN68-DW67,IF(A68&lt;'Données projet'!$A$166,$DL$205^A68,IF(A68='Données projet'!$A$166,'Données projet'!$B$166,DO67+DN68-DW67)))</f>
        <v>233.97435897435884</v>
      </c>
      <c r="DP68" s="18">
        <f>DO68*VLOOKUP('Données projet'!$B$14,Paramètres!$A$1:$I$89,3,0)*VLOOKUP('Données projet'!$B$14,Paramètres!$A$1:$I$89,5,0)</f>
        <v>244.5499999999999</v>
      </c>
      <c r="DQ68" s="14">
        <f t="shared" si="43"/>
        <v>59.417412537913442</v>
      </c>
      <c r="DR68" s="22">
        <f t="shared" ref="DR68:DR131" si="70">(DP68+DQ68)*0.475*44/12</f>
        <v>529.40991017019905</v>
      </c>
      <c r="DS68" s="60">
        <f t="shared" ref="DS68:DS131" si="71">DR68+(DJ68+DK68)*44/12</f>
        <v>822.74324350353231</v>
      </c>
      <c r="DT68" s="60">
        <f ca="1">AVERAGE(OFFSET($DS$3,0,0,'Données projet'!$E$14+1,1))-AVERAGE(OFFSET($H$3,0,0,'Données projet'!$E$14+1,1))</f>
        <v>493.70175665335978</v>
      </c>
      <c r="DU68" s="60">
        <f t="shared" si="44"/>
        <v>325.12357781685949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180</v>
      </c>
      <c r="EH68" s="13">
        <f>VLOOKUP(A68,'Données projet'!$A$191:$I$211,9,0)</f>
        <v>4</v>
      </c>
      <c r="EI68" s="13">
        <f t="array" ref="EI68">INDEX(EH:EH,MIN(IF(ISNUMBER(EH68:EH264),ROW(EH68:EH264),"")))</f>
        <v>4</v>
      </c>
      <c r="EJ68" s="13">
        <f>IF('Données projet'!$A$192&gt;35,EJ67+EI68-ER67,IF(A68&lt;'Données projet'!$A$192,$EG$205^A68,IF(A68='Données projet'!$A$192,'Données projet'!$B$192,EJ67+EI68-ER67)))</f>
        <v>179.99999999999991</v>
      </c>
      <c r="EK68" s="18">
        <f>EJ68*VLOOKUP('Données projet'!$B$15,Paramètres!$A$1:$I$89,3,0)*VLOOKUP('Données projet'!$B$15,Paramètres!$A$1:$I$89,5,0)</f>
        <v>146.01599999999996</v>
      </c>
      <c r="EL68" s="14">
        <f t="shared" si="45"/>
        <v>37.671793767891103</v>
      </c>
      <c r="EM68" s="22">
        <f t="shared" ref="EM68:EM131" si="73">(EK68+EL68)*0.475*44/12</f>
        <v>319.92290747907691</v>
      </c>
      <c r="EN68" s="60">
        <f t="shared" ref="EN68:EN131" si="74">EM68+(EE68+EF68)*44/12</f>
        <v>613.25624081241017</v>
      </c>
      <c r="EO68" s="60">
        <f ca="1">AVERAGE(OFFSET($EN$3,0,0,'Données projet'!$E$15+1,1))-AVERAGE(OFFSET($H$3,0,0,'Données projet'!$E$15+1,1))</f>
        <v>236.22643401787644</v>
      </c>
      <c r="EP68" s="60">
        <f t="shared" si="46"/>
        <v>188.80444043778022</v>
      </c>
      <c r="EQ68" s="16">
        <f>IF(ISNA(VLOOKUP(A68,'Données projet'!$A$191:$I$211,3,0)),0,VLOOKUP(A68,'Données projet'!$A$191:$I$211,3,0))</f>
        <v>5</v>
      </c>
      <c r="ER68" s="16">
        <f>IF(ISNA(VLOOKUP(A68,'Données projet'!$A$191:$I$211,4,0)),0,VLOOKUP(A68,'Données projet'!$A$191:$I$211,4,0))</f>
        <v>22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134</v>
      </c>
      <c r="FC68" s="13">
        <f>VLOOKUP(A68,'Données projet'!$A$217:$I$237,9,0)</f>
        <v>3.8</v>
      </c>
      <c r="FD68" s="13">
        <f t="array" ref="FD68">INDEX(FC:FC,MIN(IF(ISNUMBER(FC68:FC264),ROW(FC68:FC264),"")))</f>
        <v>3.8</v>
      </c>
      <c r="FE68" s="13">
        <f>IF('Données projet'!$A$218&gt;35,FE67+FD68-FM67,IF(A68&lt;'Données projet'!$A$218,$FB$205^A68,IF(A68='Données projet'!$A$218,'Données projet'!$B$218,FE67+FD68-FM67)))</f>
        <v>133.99999999999997</v>
      </c>
      <c r="FF68" s="18">
        <f>FE68*VLOOKUP('Données projet'!$B$16,Paramètres!$A$1:$I$89,3,0)*VLOOKUP('Données projet'!$B$16,Paramètres!$A$1:$I$89,5,0)</f>
        <v>129.60479999999998</v>
      </c>
      <c r="FG68" s="14">
        <f t="shared" si="47"/>
        <v>33.905024040491121</v>
      </c>
      <c r="FH68" s="22">
        <f t="shared" ref="FH68:FH131" si="76">(FF68+FG68)*0.475*44/12</f>
        <v>284.77961020385533</v>
      </c>
      <c r="FI68" s="60">
        <f t="shared" ref="FI68:FI131" si="77">FH68+(EZ68+FA68)*44/12</f>
        <v>578.11294353718858</v>
      </c>
      <c r="FJ68" s="60">
        <f ca="1">AVERAGE(OFFSET($FI$3,0,0,'Données projet'!$E$16+1,1))-AVERAGE(OFFSET($H$3,0,0,'Données projet'!$E$16+1,1))</f>
        <v>255.59755832175625</v>
      </c>
      <c r="FK68" s="60">
        <f t="shared" si="48"/>
        <v>154.0840647586964</v>
      </c>
      <c r="FL68" s="16">
        <f>IF(ISNA(VLOOKUP(A68,'Données projet'!$A$217:$I$237,3,0)),0,VLOOKUP(A68,'Données projet'!$A$217:$I$237,3,0))</f>
        <v>4</v>
      </c>
      <c r="FM68" s="16">
        <f>IF(ISNA(VLOOKUP(A68,'Données projet'!$A$217:$I$237,4,0)),0,VLOOKUP(A68,'Données projet'!$A$217:$I$237,4,0))</f>
        <v>20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0" t="e">
        <f t="shared" ref="GD68:GD131" si="80">GC68+(FU68+FV68)*44/12</f>
        <v>#N/A</v>
      </c>
      <c r="GE68" s="60" t="e">
        <f ca="1">AVERAGE(OFFSET($GD$3,0,0,'Données projet'!$E$17+1,1))-AVERAGE(OFFSET($H$3,0,0,'Données projet'!$E$17+1,1))</f>
        <v>#N/A</v>
      </c>
      <c r="GF68" s="60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7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0" t="e">
        <f t="shared" ref="GY68:GY131" si="83">GX68+(GP68+GQ68)*44/12</f>
        <v>#N/A</v>
      </c>
      <c r="GZ68" s="60" t="e">
        <f ca="1">AVERAGE(OFFSET($GY$3,0,0,'Données projet'!$E$18+1,1))-AVERAGE(OFFSET($H$3,0,0,'Données projet'!$E$18+1,1))</f>
        <v>#N/A</v>
      </c>
      <c r="HA68" s="60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5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68">
        <f t="shared" si="56"/>
        <v>256.66666666666669</v>
      </c>
      <c r="I69" s="7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0" t="e">
        <f t="shared" si="55"/>
        <v>#NUM!</v>
      </c>
      <c r="S69" s="60">
        <f ca="1">AVERAGE(OFFSET($R$3,0,0,'Données projet'!$E$9+1,1))-AVERAGE(OFFSET($H$3,0,0,'Données projet'!$E$9+1,1))</f>
        <v>64.775385872852041</v>
      </c>
      <c r="T69" s="60">
        <f t="shared" ref="T69:T132" si="88">$T$3</f>
        <v>201.69061202990468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15.752502951318554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2.3046440507768775E-7</v>
      </c>
      <c r="AC69" s="24">
        <f t="shared" si="57"/>
        <v>15.752503181782959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239.10119999999995</v>
      </c>
      <c r="AK69" s="14">
        <f t="shared" ref="AK69:AK132" si="89">EXP(-1.0587+0.8836*LN(AJ69)+0.284)</f>
        <v>58.246107075777331</v>
      </c>
      <c r="AL69" s="22">
        <f t="shared" si="58"/>
        <v>517.87989315697871</v>
      </c>
      <c r="AM69" s="60">
        <f t="shared" si="59"/>
        <v>811.21322649031208</v>
      </c>
      <c r="AN69" s="60">
        <f ca="1">AVERAGE(OFFSET($AM$3,0,0,'Données projet'!$E$10+1,1))-AVERAGE(OFFSET($H$3,0,0,'Données projet'!$E$10+1,1))</f>
        <v>475.47920969424894</v>
      </c>
      <c r="AO69" s="60">
        <f t="shared" ref="AO69:AO132" si="90">$AO$3</f>
        <v>271.73544012419364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7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6.7984728957526396E-14</v>
      </c>
      <c r="BF69" s="14">
        <f t="shared" ref="BF69:BF132" si="91">EXP(-1.0587+0.8836*LN(BE69)+0.284)</f>
        <v>1.0682447123141398E-12</v>
      </c>
      <c r="BG69" s="22">
        <f t="shared" si="61"/>
        <v>1.978932943548152E-12</v>
      </c>
      <c r="BH69" s="60">
        <f t="shared" si="62"/>
        <v>293.3333333333353</v>
      </c>
      <c r="BI69" s="60">
        <f ca="1">AVERAGE(OFFSET($BH$3,0,0,'Données projet'!$E$11+1,1))-AVERAGE(OFFSET($H$3,0,0,'Données projet'!$E$11+1,1))</f>
        <v>260.02504691866199</v>
      </c>
      <c r="BJ69" s="60">
        <f t="shared" ref="BJ69:BJ132" si="92">$BJ$3</f>
        <v>270.11268336406368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4.9060238107088567</v>
      </c>
      <c r="BQ69" s="23">
        <f>EXP(-LN(2)/25)*BQ68+(1-EXP(-LN(2)/25))/(LN(2)/25)*Calculateur!BL69*Calculateur!BN69*VLOOKUP('Données projet'!$B$11,Paramètres!$A$1:$I$89,3,0)*0.475*44/12</f>
        <v>6.0577860145627529</v>
      </c>
      <c r="BR69" s="23">
        <f>EXP(-LN(2)/2)*BR68+(1-EXP(-LN(2)/2))/(LN(2)/2)*BL69*BO69*VLOOKUP('Données projet'!$B$11,Paramètres!$A$1:$I$89,3,0)*0.475*44/12</f>
        <v>2.4185031684584975E-5</v>
      </c>
      <c r="BS69" s="24">
        <f t="shared" si="63"/>
        <v>10.963834010303295</v>
      </c>
      <c r="BT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9.8224358974358967</v>
      </c>
      <c r="BY69" s="13">
        <f>IF('Données projet'!$A$114&gt;35,BY68+BX69-CG68,IF(A69&lt;'Données projet'!$A$114,$BV$205^A69,IF(A69='Données projet'!$A$114,'Données projet'!$B$114,BY68+BX69-CG68)))</f>
        <v>272.07500000000022</v>
      </c>
      <c r="BZ69" s="14">
        <f>BY69*VLOOKUP('Données projet'!$B$12,Paramètres!$A$1:$I$89,3,0)*VLOOKUP('Données projet'!$B$12,Paramètres!$A$1:$I$89,5,0)</f>
        <v>127.33110000000011</v>
      </c>
      <c r="CA69" s="14">
        <f t="shared" ref="CA69:CA132" si="93">EXP(-1.0587+0.8836*LN(BZ69)+0.284)</f>
        <v>33.378912344830439</v>
      </c>
      <c r="CB69" s="22">
        <f t="shared" si="64"/>
        <v>279.90327150057988</v>
      </c>
      <c r="CC69" s="60">
        <f t="shared" si="65"/>
        <v>573.23660483391313</v>
      </c>
      <c r="CD69" s="60">
        <f ca="1">AVERAGE(OFFSET($CC$3,0,0,'Données projet'!$E$12+1,1))-AVERAGE(OFFSET($H$3,0,0,'Données projet'!$E$12+1,1))</f>
        <v>246.72166704460847</v>
      </c>
      <c r="CE69" s="60">
        <f t="shared" ref="CE69:CE132" si="94">$CE$3</f>
        <v>145.54897745089966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235.79999999999993</v>
      </c>
      <c r="CU69" s="18">
        <f>CT69*VLOOKUP('Données projet'!$B$13,Paramètres!$A$1:$I$89,3,0)*VLOOKUP('Données projet'!$B$13,Paramètres!$A$1:$I$89,5,0)</f>
        <v>213.35183999999992</v>
      </c>
      <c r="CV69" s="14">
        <f t="shared" ref="CV69:CV132" si="95">EXP(-1.0587+0.8836*LN(CU69)+0.284)</f>
        <v>52.667370665417188</v>
      </c>
      <c r="CW69" s="22">
        <f t="shared" si="67"/>
        <v>463.31679190893482</v>
      </c>
      <c r="CX69" s="60">
        <f t="shared" si="68"/>
        <v>756.65012524226813</v>
      </c>
      <c r="CY69" s="60">
        <f ca="1">AVERAGE(OFFSET($CX$3,0,0,'Données projet'!$E$13+1,1))-AVERAGE(OFFSET($H$3,0,0,'Données projet'!$E$13+1,1))</f>
        <v>428.8489304403459</v>
      </c>
      <c r="CZ69" s="60">
        <f t="shared" ref="CZ69:CZ132" si="96">$CZ$3</f>
        <v>247.01165577562966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4.8717948717948669</v>
      </c>
      <c r="DO69" s="13">
        <f>IF('Données projet'!$A$166&gt;35,DO68+DN69-DW68,IF(A69&lt;'Données projet'!$A$166,$DL$205^A69,IF(A69='Données projet'!$A$166,'Données projet'!$B$166,DO68+DN69-DW68)))</f>
        <v>238.8461538461537</v>
      </c>
      <c r="DP69" s="18">
        <f>DO69*VLOOKUP('Données projet'!$B$14,Paramètres!$A$1:$I$89,3,0)*VLOOKUP('Données projet'!$B$14,Paramètres!$A$1:$I$89,5,0)</f>
        <v>249.64199999999988</v>
      </c>
      <c r="DQ69" s="14">
        <f t="shared" ref="DQ69:DQ132" si="97">EXP(-1.0587+0.8836*LN(DP69)+0.284)</f>
        <v>60.509274148016289</v>
      </c>
      <c r="DR69" s="22">
        <f t="shared" si="70"/>
        <v>540.18013580779473</v>
      </c>
      <c r="DS69" s="60">
        <f t="shared" si="71"/>
        <v>833.5134691411281</v>
      </c>
      <c r="DT69" s="60">
        <f ca="1">AVERAGE(OFFSET($DS$3,0,0,'Données projet'!$E$14+1,1))-AVERAGE(OFFSET($H$3,0,0,'Données projet'!$E$14+1,1))</f>
        <v>493.70175665335978</v>
      </c>
      <c r="DU69" s="60">
        <f t="shared" ref="DU69:DU132" si="98">$DU$3</f>
        <v>325.12357781685949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</v>
      </c>
      <c r="EJ69" s="13">
        <f>IF('Données projet'!$A$192&gt;35,EJ68+EI69-ER68,IF(A69&lt;'Données projet'!$A$192,$EG$205^A69,IF(A69='Données projet'!$A$192,'Données projet'!$B$192,EJ68+EI69-ER68)))</f>
        <v>161.99999999999991</v>
      </c>
      <c r="EK69" s="18">
        <f>EJ69*VLOOKUP('Données projet'!$B$15,Paramètres!$A$1:$I$89,3,0)*VLOOKUP('Données projet'!$B$15,Paramètres!$A$1:$I$89,5,0)</f>
        <v>131.41439999999994</v>
      </c>
      <c r="EL69" s="14">
        <f t="shared" ref="EL69:EL132" si="99">EXP(-1.0587+0.8836*LN(EK69)+0.284)</f>
        <v>34.322979526010634</v>
      </c>
      <c r="EM69" s="22">
        <f t="shared" si="73"/>
        <v>288.65926934113514</v>
      </c>
      <c r="EN69" s="60">
        <f t="shared" si="74"/>
        <v>581.99260267446846</v>
      </c>
      <c r="EO69" s="60">
        <f ca="1">AVERAGE(OFFSET($EN$3,0,0,'Données projet'!$E$15+1,1))-AVERAGE(OFFSET($H$3,0,0,'Données projet'!$E$15+1,1))</f>
        <v>236.22643401787644</v>
      </c>
      <c r="EP69" s="60">
        <f t="shared" ref="EP69:EP132" si="100">$EP$3</f>
        <v>188.80444043778022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3.6</v>
      </c>
      <c r="FE69" s="13">
        <f>IF('Données projet'!$A$218&gt;35,FE68+FD69-FM68,IF(A69&lt;'Données projet'!$A$218,$FB$205^A69,IF(A69='Données projet'!$A$218,'Données projet'!$B$218,FE68+FD69-FM68)))</f>
        <v>117.59999999999997</v>
      </c>
      <c r="FF69" s="18">
        <f>FE69*VLOOKUP('Données projet'!$B$16,Paramètres!$A$1:$I$89,3,0)*VLOOKUP('Données projet'!$B$16,Paramètres!$A$1:$I$89,5,0)</f>
        <v>113.74271999999996</v>
      </c>
      <c r="FG69" s="14">
        <f t="shared" ref="FG69:FG132" si="101">EXP(-1.0587+0.8836*LN(FF69)+0.284)</f>
        <v>30.211074114233345</v>
      </c>
      <c r="FH69" s="22">
        <f t="shared" si="76"/>
        <v>250.71952474895636</v>
      </c>
      <c r="FI69" s="60">
        <f t="shared" si="77"/>
        <v>544.05285808228973</v>
      </c>
      <c r="FJ69" s="60">
        <f ca="1">AVERAGE(OFFSET($FI$3,0,0,'Données projet'!$E$16+1,1))-AVERAGE(OFFSET($H$3,0,0,'Données projet'!$E$16+1,1))</f>
        <v>255.59755832175625</v>
      </c>
      <c r="FK69" s="60">
        <f t="shared" ref="FK69:FK132" si="102">$FK$3</f>
        <v>154.0840647586964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0" t="e">
        <f t="shared" si="80"/>
        <v>#N/A</v>
      </c>
      <c r="GE69" s="60" t="e">
        <f ca="1">AVERAGE(OFFSET($GD$3,0,0,'Données projet'!$E$17+1,1))-AVERAGE(OFFSET($H$3,0,0,'Données projet'!$E$17+1,1))</f>
        <v>#N/A</v>
      </c>
      <c r="GF69" s="60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7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0" t="e">
        <f t="shared" si="83"/>
        <v>#N/A</v>
      </c>
      <c r="GZ69" s="60" t="e">
        <f ca="1">AVERAGE(OFFSET($GY$3,0,0,'Données projet'!$E$18+1,1))-AVERAGE(OFFSET($H$3,0,0,'Données projet'!$E$18+1,1))</f>
        <v>#N/A</v>
      </c>
      <c r="HA69" s="60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5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68">
        <f t="shared" si="56"/>
        <v>256.66666666666669</v>
      </c>
      <c r="I70" s="7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0" t="e">
        <f t="shared" si="55"/>
        <v>#NUM!</v>
      </c>
      <c r="S70" s="60">
        <f ca="1">AVERAGE(OFFSET($R$3,0,0,'Données projet'!$E$9+1,1))-AVERAGE(OFFSET($H$3,0,0,'Données projet'!$E$9+1,1))</f>
        <v>64.775385872852041</v>
      </c>
      <c r="T70" s="60">
        <f t="shared" si="88"/>
        <v>201.69061202990468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15.44360597652128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1.6296294365255641E-7</v>
      </c>
      <c r="AC70" s="24">
        <f t="shared" si="57"/>
        <v>15.443606139484224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245.99639999999997</v>
      </c>
      <c r="AK70" s="14">
        <f t="shared" si="89"/>
        <v>59.72782632026442</v>
      </c>
      <c r="AL70" s="22">
        <f t="shared" si="58"/>
        <v>532.46969417446041</v>
      </c>
      <c r="AM70" s="60">
        <f t="shared" si="59"/>
        <v>825.80302750779379</v>
      </c>
      <c r="AN70" s="60">
        <f ca="1">AVERAGE(OFFSET($AM$3,0,0,'Données projet'!$E$10+1,1))-AVERAGE(OFFSET($H$3,0,0,'Données projet'!$E$10+1,1))</f>
        <v>475.47920969424894</v>
      </c>
      <c r="AO70" s="60">
        <f t="shared" si="90"/>
        <v>271.73544012419364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7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6.7984728957526396E-14</v>
      </c>
      <c r="BF70" s="14">
        <f t="shared" si="91"/>
        <v>1.0682447123141398E-12</v>
      </c>
      <c r="BG70" s="22">
        <f t="shared" si="61"/>
        <v>1.978932943548152E-12</v>
      </c>
      <c r="BH70" s="60">
        <f t="shared" si="62"/>
        <v>293.3333333333353</v>
      </c>
      <c r="BI70" s="60">
        <f ca="1">AVERAGE(OFFSET($BH$3,0,0,'Données projet'!$E$11+1,1))-AVERAGE(OFFSET($H$3,0,0,'Données projet'!$E$11+1,1))</f>
        <v>260.02504691866199</v>
      </c>
      <c r="BJ70" s="60">
        <f t="shared" si="92"/>
        <v>270.11268336406368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4.8098196761599077</v>
      </c>
      <c r="BQ70" s="23">
        <f>EXP(-LN(2)/25)*BQ69+(1-EXP(-LN(2)/25))/(LN(2)/25)*Calculateur!BL70*Calculateur!BN70*VLOOKUP('Données projet'!$B$11,Paramètres!$A$1:$I$89,3,0)*0.475*44/12</f>
        <v>5.8921355374294135</v>
      </c>
      <c r="BR70" s="23">
        <f>EXP(-LN(2)/2)*BR69+(1-EXP(-LN(2)/2))/(LN(2)/2)*BL70*BO70*VLOOKUP('Données projet'!$B$11,Paramètres!$A$1:$I$89,3,0)*0.475*44/12</f>
        <v>1.7101399907381547E-5</v>
      </c>
      <c r="BS70" s="24">
        <f t="shared" si="63"/>
        <v>10.701972314989229</v>
      </c>
      <c r="BT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9.8224358974358967</v>
      </c>
      <c r="BY70" s="13">
        <f>IF('Données projet'!$A$114&gt;35,BY69+BX70-CG69,IF(A70&lt;'Données projet'!$A$114,$BV$205^A70,IF(A70='Données projet'!$A$114,'Données projet'!$B$114,BY69+BX70-CG69)))</f>
        <v>281.89743589743614</v>
      </c>
      <c r="BZ70" s="14">
        <f>BY70*VLOOKUP('Données projet'!$B$12,Paramètres!$A$1:$I$89,3,0)*VLOOKUP('Données projet'!$B$12,Paramètres!$A$1:$I$89,5,0)</f>
        <v>131.92800000000011</v>
      </c>
      <c r="CA70" s="14">
        <f t="shared" si="93"/>
        <v>34.441481093359563</v>
      </c>
      <c r="CB70" s="22">
        <f t="shared" si="64"/>
        <v>289.76017957093472</v>
      </c>
      <c r="CC70" s="60">
        <f t="shared" si="65"/>
        <v>583.09351290426798</v>
      </c>
      <c r="CD70" s="60">
        <f ca="1">AVERAGE(OFFSET($CC$3,0,0,'Données projet'!$E$12+1,1))-AVERAGE(OFFSET($H$3,0,0,'Données projet'!$E$12+1,1))</f>
        <v>246.72166704460847</v>
      </c>
      <c r="CE70" s="60">
        <f t="shared" si="94"/>
        <v>145.54897745089966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242.59999999999994</v>
      </c>
      <c r="CU70" s="18">
        <f>CT70*VLOOKUP('Données projet'!$B$13,Paramètres!$A$1:$I$89,3,0)*VLOOKUP('Données projet'!$B$13,Paramètres!$A$1:$I$89,5,0)</f>
        <v>219.50447999999992</v>
      </c>
      <c r="CV70" s="14">
        <f t="shared" si="95"/>
        <v>54.007172767040167</v>
      </c>
      <c r="CW70" s="22">
        <f t="shared" si="67"/>
        <v>476.36612856926143</v>
      </c>
      <c r="CX70" s="60">
        <f t="shared" si="68"/>
        <v>769.69946190259475</v>
      </c>
      <c r="CY70" s="60">
        <f ca="1">AVERAGE(OFFSET($CX$3,0,0,'Données projet'!$E$13+1,1))-AVERAGE(OFFSET($H$3,0,0,'Données projet'!$E$13+1,1))</f>
        <v>428.8489304403459</v>
      </c>
      <c r="CZ70" s="60">
        <f t="shared" si="96"/>
        <v>247.01165577562966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4.8717948717948669</v>
      </c>
      <c r="DO70" s="13">
        <f>IF('Données projet'!$A$166&gt;35,DO69+DN70-DW69,IF(A70&lt;'Données projet'!$A$166,$DL$205^A70,IF(A70='Données projet'!$A$166,'Données projet'!$B$166,DO69+DN70-DW69)))</f>
        <v>243.71794871794856</v>
      </c>
      <c r="DP70" s="18">
        <f>DO70*VLOOKUP('Données projet'!$B$14,Paramètres!$A$1:$I$89,3,0)*VLOOKUP('Données projet'!$B$14,Paramètres!$A$1:$I$89,5,0)</f>
        <v>254.73399999999987</v>
      </c>
      <c r="DQ70" s="14">
        <f t="shared" si="97"/>
        <v>61.598546307129801</v>
      </c>
      <c r="DR70" s="22">
        <f t="shared" si="70"/>
        <v>550.94585148491763</v>
      </c>
      <c r="DS70" s="60">
        <f t="shared" si="71"/>
        <v>844.279184818251</v>
      </c>
      <c r="DT70" s="60">
        <f ca="1">AVERAGE(OFFSET($DS$3,0,0,'Données projet'!$E$14+1,1))-AVERAGE(OFFSET($H$3,0,0,'Données projet'!$E$14+1,1))</f>
        <v>493.70175665335978</v>
      </c>
      <c r="DU70" s="60">
        <f t="shared" si="98"/>
        <v>325.12357781685949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</v>
      </c>
      <c r="EJ70" s="13">
        <f>IF('Données projet'!$A$192&gt;35,EJ69+EI70-ER69,IF(A70&lt;'Données projet'!$A$192,$EG$205^A70,IF(A70='Données projet'!$A$192,'Données projet'!$B$192,EJ69+EI70-ER69)))</f>
        <v>165.99999999999991</v>
      </c>
      <c r="EK70" s="18">
        <f>EJ70*VLOOKUP('Données projet'!$B$15,Paramètres!$A$1:$I$89,3,0)*VLOOKUP('Données projet'!$B$15,Paramètres!$A$1:$I$89,5,0)</f>
        <v>134.65919999999994</v>
      </c>
      <c r="EL70" s="14">
        <f t="shared" si="99"/>
        <v>35.070747374417302</v>
      </c>
      <c r="EM70" s="22">
        <f t="shared" si="73"/>
        <v>295.61299167710996</v>
      </c>
      <c r="EN70" s="60">
        <f t="shared" si="74"/>
        <v>588.94632501044327</v>
      </c>
      <c r="EO70" s="60">
        <f ca="1">AVERAGE(OFFSET($EN$3,0,0,'Données projet'!$E$15+1,1))-AVERAGE(OFFSET($H$3,0,0,'Données projet'!$E$15+1,1))</f>
        <v>236.22643401787644</v>
      </c>
      <c r="EP70" s="60">
        <f t="shared" si="100"/>
        <v>188.80444043778022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3.6</v>
      </c>
      <c r="FE70" s="13">
        <f>IF('Données projet'!$A$218&gt;35,FE69+FD70-FM69,IF(A70&lt;'Données projet'!$A$218,$FB$205^A70,IF(A70='Données projet'!$A$218,'Données projet'!$B$218,FE69+FD70-FM69)))</f>
        <v>121.19999999999996</v>
      </c>
      <c r="FF70" s="18">
        <f>FE70*VLOOKUP('Données projet'!$B$16,Paramètres!$A$1:$I$89,3,0)*VLOOKUP('Données projet'!$B$16,Paramètres!$A$1:$I$89,5,0)</f>
        <v>117.22463999999997</v>
      </c>
      <c r="FG70" s="14">
        <f t="shared" si="101"/>
        <v>31.026813250993953</v>
      </c>
      <c r="FH70" s="22">
        <f t="shared" si="76"/>
        <v>258.20461441214769</v>
      </c>
      <c r="FI70" s="60">
        <f t="shared" si="77"/>
        <v>551.53794774548101</v>
      </c>
      <c r="FJ70" s="60">
        <f ca="1">AVERAGE(OFFSET($FI$3,0,0,'Données projet'!$E$16+1,1))-AVERAGE(OFFSET($H$3,0,0,'Données projet'!$E$16+1,1))</f>
        <v>255.59755832175625</v>
      </c>
      <c r="FK70" s="60">
        <f t="shared" si="102"/>
        <v>154.0840647586964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0" t="e">
        <f t="shared" si="80"/>
        <v>#N/A</v>
      </c>
      <c r="GE70" s="60" t="e">
        <f ca="1">AVERAGE(OFFSET($GD$3,0,0,'Données projet'!$E$17+1,1))-AVERAGE(OFFSET($H$3,0,0,'Données projet'!$E$17+1,1))</f>
        <v>#N/A</v>
      </c>
      <c r="GF70" s="60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7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0" t="e">
        <f t="shared" si="83"/>
        <v>#N/A</v>
      </c>
      <c r="GZ70" s="60" t="e">
        <f ca="1">AVERAGE(OFFSET($GY$3,0,0,'Données projet'!$E$18+1,1))-AVERAGE(OFFSET($H$3,0,0,'Données projet'!$E$18+1,1))</f>
        <v>#N/A</v>
      </c>
      <c r="HA70" s="60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5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68">
        <f t="shared" si="56"/>
        <v>256.66666666666669</v>
      </c>
      <c r="I71" s="7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0" t="e">
        <f t="shared" si="55"/>
        <v>#NUM!</v>
      </c>
      <c r="S71" s="60">
        <f ca="1">AVERAGE(OFFSET($R$3,0,0,'Données projet'!$E$9+1,1))-AVERAGE(OFFSET($H$3,0,0,'Données projet'!$E$9+1,1))</f>
        <v>64.775385872852041</v>
      </c>
      <c r="T71" s="60">
        <f t="shared" si="88"/>
        <v>201.69061202990468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15.140766282991228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1.1523220253884389E-7</v>
      </c>
      <c r="AC71" s="24">
        <f t="shared" si="57"/>
        <v>15.14076639822343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252.89159999999998</v>
      </c>
      <c r="AK71" s="14">
        <f t="shared" si="89"/>
        <v>61.204718436590312</v>
      </c>
      <c r="AL71" s="22">
        <f t="shared" si="58"/>
        <v>547.05108794372802</v>
      </c>
      <c r="AM71" s="60">
        <f t="shared" si="59"/>
        <v>840.38442127706139</v>
      </c>
      <c r="AN71" s="60">
        <f ca="1">AVERAGE(OFFSET($AM$3,0,0,'Données projet'!$E$10+1,1))-AVERAGE(OFFSET($H$3,0,0,'Données projet'!$E$10+1,1))</f>
        <v>475.47920969424894</v>
      </c>
      <c r="AO71" s="60">
        <f t="shared" si="90"/>
        <v>271.73544012419364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7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6.7984728957526396E-14</v>
      </c>
      <c r="BF71" s="14">
        <f t="shared" si="91"/>
        <v>1.0682447123141398E-12</v>
      </c>
      <c r="BG71" s="22">
        <f t="shared" si="61"/>
        <v>1.978932943548152E-12</v>
      </c>
      <c r="BH71" s="60">
        <f t="shared" si="62"/>
        <v>293.3333333333353</v>
      </c>
      <c r="BI71" s="60">
        <f ca="1">AVERAGE(OFFSET($BH$3,0,0,'Données projet'!$E$11+1,1))-AVERAGE(OFFSET($H$3,0,0,'Données projet'!$E$11+1,1))</f>
        <v>260.02504691866199</v>
      </c>
      <c r="BJ71" s="60">
        <f t="shared" si="92"/>
        <v>270.11268336406368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4.7155020460107355</v>
      </c>
      <c r="BQ71" s="23">
        <f>EXP(-LN(2)/25)*BQ70+(1-EXP(-LN(2)/25))/(LN(2)/25)*Calculateur!BL71*Calculateur!BN71*VLOOKUP('Données projet'!$B$11,Paramètres!$A$1:$I$89,3,0)*0.475*44/12</f>
        <v>5.7310147813044647</v>
      </c>
      <c r="BR71" s="23">
        <f>EXP(-LN(2)/2)*BR70+(1-EXP(-LN(2)/2))/(LN(2)/2)*BL71*BO71*VLOOKUP('Données projet'!$B$11,Paramètres!$A$1:$I$89,3,0)*0.475*44/12</f>
        <v>1.2092515842292488E-5</v>
      </c>
      <c r="BS71" s="24">
        <f t="shared" si="63"/>
        <v>10.446528919831042</v>
      </c>
      <c r="BT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9.8224358974358967</v>
      </c>
      <c r="BY71" s="13">
        <f>IF('Données projet'!$A$114&gt;35,BY70+BX71-CG70,IF(A71&lt;'Données projet'!$A$114,$BV$205^A71,IF(A71='Données projet'!$A$114,'Données projet'!$B$114,BY70+BX71-CG70)))</f>
        <v>291.71987179487206</v>
      </c>
      <c r="BZ71" s="14">
        <f>BY71*VLOOKUP('Données projet'!$B$12,Paramètres!$A$1:$I$89,3,0)*VLOOKUP('Données projet'!$B$12,Paramètres!$A$1:$I$89,5,0)</f>
        <v>136.52490000000012</v>
      </c>
      <c r="CA71" s="14">
        <f t="shared" si="93"/>
        <v>35.49974803884507</v>
      </c>
      <c r="CB71" s="22">
        <f t="shared" si="64"/>
        <v>299.60959533432202</v>
      </c>
      <c r="CC71" s="60">
        <f t="shared" si="65"/>
        <v>592.94292866765534</v>
      </c>
      <c r="CD71" s="60">
        <f ca="1">AVERAGE(OFFSET($CC$3,0,0,'Données projet'!$E$12+1,1))-AVERAGE(OFFSET($H$3,0,0,'Données projet'!$E$12+1,1))</f>
        <v>246.72166704460847</v>
      </c>
      <c r="CE71" s="60">
        <f t="shared" si="94"/>
        <v>145.54897745089966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249.39999999999995</v>
      </c>
      <c r="CU71" s="18">
        <f>CT71*VLOOKUP('Données projet'!$B$13,Paramètres!$A$1:$I$89,3,0)*VLOOKUP('Données projet'!$B$13,Paramètres!$A$1:$I$89,5,0)</f>
        <v>225.65711999999994</v>
      </c>
      <c r="CV71" s="14">
        <f t="shared" si="95"/>
        <v>55.342610076561513</v>
      </c>
      <c r="CW71" s="22">
        <f t="shared" si="67"/>
        <v>489.40786321667775</v>
      </c>
      <c r="CX71" s="60">
        <f t="shared" si="68"/>
        <v>782.74119655001107</v>
      </c>
      <c r="CY71" s="60">
        <f ca="1">AVERAGE(OFFSET($CX$3,0,0,'Données projet'!$E$13+1,1))-AVERAGE(OFFSET($H$3,0,0,'Données projet'!$E$13+1,1))</f>
        <v>428.8489304403459</v>
      </c>
      <c r="CZ71" s="60">
        <f t="shared" si="96"/>
        <v>247.01165577562966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4.8717948717948669</v>
      </c>
      <c r="DO71" s="13">
        <f>IF('Données projet'!$A$166&gt;35,DO70+DN71-DW70,IF(A71&lt;'Données projet'!$A$166,$DL$205^A71,IF(A71='Données projet'!$A$166,'Données projet'!$B$166,DO70+DN71-DW70)))</f>
        <v>248.58974358974342</v>
      </c>
      <c r="DP71" s="18">
        <f>DO71*VLOOKUP('Données projet'!$B$14,Paramètres!$A$1:$I$89,3,0)*VLOOKUP('Données projet'!$B$14,Paramètres!$A$1:$I$89,5,0)</f>
        <v>259.82599999999985</v>
      </c>
      <c r="DQ71" s="14">
        <f t="shared" si="97"/>
        <v>62.685286742684056</v>
      </c>
      <c r="DR71" s="22">
        <f t="shared" si="70"/>
        <v>561.70715774350776</v>
      </c>
      <c r="DS71" s="60">
        <f t="shared" si="71"/>
        <v>855.04049107684114</v>
      </c>
      <c r="DT71" s="60">
        <f ca="1">AVERAGE(OFFSET($DS$3,0,0,'Données projet'!$E$14+1,1))-AVERAGE(OFFSET($H$3,0,0,'Données projet'!$E$14+1,1))</f>
        <v>493.70175665335978</v>
      </c>
      <c r="DU71" s="60">
        <f t="shared" si="98"/>
        <v>325.12357781685949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</v>
      </c>
      <c r="EJ71" s="13">
        <f>IF('Données projet'!$A$192&gt;35,EJ70+EI71-ER70,IF(A71&lt;'Données projet'!$A$192,$EG$205^A71,IF(A71='Données projet'!$A$192,'Données projet'!$B$192,EJ70+EI71-ER70)))</f>
        <v>169.99999999999991</v>
      </c>
      <c r="EK71" s="18">
        <f>EJ71*VLOOKUP('Données projet'!$B$15,Paramètres!$A$1:$I$89,3,0)*VLOOKUP('Données projet'!$B$15,Paramètres!$A$1:$I$89,5,0)</f>
        <v>137.90399999999994</v>
      </c>
      <c r="EL71" s="14">
        <f t="shared" si="99"/>
        <v>35.816420593519346</v>
      </c>
      <c r="EM71" s="22">
        <f t="shared" si="73"/>
        <v>302.56306586704608</v>
      </c>
      <c r="EN71" s="60">
        <f t="shared" si="74"/>
        <v>595.89639920037939</v>
      </c>
      <c r="EO71" s="60">
        <f ca="1">AVERAGE(OFFSET($EN$3,0,0,'Données projet'!$E$15+1,1))-AVERAGE(OFFSET($H$3,0,0,'Données projet'!$E$15+1,1))</f>
        <v>236.22643401787644</v>
      </c>
      <c r="EP71" s="60">
        <f t="shared" si="100"/>
        <v>188.80444043778022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3.6</v>
      </c>
      <c r="FE71" s="13">
        <f>IF('Données projet'!$A$218&gt;35,FE70+FD71-FM70,IF(A71&lt;'Données projet'!$A$218,$FB$205^A71,IF(A71='Données projet'!$A$218,'Données projet'!$B$218,FE70+FD71-FM70)))</f>
        <v>124.79999999999995</v>
      </c>
      <c r="FF71" s="18">
        <f>FE71*VLOOKUP('Données projet'!$B$16,Paramètres!$A$1:$I$89,3,0)*VLOOKUP('Données projet'!$B$16,Paramètres!$A$1:$I$89,5,0)</f>
        <v>120.70655999999997</v>
      </c>
      <c r="FG71" s="14">
        <f t="shared" si="101"/>
        <v>31.839736462736809</v>
      </c>
      <c r="FH71" s="22">
        <f t="shared" si="76"/>
        <v>265.68479967259987</v>
      </c>
      <c r="FI71" s="60">
        <f t="shared" si="77"/>
        <v>559.01813300593312</v>
      </c>
      <c r="FJ71" s="60">
        <f ca="1">AVERAGE(OFFSET($FI$3,0,0,'Données projet'!$E$16+1,1))-AVERAGE(OFFSET($H$3,0,0,'Données projet'!$E$16+1,1))</f>
        <v>255.59755832175625</v>
      </c>
      <c r="FK71" s="60">
        <f t="shared" si="102"/>
        <v>154.0840647586964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0" t="e">
        <f t="shared" si="80"/>
        <v>#N/A</v>
      </c>
      <c r="GE71" s="60" t="e">
        <f ca="1">AVERAGE(OFFSET($GD$3,0,0,'Données projet'!$E$17+1,1))-AVERAGE(OFFSET($H$3,0,0,'Données projet'!$E$17+1,1))</f>
        <v>#N/A</v>
      </c>
      <c r="GF71" s="60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7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0" t="e">
        <f t="shared" si="83"/>
        <v>#N/A</v>
      </c>
      <c r="GZ71" s="60" t="e">
        <f ca="1">AVERAGE(OFFSET($GY$3,0,0,'Données projet'!$E$18+1,1))-AVERAGE(OFFSET($H$3,0,0,'Données projet'!$E$18+1,1))</f>
        <v>#N/A</v>
      </c>
      <c r="HA71" s="60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5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68">
        <f t="shared" si="56"/>
        <v>256.66666666666669</v>
      </c>
      <c r="I72" s="7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0" t="e">
        <f t="shared" si="55"/>
        <v>#NUM!</v>
      </c>
      <c r="S72" s="60">
        <f ca="1">AVERAGE(OFFSET($R$3,0,0,'Données projet'!$E$9+1,1))-AVERAGE(OFFSET($H$3,0,0,'Données projet'!$E$9+1,1))</f>
        <v>64.775385872852041</v>
      </c>
      <c r="T72" s="60">
        <f t="shared" si="88"/>
        <v>201.69061202990468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14.843865091137326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8.1481471826278219E-8</v>
      </c>
      <c r="AC72" s="24">
        <f t="shared" si="57"/>
        <v>14.843865172618798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259.78679999999997</v>
      </c>
      <c r="AK72" s="14">
        <f t="shared" si="89"/>
        <v>62.676930162260739</v>
      </c>
      <c r="AL72" s="22">
        <f t="shared" si="58"/>
        <v>561.62433003260401</v>
      </c>
      <c r="AM72" s="60">
        <f t="shared" si="59"/>
        <v>854.95766336593738</v>
      </c>
      <c r="AN72" s="60">
        <f ca="1">AVERAGE(OFFSET($AM$3,0,0,'Données projet'!$E$10+1,1))-AVERAGE(OFFSET($H$3,0,0,'Données projet'!$E$10+1,1))</f>
        <v>475.47920969424894</v>
      </c>
      <c r="AO72" s="60">
        <f t="shared" si="90"/>
        <v>271.73544012419364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7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6.7984728957526396E-14</v>
      </c>
      <c r="BF72" s="14">
        <f t="shared" si="91"/>
        <v>1.0682447123141398E-12</v>
      </c>
      <c r="BG72" s="22">
        <f t="shared" si="61"/>
        <v>1.978932943548152E-12</v>
      </c>
      <c r="BH72" s="60">
        <f t="shared" si="62"/>
        <v>293.3333333333353</v>
      </c>
      <c r="BI72" s="60">
        <f ca="1">AVERAGE(OFFSET($BH$3,0,0,'Données projet'!$E$11+1,1))-AVERAGE(OFFSET($H$3,0,0,'Données projet'!$E$11+1,1))</f>
        <v>260.02504691866199</v>
      </c>
      <c r="BJ72" s="60">
        <f t="shared" si="92"/>
        <v>270.11268336406368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4.6230339270607148</v>
      </c>
      <c r="BQ72" s="23">
        <f>EXP(-LN(2)/25)*BQ71+(1-EXP(-LN(2)/25))/(LN(2)/25)*Calculateur!BL72*Calculateur!BN72*VLOOKUP('Données projet'!$B$11,Paramètres!$A$1:$I$89,3,0)*0.475*44/12</f>
        <v>5.5742998807287254</v>
      </c>
      <c r="BR72" s="23">
        <f>EXP(-LN(2)/2)*BR71+(1-EXP(-LN(2)/2))/(LN(2)/2)*BL72*BO72*VLOOKUP('Données projet'!$B$11,Paramètres!$A$1:$I$89,3,0)*0.475*44/12</f>
        <v>8.5506999536907734E-6</v>
      </c>
      <c r="BS72" s="24">
        <f t="shared" si="63"/>
        <v>10.197342358489395</v>
      </c>
      <c r="BT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9.8224358974358967</v>
      </c>
      <c r="BY72" s="13">
        <f>IF('Données projet'!$A$114&gt;35,BY71+BX72-CG71,IF(A72&lt;'Données projet'!$A$114,$BV$205^A72,IF(A72='Données projet'!$A$114,'Données projet'!$B$114,BY71+BX72-CG71)))</f>
        <v>301.54230769230799</v>
      </c>
      <c r="BZ72" s="14">
        <f>BY72*VLOOKUP('Données projet'!$B$12,Paramètres!$A$1:$I$89,3,0)*VLOOKUP('Données projet'!$B$12,Paramètres!$A$1:$I$89,5,0)</f>
        <v>141.12180000000015</v>
      </c>
      <c r="CA72" s="14">
        <f t="shared" si="93"/>
        <v>36.553874631825011</v>
      </c>
      <c r="CB72" s="22">
        <f t="shared" si="64"/>
        <v>309.4517999837621</v>
      </c>
      <c r="CC72" s="60">
        <f t="shared" si="65"/>
        <v>602.78513331709541</v>
      </c>
      <c r="CD72" s="60">
        <f ca="1">AVERAGE(OFFSET($CC$3,0,0,'Données projet'!$E$12+1,1))-AVERAGE(OFFSET($H$3,0,0,'Données projet'!$E$12+1,1))</f>
        <v>246.72166704460847</v>
      </c>
      <c r="CE72" s="60">
        <f t="shared" si="94"/>
        <v>145.54897745089966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256.19999999999993</v>
      </c>
      <c r="CU72" s="18">
        <f>CT72*VLOOKUP('Données projet'!$B$13,Paramètres!$A$1:$I$89,3,0)*VLOOKUP('Données projet'!$B$13,Paramètres!$A$1:$I$89,5,0)</f>
        <v>231.80975999999993</v>
      </c>
      <c r="CV72" s="14">
        <f t="shared" si="95"/>
        <v>56.673815277159328</v>
      </c>
      <c r="CW72" s="22">
        <f t="shared" si="67"/>
        <v>502.44222694105241</v>
      </c>
      <c r="CX72" s="60">
        <f t="shared" si="68"/>
        <v>795.77556027438573</v>
      </c>
      <c r="CY72" s="60">
        <f ca="1">AVERAGE(OFFSET($CX$3,0,0,'Données projet'!$E$13+1,1))-AVERAGE(OFFSET($H$3,0,0,'Données projet'!$E$13+1,1))</f>
        <v>428.8489304403459</v>
      </c>
      <c r="CZ72" s="60">
        <f t="shared" si="96"/>
        <v>247.01165577562966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4.8717948717948669</v>
      </c>
      <c r="DO72" s="13">
        <f>IF('Données projet'!$A$166&gt;35,DO71+DN72-DW71,IF(A72&lt;'Données projet'!$A$166,$DL$205^A72,IF(A72='Données projet'!$A$166,'Données projet'!$B$166,DO71+DN72-DW71)))</f>
        <v>253.46153846153828</v>
      </c>
      <c r="DP72" s="18">
        <f>DO72*VLOOKUP('Données projet'!$B$14,Paramètres!$A$1:$I$89,3,0)*VLOOKUP('Données projet'!$B$14,Paramètres!$A$1:$I$89,5,0)</f>
        <v>264.91799999999984</v>
      </c>
      <c r="DQ72" s="14">
        <f t="shared" si="97"/>
        <v>63.769550790039318</v>
      </c>
      <c r="DR72" s="22">
        <f t="shared" si="70"/>
        <v>572.4641509593182</v>
      </c>
      <c r="DS72" s="60">
        <f t="shared" si="71"/>
        <v>865.79748429265146</v>
      </c>
      <c r="DT72" s="60">
        <f ca="1">AVERAGE(OFFSET($DS$3,0,0,'Données projet'!$E$14+1,1))-AVERAGE(OFFSET($H$3,0,0,'Données projet'!$E$14+1,1))</f>
        <v>493.70175665335978</v>
      </c>
      <c r="DU72" s="60">
        <f t="shared" si="98"/>
        <v>325.12357781685949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</v>
      </c>
      <c r="EJ72" s="13">
        <f>IF('Données projet'!$A$192&gt;35,EJ71+EI72-ER71,IF(A72&lt;'Données projet'!$A$192,$EG$205^A72,IF(A72='Données projet'!$A$192,'Données projet'!$B$192,EJ71+EI72-ER71)))</f>
        <v>173.99999999999991</v>
      </c>
      <c r="EK72" s="18">
        <f>EJ72*VLOOKUP('Données projet'!$B$15,Paramètres!$A$1:$I$89,3,0)*VLOOKUP('Données projet'!$B$15,Paramètres!$A$1:$I$89,5,0)</f>
        <v>141.14879999999994</v>
      </c>
      <c r="EL72" s="14">
        <f t="shared" si="99"/>
        <v>36.560054140504484</v>
      </c>
      <c r="EM72" s="22">
        <f t="shared" si="73"/>
        <v>309.50958762804521</v>
      </c>
      <c r="EN72" s="60">
        <f t="shared" si="74"/>
        <v>602.84292096137847</v>
      </c>
      <c r="EO72" s="60">
        <f ca="1">AVERAGE(OFFSET($EN$3,0,0,'Données projet'!$E$15+1,1))-AVERAGE(OFFSET($H$3,0,0,'Données projet'!$E$15+1,1))</f>
        <v>236.22643401787644</v>
      </c>
      <c r="EP72" s="60">
        <f t="shared" si="100"/>
        <v>188.80444043778022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3.6</v>
      </c>
      <c r="FE72" s="13">
        <f>IF('Données projet'!$A$218&gt;35,FE71+FD72-FM71,IF(A72&lt;'Données projet'!$A$218,$FB$205^A72,IF(A72='Données projet'!$A$218,'Données projet'!$B$218,FE71+FD72-FM71)))</f>
        <v>128.39999999999995</v>
      </c>
      <c r="FF72" s="18">
        <f>FE72*VLOOKUP('Données projet'!$B$16,Paramètres!$A$1:$I$89,3,0)*VLOOKUP('Données projet'!$B$16,Paramètres!$A$1:$I$89,5,0)</f>
        <v>124.18847999999994</v>
      </c>
      <c r="FG72" s="14">
        <f t="shared" si="101"/>
        <v>32.64993430645783</v>
      </c>
      <c r="FH72" s="22">
        <f t="shared" si="76"/>
        <v>273.16023825041395</v>
      </c>
      <c r="FI72" s="60">
        <f t="shared" si="77"/>
        <v>566.49357158374733</v>
      </c>
      <c r="FJ72" s="60">
        <f ca="1">AVERAGE(OFFSET($FI$3,0,0,'Données projet'!$E$16+1,1))-AVERAGE(OFFSET($H$3,0,0,'Données projet'!$E$16+1,1))</f>
        <v>255.59755832175625</v>
      </c>
      <c r="FK72" s="60">
        <f t="shared" si="102"/>
        <v>154.0840647586964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0" t="e">
        <f t="shared" si="80"/>
        <v>#N/A</v>
      </c>
      <c r="GE72" s="60" t="e">
        <f ca="1">AVERAGE(OFFSET($GD$3,0,0,'Données projet'!$E$17+1,1))-AVERAGE(OFFSET($H$3,0,0,'Données projet'!$E$17+1,1))</f>
        <v>#N/A</v>
      </c>
      <c r="GF72" s="60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7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0" t="e">
        <f t="shared" si="83"/>
        <v>#N/A</v>
      </c>
      <c r="GZ72" s="60" t="e">
        <f ca="1">AVERAGE(OFFSET($GY$3,0,0,'Données projet'!$E$18+1,1))-AVERAGE(OFFSET($H$3,0,0,'Données projet'!$E$18+1,1))</f>
        <v>#N/A</v>
      </c>
      <c r="HA72" s="60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5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68">
        <f t="shared" si="56"/>
        <v>256.66666666666669</v>
      </c>
      <c r="I73" s="7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0" t="e">
        <f t="shared" si="55"/>
        <v>#NUM!</v>
      </c>
      <c r="S73" s="60">
        <f ca="1">AVERAGE(OFFSET($R$3,0,0,'Données projet'!$E$9+1,1))-AVERAGE(OFFSET($H$3,0,0,'Données projet'!$E$9+1,1))</f>
        <v>64.775385872852041</v>
      </c>
      <c r="T73" s="60">
        <f t="shared" si="88"/>
        <v>201.69061202990468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14.552785950563834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5.7616101269421951E-8</v>
      </c>
      <c r="AC73" s="24">
        <f t="shared" si="57"/>
        <v>14.552786008179936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266.68199999999996</v>
      </c>
      <c r="AK73" s="14">
        <f t="shared" si="89"/>
        <v>64.144600001897771</v>
      </c>
      <c r="AL73" s="22">
        <f t="shared" si="58"/>
        <v>576.189661669972</v>
      </c>
      <c r="AM73" s="60">
        <f t="shared" si="59"/>
        <v>869.52299500330537</v>
      </c>
      <c r="AN73" s="60">
        <f ca="1">AVERAGE(OFFSET($AM$3,0,0,'Données projet'!$E$10+1,1))-AVERAGE(OFFSET($H$3,0,0,'Données projet'!$E$10+1,1))</f>
        <v>475.47920969424894</v>
      </c>
      <c r="AO73" s="60">
        <f t="shared" si="90"/>
        <v>271.73544012419364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7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6.7984728957526396E-14</v>
      </c>
      <c r="BF73" s="14">
        <f t="shared" si="91"/>
        <v>1.0682447123141398E-12</v>
      </c>
      <c r="BG73" s="22">
        <f t="shared" si="61"/>
        <v>1.978932943548152E-12</v>
      </c>
      <c r="BH73" s="60">
        <f t="shared" si="62"/>
        <v>293.3333333333353</v>
      </c>
      <c r="BI73" s="60">
        <f ca="1">AVERAGE(OFFSET($BH$3,0,0,'Données projet'!$E$11+1,1))-AVERAGE(OFFSET($H$3,0,0,'Données projet'!$E$11+1,1))</f>
        <v>260.02504691866199</v>
      </c>
      <c r="BJ73" s="60">
        <f t="shared" si="92"/>
        <v>270.11268336406368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4.5323790515233204</v>
      </c>
      <c r="BQ73" s="23">
        <f>EXP(-LN(2)/25)*BQ72+(1-EXP(-LN(2)/25))/(LN(2)/25)*Calculateur!BL73*Calculateur!BN73*VLOOKUP('Données projet'!$B$11,Paramètres!$A$1:$I$89,3,0)*0.475*44/12</f>
        <v>5.4218703573505076</v>
      </c>
      <c r="BR73" s="23">
        <f>EXP(-LN(2)/2)*BR72+(1-EXP(-LN(2)/2))/(LN(2)/2)*BL73*BO73*VLOOKUP('Données projet'!$B$11,Paramètres!$A$1:$I$89,3,0)*0.475*44/12</f>
        <v>6.0462579211462438E-6</v>
      </c>
      <c r="BS73" s="24">
        <f t="shared" si="63"/>
        <v>9.954255455131749</v>
      </c>
      <c r="BT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9.8224358974358967</v>
      </c>
      <c r="BY73" s="13">
        <f>IF('Données projet'!$A$114&gt;35,BY72+BX73-CG72,IF(A73&lt;'Données projet'!$A$114,$BV$205^A73,IF(A73='Données projet'!$A$114,'Données projet'!$B$114,BY72+BX73-CG72)))</f>
        <v>311.36474358974391</v>
      </c>
      <c r="BZ73" s="14">
        <f>BY73*VLOOKUP('Données projet'!$B$12,Paramètres!$A$1:$I$89,3,0)*VLOOKUP('Données projet'!$B$12,Paramètres!$A$1:$I$89,5,0)</f>
        <v>145.71870000000015</v>
      </c>
      <c r="CA73" s="14">
        <f t="shared" si="93"/>
        <v>37.604011207604955</v>
      </c>
      <c r="CB73" s="22">
        <f t="shared" si="64"/>
        <v>319.28705535324553</v>
      </c>
      <c r="CC73" s="60">
        <f t="shared" si="65"/>
        <v>612.62038868657885</v>
      </c>
      <c r="CD73" s="60">
        <f ca="1">AVERAGE(OFFSET($CC$3,0,0,'Données projet'!$E$12+1,1))-AVERAGE(OFFSET($H$3,0,0,'Données projet'!$E$12+1,1))</f>
        <v>246.72166704460847</v>
      </c>
      <c r="CE73" s="60">
        <f t="shared" si="94"/>
        <v>145.54897745089966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263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262.99999999999994</v>
      </c>
      <c r="CU73" s="18">
        <f>CT73*VLOOKUP('Données projet'!$B$13,Paramètres!$A$1:$I$89,3,0)*VLOOKUP('Données projet'!$B$13,Paramètres!$A$1:$I$89,5,0)</f>
        <v>237.96239999999995</v>
      </c>
      <c r="CV73" s="14">
        <f t="shared" si="95"/>
        <v>58.00091360766335</v>
      </c>
      <c r="CW73" s="22">
        <f t="shared" si="67"/>
        <v>515.4694378666801</v>
      </c>
      <c r="CX73" s="60">
        <f t="shared" si="68"/>
        <v>808.80277120001347</v>
      </c>
      <c r="CY73" s="60">
        <f ca="1">AVERAGE(OFFSET($CX$3,0,0,'Données projet'!$E$13+1,1))-AVERAGE(OFFSET($H$3,0,0,'Données projet'!$E$13+1,1))</f>
        <v>428.8489304403459</v>
      </c>
      <c r="CZ73" s="60">
        <f t="shared" si="96"/>
        <v>247.01165577562966</v>
      </c>
      <c r="DA73" s="16">
        <f>IF(ISNA(VLOOKUP(A73,'Données projet'!$A$139:$I$159,3,0)),0,VLOOKUP(A73,'Données projet'!$A$139:$I$159,3,0))</f>
        <v>5</v>
      </c>
      <c r="DB73" s="16">
        <f>IF(ISNA(VLOOKUP(A73,'Données projet'!$A$139:$I$159,4,0)),0,VLOOKUP(A73,'Données projet'!$A$139:$I$159,4,0))</f>
        <v>42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258.33333333333331</v>
      </c>
      <c r="DM73" s="13">
        <f>VLOOKUP(A73,'Données projet'!$A$165:$I$185,9,0)</f>
        <v>4.8717948717948669</v>
      </c>
      <c r="DN73" s="13">
        <f t="array" ref="DN73">INDEX(DM:DM,MIN(IF(ISNUMBER(DM73:DM269),ROW(DM73:DM269),"")))</f>
        <v>4.8717948717948669</v>
      </c>
      <c r="DO73" s="13">
        <f>IF('Données projet'!$A$166&gt;35,DO72+DN73-DW72,IF(A73&lt;'Données projet'!$A$166,$DL$205^A73,IF(A73='Données projet'!$A$166,'Données projet'!$B$166,DO72+DN73-DW72)))</f>
        <v>258.33333333333314</v>
      </c>
      <c r="DP73" s="18">
        <f>DO73*VLOOKUP('Données projet'!$B$14,Paramètres!$A$1:$I$89,3,0)*VLOOKUP('Données projet'!$B$14,Paramètres!$A$1:$I$89,5,0)</f>
        <v>270.00999999999982</v>
      </c>
      <c r="DQ73" s="14">
        <f t="shared" si="97"/>
        <v>64.851391535647195</v>
      </c>
      <c r="DR73" s="22">
        <f t="shared" si="70"/>
        <v>583.21692359125188</v>
      </c>
      <c r="DS73" s="60">
        <f t="shared" si="71"/>
        <v>876.55025692458526</v>
      </c>
      <c r="DT73" s="60">
        <f ca="1">AVERAGE(OFFSET($DS$3,0,0,'Données projet'!$E$14+1,1))-AVERAGE(OFFSET($H$3,0,0,'Données projet'!$E$14+1,1))</f>
        <v>493.70175665335978</v>
      </c>
      <c r="DU73" s="60">
        <f t="shared" si="98"/>
        <v>325.12357781685949</v>
      </c>
      <c r="DV73" s="16">
        <f>IF(ISNA(VLOOKUP(A73,'Données projet'!$A$165:$I$185,3,0)),0,VLOOKUP(A73,'Données projet'!$A$165:$I$185,3,0))</f>
        <v>5</v>
      </c>
      <c r="DW73" s="16">
        <f>IF(ISNA(VLOOKUP(A73,'Données projet'!$A$165:$I$185,4,0)),0,VLOOKUP(A73,'Données projet'!$A$165:$I$185,4,0))</f>
        <v>23.076923076923077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178</v>
      </c>
      <c r="EH73" s="13">
        <f>VLOOKUP(A73,'Données projet'!$A$191:$I$211,9,0)</f>
        <v>4</v>
      </c>
      <c r="EI73" s="13">
        <f t="array" ref="EI73">INDEX(EH:EH,MIN(IF(ISNUMBER(EH73:EH269),ROW(EH73:EH269),"")))</f>
        <v>4</v>
      </c>
      <c r="EJ73" s="13">
        <f>IF('Données projet'!$A$192&gt;35,EJ72+EI73-ER72,IF(A73&lt;'Données projet'!$A$192,$EG$205^A73,IF(A73='Données projet'!$A$192,'Données projet'!$B$192,EJ72+EI73-ER72)))</f>
        <v>177.99999999999991</v>
      </c>
      <c r="EK73" s="18">
        <f>EJ73*VLOOKUP('Données projet'!$B$15,Paramètres!$A$1:$I$89,3,0)*VLOOKUP('Données projet'!$B$15,Paramètres!$A$1:$I$89,5,0)</f>
        <v>144.39359999999994</v>
      </c>
      <c r="EL73" s="14">
        <f t="shared" si="99"/>
        <v>37.301700301601691</v>
      </c>
      <c r="EM73" s="22">
        <f t="shared" si="73"/>
        <v>316.45264802528953</v>
      </c>
      <c r="EN73" s="60">
        <f t="shared" si="74"/>
        <v>609.78598135862285</v>
      </c>
      <c r="EO73" s="60">
        <f ca="1">AVERAGE(OFFSET($EN$3,0,0,'Données projet'!$E$15+1,1))-AVERAGE(OFFSET($H$3,0,0,'Données projet'!$E$15+1,1))</f>
        <v>236.22643401787644</v>
      </c>
      <c r="EP73" s="60">
        <f t="shared" si="100"/>
        <v>188.80444043778022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132</v>
      </c>
      <c r="FC73" s="13">
        <f>VLOOKUP(A73,'Données projet'!$A$217:$I$237,9,0)</f>
        <v>3.6</v>
      </c>
      <c r="FD73" s="13">
        <f t="array" ref="FD73">INDEX(FC:FC,MIN(IF(ISNUMBER(FC73:FC269),ROW(FC73:FC269),"")))</f>
        <v>3.6</v>
      </c>
      <c r="FE73" s="13">
        <f>IF('Données projet'!$A$218&gt;35,FE72+FD73-FM72,IF(A73&lt;'Données projet'!$A$218,$FB$205^A73,IF(A73='Données projet'!$A$218,'Données projet'!$B$218,FE72+FD73-FM72)))</f>
        <v>131.99999999999994</v>
      </c>
      <c r="FF73" s="18">
        <f>FE73*VLOOKUP('Données projet'!$B$16,Paramètres!$A$1:$I$89,3,0)*VLOOKUP('Données projet'!$B$16,Paramètres!$A$1:$I$89,5,0)</f>
        <v>127.67039999999994</v>
      </c>
      <c r="FG73" s="14">
        <f t="shared" si="101"/>
        <v>33.457491972285482</v>
      </c>
      <c r="FH73" s="22">
        <f t="shared" si="76"/>
        <v>280.63107851839709</v>
      </c>
      <c r="FI73" s="60">
        <f t="shared" si="77"/>
        <v>573.96441185173035</v>
      </c>
      <c r="FJ73" s="60">
        <f ca="1">AVERAGE(OFFSET($FI$3,0,0,'Données projet'!$E$16+1,1))-AVERAGE(OFFSET($H$3,0,0,'Données projet'!$E$16+1,1))</f>
        <v>255.59755832175625</v>
      </c>
      <c r="FK73" s="60">
        <f t="shared" si="102"/>
        <v>154.0840647586964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0" t="e">
        <f t="shared" si="80"/>
        <v>#N/A</v>
      </c>
      <c r="GE73" s="60" t="e">
        <f ca="1">AVERAGE(OFFSET($GD$3,0,0,'Données projet'!$E$17+1,1))-AVERAGE(OFFSET($H$3,0,0,'Données projet'!$E$17+1,1))</f>
        <v>#N/A</v>
      </c>
      <c r="GF73" s="60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7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0" t="e">
        <f t="shared" si="83"/>
        <v>#N/A</v>
      </c>
      <c r="GZ73" s="60" t="e">
        <f ca="1">AVERAGE(OFFSET($GY$3,0,0,'Données projet'!$E$18+1,1))-AVERAGE(OFFSET($H$3,0,0,'Données projet'!$E$18+1,1))</f>
        <v>#N/A</v>
      </c>
      <c r="HA73" s="60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5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68">
        <f t="shared" si="56"/>
        <v>256.66666666666669</v>
      </c>
      <c r="I74" s="7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0" t="e">
        <f t="shared" si="55"/>
        <v>#NUM!</v>
      </c>
      <c r="S74" s="60">
        <f ca="1">AVERAGE(OFFSET($R$3,0,0,'Données projet'!$E$9+1,1))-AVERAGE(OFFSET($H$3,0,0,'Données projet'!$E$9+1,1))</f>
        <v>64.775385872852041</v>
      </c>
      <c r="T74" s="60">
        <f t="shared" si="88"/>
        <v>201.69061202990468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14.267414694396242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4.074073591313911E-8</v>
      </c>
      <c r="AC74" s="24">
        <f t="shared" si="57"/>
        <v>14.267414735136978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230.38079999999994</v>
      </c>
      <c r="AK74" s="14">
        <f t="shared" si="89"/>
        <v>56.365011465139979</v>
      </c>
      <c r="AL74" s="22">
        <f t="shared" si="58"/>
        <v>499.41562163511867</v>
      </c>
      <c r="AM74" s="60">
        <f t="shared" si="59"/>
        <v>792.74895496845193</v>
      </c>
      <c r="AN74" s="60">
        <f ca="1">AVERAGE(OFFSET($AM$3,0,0,'Données projet'!$E$10+1,1))-AVERAGE(OFFSET($H$3,0,0,'Données projet'!$E$10+1,1))</f>
        <v>475.47920969424894</v>
      </c>
      <c r="AO74" s="60">
        <f t="shared" si="90"/>
        <v>271.73544012419364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7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6.7984728957526396E-14</v>
      </c>
      <c r="BF74" s="14">
        <f t="shared" si="91"/>
        <v>1.0682447123141398E-12</v>
      </c>
      <c r="BG74" s="22">
        <f t="shared" si="61"/>
        <v>1.978932943548152E-12</v>
      </c>
      <c r="BH74" s="60">
        <f t="shared" si="62"/>
        <v>293.3333333333353</v>
      </c>
      <c r="BI74" s="60">
        <f ca="1">AVERAGE(OFFSET($BH$3,0,0,'Données projet'!$E$11+1,1))-AVERAGE(OFFSET($H$3,0,0,'Données projet'!$E$11+1,1))</f>
        <v>260.02504691866199</v>
      </c>
      <c r="BJ74" s="60">
        <f t="shared" si="92"/>
        <v>270.11268336406368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4.4435018628011997</v>
      </c>
      <c r="BQ74" s="23">
        <f>EXP(-LN(2)/25)*BQ73+(1-EXP(-LN(2)/25))/(LN(2)/25)*Calculateur!BL74*Calculateur!BN74*VLOOKUP('Données projet'!$B$11,Paramètres!$A$1:$I$89,3,0)*0.475*44/12</f>
        <v>5.273609027304988</v>
      </c>
      <c r="BR74" s="23">
        <f>EXP(-LN(2)/2)*BR73+(1-EXP(-LN(2)/2))/(LN(2)/2)*BL74*BO74*VLOOKUP('Données projet'!$B$11,Paramètres!$A$1:$I$89,3,0)*0.475*44/12</f>
        <v>4.2753499768453867E-6</v>
      </c>
      <c r="BS74" s="24">
        <f t="shared" si="63"/>
        <v>9.717115165456164</v>
      </c>
      <c r="BT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9.8224358974358967</v>
      </c>
      <c r="BY74" s="13">
        <f>IF('Données projet'!$A$114&gt;35,BY73+BX74-CG73,IF(A74&lt;'Données projet'!$A$114,$BV$205^A74,IF(A74='Données projet'!$A$114,'Données projet'!$B$114,BY73+BX74-CG73)))</f>
        <v>321.18717948717983</v>
      </c>
      <c r="BZ74" s="14">
        <f>BY74*VLOOKUP('Données projet'!$B$12,Paramètres!$A$1:$I$89,3,0)*VLOOKUP('Données projet'!$B$12,Paramètres!$A$1:$I$89,5,0)</f>
        <v>150.31560000000016</v>
      </c>
      <c r="CA74" s="14">
        <f t="shared" si="93"/>
        <v>38.650298077744381</v>
      </c>
      <c r="CB74" s="22">
        <f t="shared" si="64"/>
        <v>329.1156058187384</v>
      </c>
      <c r="CC74" s="60">
        <f t="shared" si="65"/>
        <v>622.44893915207172</v>
      </c>
      <c r="CD74" s="60">
        <f ca="1">AVERAGE(OFFSET($CC$3,0,0,'Données projet'!$E$12+1,1))-AVERAGE(OFFSET($H$3,0,0,'Données projet'!$E$12+1,1))</f>
        <v>246.72166704460847</v>
      </c>
      <c r="CE74" s="60">
        <f t="shared" si="94"/>
        <v>145.54897745089966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6.2</v>
      </c>
      <c r="CT74" s="13">
        <f>IF('Données projet'!$A$140&gt;35,CT73+CS74-DB73,IF(A74&lt;'Données projet'!$A$140,$CQ$205^A74,IF(A74='Données projet'!$A$140,'Données projet'!$B$140,CT73+CS74-DB73)))</f>
        <v>227.19999999999993</v>
      </c>
      <c r="CU74" s="18">
        <f>CT74*VLOOKUP('Données projet'!$B$13,Paramètres!$A$1:$I$89,3,0)*VLOOKUP('Données projet'!$B$13,Paramètres!$A$1:$I$89,5,0)</f>
        <v>205.57055999999994</v>
      </c>
      <c r="CV74" s="14">
        <f t="shared" si="95"/>
        <v>50.966443946767392</v>
      </c>
      <c r="CW74" s="22">
        <f t="shared" si="67"/>
        <v>446.80194854061978</v>
      </c>
      <c r="CX74" s="60">
        <f t="shared" si="68"/>
        <v>740.13528187395309</v>
      </c>
      <c r="CY74" s="60">
        <f ca="1">AVERAGE(OFFSET($CX$3,0,0,'Données projet'!$E$13+1,1))-AVERAGE(OFFSET($H$3,0,0,'Données projet'!$E$13+1,1))</f>
        <v>428.8489304403459</v>
      </c>
      <c r="CZ74" s="60">
        <f t="shared" si="96"/>
        <v>247.01165577562966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4.4871794871794863</v>
      </c>
      <c r="DO74" s="13">
        <f>IF('Données projet'!$A$166&gt;35,DO73+DN74-DW73,IF(A74&lt;'Données projet'!$A$166,$DL$205^A74,IF(A74='Données projet'!$A$166,'Données projet'!$B$166,DO73+DN74-DW73)))</f>
        <v>239.74358974358958</v>
      </c>
      <c r="DP74" s="18">
        <f>DO74*VLOOKUP('Données projet'!$B$14,Paramètres!$A$1:$I$89,3,0)*VLOOKUP('Données projet'!$B$14,Paramètres!$A$1:$I$89,5,0)</f>
        <v>250.57999999999984</v>
      </c>
      <c r="DQ74" s="14">
        <f t="shared" si="97"/>
        <v>60.710122367679979</v>
      </c>
      <c r="DR74" s="22">
        <f t="shared" si="70"/>
        <v>542.16362979037569</v>
      </c>
      <c r="DS74" s="60">
        <f t="shared" si="71"/>
        <v>835.49696312370907</v>
      </c>
      <c r="DT74" s="60">
        <f ca="1">AVERAGE(OFFSET($DS$3,0,0,'Données projet'!$E$14+1,1))-AVERAGE(OFFSET($H$3,0,0,'Données projet'!$E$14+1,1))</f>
        <v>493.70175665335978</v>
      </c>
      <c r="DU74" s="60">
        <f t="shared" si="98"/>
        <v>325.12357781685949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3.6</v>
      </c>
      <c r="EJ74" s="13">
        <f>IF('Données projet'!$A$192&gt;35,EJ73+EI74-ER73,IF(A74&lt;'Données projet'!$A$192,$EG$205^A74,IF(A74='Données projet'!$A$192,'Données projet'!$B$192,EJ73+EI74-ER73)))</f>
        <v>181.59999999999991</v>
      </c>
      <c r="EK74" s="18">
        <f>EJ74*VLOOKUP('Données projet'!$B$15,Paramètres!$A$1:$I$89,3,0)*VLOOKUP('Données projet'!$B$15,Paramètres!$A$1:$I$89,5,0)</f>
        <v>147.31391999999994</v>
      </c>
      <c r="EL74" s="14">
        <f t="shared" si="99"/>
        <v>37.967523841665994</v>
      </c>
      <c r="EM74" s="22">
        <f t="shared" si="73"/>
        <v>322.6985146909015</v>
      </c>
      <c r="EN74" s="60">
        <f t="shared" si="74"/>
        <v>616.03184802423482</v>
      </c>
      <c r="EO74" s="60">
        <f ca="1">AVERAGE(OFFSET($EN$3,0,0,'Données projet'!$E$15+1,1))-AVERAGE(OFFSET($H$3,0,0,'Données projet'!$E$15+1,1))</f>
        <v>236.22643401787644</v>
      </c>
      <c r="EP74" s="60">
        <f t="shared" si="100"/>
        <v>188.80444043778022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3.4</v>
      </c>
      <c r="FE74" s="13">
        <f>IF('Données projet'!$A$218&gt;35,FE73+FD74-FM73,IF(A74&lt;'Données projet'!$A$218,$FB$205^A74,IF(A74='Données projet'!$A$218,'Données projet'!$B$218,FE73+FD74-FM73)))</f>
        <v>135.39999999999995</v>
      </c>
      <c r="FF74" s="18">
        <f>FE74*VLOOKUP('Données projet'!$B$16,Paramètres!$A$1:$I$89,3,0)*VLOOKUP('Données projet'!$B$16,Paramètres!$A$1:$I$89,5,0)</f>
        <v>130.95887999999994</v>
      </c>
      <c r="FG74" s="14">
        <f t="shared" si="101"/>
        <v>34.217833491149499</v>
      </c>
      <c r="FH74" s="22">
        <f t="shared" si="76"/>
        <v>287.68277599708523</v>
      </c>
      <c r="FI74" s="60">
        <f t="shared" si="77"/>
        <v>581.01610933041854</v>
      </c>
      <c r="FJ74" s="60">
        <f ca="1">AVERAGE(OFFSET($FI$3,0,0,'Données projet'!$E$16+1,1))-AVERAGE(OFFSET($H$3,0,0,'Données projet'!$E$16+1,1))</f>
        <v>255.59755832175625</v>
      </c>
      <c r="FK74" s="60">
        <f t="shared" si="102"/>
        <v>154.0840647586964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0" t="e">
        <f t="shared" si="80"/>
        <v>#N/A</v>
      </c>
      <c r="GE74" s="60" t="e">
        <f ca="1">AVERAGE(OFFSET($GD$3,0,0,'Données projet'!$E$17+1,1))-AVERAGE(OFFSET($H$3,0,0,'Données projet'!$E$17+1,1))</f>
        <v>#N/A</v>
      </c>
      <c r="GF74" s="60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7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0" t="e">
        <f t="shared" si="83"/>
        <v>#N/A</v>
      </c>
      <c r="GZ74" s="60" t="e">
        <f ca="1">AVERAGE(OFFSET($GY$3,0,0,'Données projet'!$E$18+1,1))-AVERAGE(OFFSET($H$3,0,0,'Données projet'!$E$18+1,1))</f>
        <v>#N/A</v>
      </c>
      <c r="HA74" s="60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5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68">
        <f t="shared" si="56"/>
        <v>256.66666666666669</v>
      </c>
      <c r="I75" s="7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0" t="e">
        <f t="shared" si="55"/>
        <v>#NUM!</v>
      </c>
      <c r="S75" s="60">
        <f ca="1">AVERAGE(OFFSET($R$3,0,0,'Données projet'!$E$9+1,1))-AVERAGE(OFFSET($H$3,0,0,'Données projet'!$E$9+1,1))</f>
        <v>64.775385872852041</v>
      </c>
      <c r="T75" s="60">
        <f t="shared" si="88"/>
        <v>201.69061202990468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13.987639394502818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2.8808050634710975E-8</v>
      </c>
      <c r="AC75" s="24">
        <f t="shared" si="57"/>
        <v>13.987639423310869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236.66759999999994</v>
      </c>
      <c r="AK75" s="14">
        <f t="shared" si="89"/>
        <v>57.721965974560838</v>
      </c>
      <c r="AL75" s="22">
        <f t="shared" si="58"/>
        <v>512.72849407235992</v>
      </c>
      <c r="AM75" s="60">
        <f t="shared" si="59"/>
        <v>806.06182740569329</v>
      </c>
      <c r="AN75" s="60">
        <f ca="1">AVERAGE(OFFSET($AM$3,0,0,'Données projet'!$E$10+1,1))-AVERAGE(OFFSET($H$3,0,0,'Données projet'!$E$10+1,1))</f>
        <v>475.47920969424894</v>
      </c>
      <c r="AO75" s="60">
        <f t="shared" si="90"/>
        <v>271.73544012419364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7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6.7984728957526396E-14</v>
      </c>
      <c r="BF75" s="14">
        <f t="shared" si="91"/>
        <v>1.0682447123141398E-12</v>
      </c>
      <c r="BG75" s="22">
        <f t="shared" si="61"/>
        <v>1.978932943548152E-12</v>
      </c>
      <c r="BH75" s="60">
        <f t="shared" si="62"/>
        <v>293.3333333333353</v>
      </c>
      <c r="BI75" s="60">
        <f ca="1">AVERAGE(OFFSET($BH$3,0,0,'Données projet'!$E$11+1,1))-AVERAGE(OFFSET($H$3,0,0,'Données projet'!$E$11+1,1))</f>
        <v>260.02504691866199</v>
      </c>
      <c r="BJ75" s="60">
        <f t="shared" si="92"/>
        <v>270.11268336406368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4.3563675015401877</v>
      </c>
      <c r="BQ75" s="23">
        <f>EXP(-LN(2)/25)*BQ74+(1-EXP(-LN(2)/25))/(LN(2)/25)*Calculateur!BL75*Calculateur!BN75*VLOOKUP('Données projet'!$B$11,Paramètres!$A$1:$I$89,3,0)*0.475*44/12</f>
        <v>5.129401911126287</v>
      </c>
      <c r="BR75" s="23">
        <f>EXP(-LN(2)/2)*BR74+(1-EXP(-LN(2)/2))/(LN(2)/2)*BL75*BO75*VLOOKUP('Données projet'!$B$11,Paramètres!$A$1:$I$89,3,0)*0.475*44/12</f>
        <v>3.0231289605731219E-6</v>
      </c>
      <c r="BS75" s="24">
        <f t="shared" si="63"/>
        <v>9.4857724357954361</v>
      </c>
      <c r="BT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9.8224358974358967</v>
      </c>
      <c r="BY75" s="13">
        <f>IF('Données projet'!$A$114&gt;35,BY74+BX75-CG74,IF(A75&lt;'Données projet'!$A$114,$BV$205^A75,IF(A75='Données projet'!$A$114,'Données projet'!$B$114,BY74+BX75-CG74)))</f>
        <v>331.00961538461576</v>
      </c>
      <c r="BZ75" s="14">
        <f>BY75*VLOOKUP('Données projet'!$B$12,Paramètres!$A$1:$I$89,3,0)*VLOOKUP('Données projet'!$B$12,Paramètres!$A$1:$I$89,5,0)</f>
        <v>154.91250000000016</v>
      </c>
      <c r="CA75" s="14">
        <f t="shared" si="93"/>
        <v>39.692866484273097</v>
      </c>
      <c r="CB75" s="22">
        <f t="shared" si="64"/>
        <v>338.93767996010916</v>
      </c>
      <c r="CC75" s="60">
        <f t="shared" si="65"/>
        <v>632.27101329344248</v>
      </c>
      <c r="CD75" s="60">
        <f ca="1">AVERAGE(OFFSET($CC$3,0,0,'Données projet'!$E$12+1,1))-AVERAGE(OFFSET($H$3,0,0,'Données projet'!$E$12+1,1))</f>
        <v>246.72166704460847</v>
      </c>
      <c r="CE75" s="60">
        <f t="shared" si="94"/>
        <v>145.54897745089966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6.2</v>
      </c>
      <c r="CT75" s="13">
        <f>IF('Données projet'!$A$140&gt;35,CT74+CS75-DB74,IF(A75&lt;'Données projet'!$A$140,$CQ$205^A75,IF(A75='Données projet'!$A$140,'Données projet'!$B$140,CT74+CS75-DB74)))</f>
        <v>233.39999999999992</v>
      </c>
      <c r="CU75" s="18">
        <f>CT75*VLOOKUP('Données projet'!$B$13,Paramètres!$A$1:$I$89,3,0)*VLOOKUP('Données projet'!$B$13,Paramètres!$A$1:$I$89,5,0)</f>
        <v>211.18031999999994</v>
      </c>
      <c r="CV75" s="14">
        <f t="shared" si="95"/>
        <v>52.193431117443019</v>
      </c>
      <c r="CW75" s="22">
        <f t="shared" si="67"/>
        <v>458.70928319621316</v>
      </c>
      <c r="CX75" s="60">
        <f t="shared" si="68"/>
        <v>752.04261652954642</v>
      </c>
      <c r="CY75" s="60">
        <f ca="1">AVERAGE(OFFSET($CX$3,0,0,'Données projet'!$E$13+1,1))-AVERAGE(OFFSET($H$3,0,0,'Données projet'!$E$13+1,1))</f>
        <v>428.8489304403459</v>
      </c>
      <c r="CZ75" s="60">
        <f t="shared" si="96"/>
        <v>247.01165577562966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4.4871794871794863</v>
      </c>
      <c r="DO75" s="13">
        <f>IF('Données projet'!$A$166&gt;35,DO74+DN75-DW74,IF(A75&lt;'Données projet'!$A$166,$DL$205^A75,IF(A75='Données projet'!$A$166,'Données projet'!$B$166,DO74+DN75-DW74)))</f>
        <v>244.23076923076906</v>
      </c>
      <c r="DP75" s="18">
        <f>DO75*VLOOKUP('Données projet'!$B$14,Paramètres!$A$1:$I$89,3,0)*VLOOKUP('Données projet'!$B$14,Paramètres!$A$1:$I$89,5,0)</f>
        <v>255.26999999999984</v>
      </c>
      <c r="DQ75" s="14">
        <f t="shared" si="97"/>
        <v>61.713058280444663</v>
      </c>
      <c r="DR75" s="22">
        <f t="shared" si="70"/>
        <v>552.07882650510749</v>
      </c>
      <c r="DS75" s="60">
        <f t="shared" si="71"/>
        <v>845.41215983844086</v>
      </c>
      <c r="DT75" s="60">
        <f ca="1">AVERAGE(OFFSET($DS$3,0,0,'Données projet'!$E$14+1,1))-AVERAGE(OFFSET($H$3,0,0,'Données projet'!$E$14+1,1))</f>
        <v>493.70175665335978</v>
      </c>
      <c r="DU75" s="60">
        <f t="shared" si="98"/>
        <v>325.12357781685949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3.6</v>
      </c>
      <c r="EJ75" s="13">
        <f>IF('Données projet'!$A$192&gt;35,EJ74+EI75-ER74,IF(A75&lt;'Données projet'!$A$192,$EG$205^A75,IF(A75='Données projet'!$A$192,'Données projet'!$B$192,EJ74+EI75-ER74)))</f>
        <v>185.1999999999999</v>
      </c>
      <c r="EK75" s="18">
        <f>EJ75*VLOOKUP('Données projet'!$B$15,Paramètres!$A$1:$I$89,3,0)*VLOOKUP('Données projet'!$B$15,Paramètres!$A$1:$I$89,5,0)</f>
        <v>150.23423999999994</v>
      </c>
      <c r="EL75" s="14">
        <f t="shared" si="99"/>
        <v>38.631812666215332</v>
      </c>
      <c r="EM75" s="22">
        <f t="shared" si="73"/>
        <v>328.94170839365825</v>
      </c>
      <c r="EN75" s="60">
        <f t="shared" si="74"/>
        <v>622.2750417269915</v>
      </c>
      <c r="EO75" s="60">
        <f ca="1">AVERAGE(OFFSET($EN$3,0,0,'Données projet'!$E$15+1,1))-AVERAGE(OFFSET($H$3,0,0,'Données projet'!$E$15+1,1))</f>
        <v>236.22643401787644</v>
      </c>
      <c r="EP75" s="60">
        <f t="shared" si="100"/>
        <v>188.80444043778022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3.4</v>
      </c>
      <c r="FE75" s="13">
        <f>IF('Données projet'!$A$218&gt;35,FE74+FD75-FM74,IF(A75&lt;'Données projet'!$A$218,$FB$205^A75,IF(A75='Données projet'!$A$218,'Données projet'!$B$218,FE74+FD75-FM74)))</f>
        <v>138.79999999999995</v>
      </c>
      <c r="FF75" s="18">
        <f>FE75*VLOOKUP('Données projet'!$B$16,Paramètres!$A$1:$I$89,3,0)*VLOOKUP('Données projet'!$B$16,Paramètres!$A$1:$I$89,5,0)</f>
        <v>134.24735999999996</v>
      </c>
      <c r="FG75" s="14">
        <f t="shared" si="101"/>
        <v>34.975955609758309</v>
      </c>
      <c r="FH75" s="22">
        <f t="shared" si="76"/>
        <v>294.73060802032893</v>
      </c>
      <c r="FI75" s="60">
        <f t="shared" si="77"/>
        <v>588.06394135366224</v>
      </c>
      <c r="FJ75" s="60">
        <f ca="1">AVERAGE(OFFSET($FI$3,0,0,'Données projet'!$E$16+1,1))-AVERAGE(OFFSET($H$3,0,0,'Données projet'!$E$16+1,1))</f>
        <v>255.59755832175625</v>
      </c>
      <c r="FK75" s="60">
        <f t="shared" si="102"/>
        <v>154.0840647586964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0" t="e">
        <f t="shared" si="80"/>
        <v>#N/A</v>
      </c>
      <c r="GE75" s="60" t="e">
        <f ca="1">AVERAGE(OFFSET($GD$3,0,0,'Données projet'!$E$17+1,1))-AVERAGE(OFFSET($H$3,0,0,'Données projet'!$E$17+1,1))</f>
        <v>#N/A</v>
      </c>
      <c r="GF75" s="60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7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0" t="e">
        <f t="shared" si="83"/>
        <v>#N/A</v>
      </c>
      <c r="GZ75" s="60" t="e">
        <f ca="1">AVERAGE(OFFSET($GY$3,0,0,'Données projet'!$E$18+1,1))-AVERAGE(OFFSET($H$3,0,0,'Données projet'!$E$18+1,1))</f>
        <v>#N/A</v>
      </c>
      <c r="HA75" s="60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5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68">
        <f t="shared" si="56"/>
        <v>256.66666666666669</v>
      </c>
      <c r="I76" s="7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0" t="e">
        <f t="shared" si="55"/>
        <v>#NUM!</v>
      </c>
      <c r="S76" s="60">
        <f ca="1">AVERAGE(OFFSET($R$3,0,0,'Données projet'!$E$9+1,1))-AVERAGE(OFFSET($H$3,0,0,'Données projet'!$E$9+1,1))</f>
        <v>64.775385872852041</v>
      </c>
      <c r="T76" s="60">
        <f t="shared" si="88"/>
        <v>201.69061202990468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13.713350317594221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2.0370367956569555E-8</v>
      </c>
      <c r="AC76" s="24">
        <f t="shared" si="57"/>
        <v>13.71335033796459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242.95439999999994</v>
      </c>
      <c r="AK76" s="14">
        <f t="shared" si="89"/>
        <v>59.074730698078945</v>
      </c>
      <c r="AL76" s="22">
        <f t="shared" si="58"/>
        <v>526.034069299154</v>
      </c>
      <c r="AM76" s="60">
        <f t="shared" si="59"/>
        <v>819.36740263248726</v>
      </c>
      <c r="AN76" s="60">
        <f ca="1">AVERAGE(OFFSET($AM$3,0,0,'Données projet'!$E$10+1,1))-AVERAGE(OFFSET($H$3,0,0,'Données projet'!$E$10+1,1))</f>
        <v>475.47920969424894</v>
      </c>
      <c r="AO76" s="60">
        <f t="shared" si="90"/>
        <v>271.73544012419364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7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6.7984728957526396E-14</v>
      </c>
      <c r="BF76" s="14">
        <f t="shared" si="91"/>
        <v>1.0682447123141398E-12</v>
      </c>
      <c r="BG76" s="22">
        <f t="shared" si="61"/>
        <v>1.978932943548152E-12</v>
      </c>
      <c r="BH76" s="60">
        <f t="shared" si="62"/>
        <v>293.3333333333353</v>
      </c>
      <c r="BI76" s="60">
        <f ca="1">AVERAGE(OFFSET($BH$3,0,0,'Données projet'!$E$11+1,1))-AVERAGE(OFFSET($H$3,0,0,'Données projet'!$E$11+1,1))</f>
        <v>260.02504691866199</v>
      </c>
      <c r="BJ76" s="60">
        <f t="shared" si="92"/>
        <v>270.11268336406368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4.2709417919567914</v>
      </c>
      <c r="BQ76" s="23">
        <f>EXP(-LN(2)/25)*BQ75+(1-EXP(-LN(2)/25))/(LN(2)/25)*Calculateur!BL76*Calculateur!BN76*VLOOKUP('Données projet'!$B$11,Paramètres!$A$1:$I$89,3,0)*0.475*44/12</f>
        <v>4.9891381461230155</v>
      </c>
      <c r="BR76" s="23">
        <f>EXP(-LN(2)/2)*BR75+(1-EXP(-LN(2)/2))/(LN(2)/2)*BL76*BO76*VLOOKUP('Données projet'!$B$11,Paramètres!$A$1:$I$89,3,0)*0.475*44/12</f>
        <v>2.1376749884226934E-6</v>
      </c>
      <c r="BS76" s="24">
        <f t="shared" si="63"/>
        <v>9.260082075754795</v>
      </c>
      <c r="BT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9.8224358974358967</v>
      </c>
      <c r="BY76" s="13">
        <f>IF('Données projet'!$A$114&gt;35,BY75+BX76-CG75,IF(A76&lt;'Données projet'!$A$114,$BV$205^A76,IF(A76='Données projet'!$A$114,'Données projet'!$B$114,BY75+BX76-CG75)))</f>
        <v>340.83205128205168</v>
      </c>
      <c r="BZ76" s="14">
        <f>BY76*VLOOKUP('Données projet'!$B$12,Paramètres!$A$1:$I$89,3,0)*VLOOKUP('Données projet'!$B$12,Paramètres!$A$1:$I$89,5,0)</f>
        <v>159.50940000000017</v>
      </c>
      <c r="CA76" s="14">
        <f t="shared" si="93"/>
        <v>40.7318394374633</v>
      </c>
      <c r="CB76" s="22">
        <f t="shared" si="64"/>
        <v>348.75349202024881</v>
      </c>
      <c r="CC76" s="60">
        <f t="shared" si="65"/>
        <v>642.08682535358207</v>
      </c>
      <c r="CD76" s="60">
        <f ca="1">AVERAGE(OFFSET($CC$3,0,0,'Données projet'!$E$12+1,1))-AVERAGE(OFFSET($H$3,0,0,'Données projet'!$E$12+1,1))</f>
        <v>246.72166704460847</v>
      </c>
      <c r="CE76" s="60">
        <f t="shared" si="94"/>
        <v>145.54897745089966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6.2</v>
      </c>
      <c r="CT76" s="13">
        <f>IF('Données projet'!$A$140&gt;35,CT75+CS76-DB75,IF(A76&lt;'Données projet'!$A$140,$CQ$205^A76,IF(A76='Données projet'!$A$140,'Données projet'!$B$140,CT75+CS76-DB75)))</f>
        <v>239.59999999999991</v>
      </c>
      <c r="CU76" s="18">
        <f>CT76*VLOOKUP('Données projet'!$B$13,Paramètres!$A$1:$I$89,3,0)*VLOOKUP('Données projet'!$B$13,Paramètres!$A$1:$I$89,5,0)</f>
        <v>216.7900799999999</v>
      </c>
      <c r="CV76" s="14">
        <f t="shared" si="95"/>
        <v>53.416629794462551</v>
      </c>
      <c r="CW76" s="22">
        <f t="shared" si="67"/>
        <v>470.61001955868869</v>
      </c>
      <c r="CX76" s="60">
        <f t="shared" si="68"/>
        <v>763.94335289202195</v>
      </c>
      <c r="CY76" s="60">
        <f ca="1">AVERAGE(OFFSET($CX$3,0,0,'Données projet'!$E$13+1,1))-AVERAGE(OFFSET($H$3,0,0,'Données projet'!$E$13+1,1))</f>
        <v>428.8489304403459</v>
      </c>
      <c r="CZ76" s="60">
        <f t="shared" si="96"/>
        <v>247.01165577562966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4.4871794871794863</v>
      </c>
      <c r="DO76" s="13">
        <f>IF('Données projet'!$A$166&gt;35,DO75+DN76-DW75,IF(A76&lt;'Données projet'!$A$166,$DL$205^A76,IF(A76='Données projet'!$A$166,'Données projet'!$B$166,DO75+DN76-DW75)))</f>
        <v>248.71794871794853</v>
      </c>
      <c r="DP76" s="18">
        <f>DO76*VLOOKUP('Données projet'!$B$14,Paramètres!$A$1:$I$89,3,0)*VLOOKUP('Données projet'!$B$14,Paramètres!$A$1:$I$89,5,0)</f>
        <v>259.95999999999981</v>
      </c>
      <c r="DQ76" s="14">
        <f t="shared" si="97"/>
        <v>62.713851496250946</v>
      </c>
      <c r="DR76" s="22">
        <f t="shared" si="70"/>
        <v>561.99029135597004</v>
      </c>
      <c r="DS76" s="60">
        <f t="shared" si="71"/>
        <v>855.32362468930341</v>
      </c>
      <c r="DT76" s="60">
        <f ca="1">AVERAGE(OFFSET($DS$3,0,0,'Données projet'!$E$14+1,1))-AVERAGE(OFFSET($H$3,0,0,'Données projet'!$E$14+1,1))</f>
        <v>493.70175665335978</v>
      </c>
      <c r="DU76" s="60">
        <f t="shared" si="98"/>
        <v>325.12357781685949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3.6</v>
      </c>
      <c r="EJ76" s="13">
        <f>IF('Données projet'!$A$192&gt;35,EJ75+EI76-ER75,IF(A76&lt;'Données projet'!$A$192,$EG$205^A76,IF(A76='Données projet'!$A$192,'Données projet'!$B$192,EJ75+EI76-ER75)))</f>
        <v>188.7999999999999</v>
      </c>
      <c r="EK76" s="18">
        <f>EJ76*VLOOKUP('Données projet'!$B$15,Paramètres!$A$1:$I$89,3,0)*VLOOKUP('Données projet'!$B$15,Paramètres!$A$1:$I$89,5,0)</f>
        <v>153.15455999999992</v>
      </c>
      <c r="EL76" s="14">
        <f t="shared" si="99"/>
        <v>39.29460004681124</v>
      </c>
      <c r="EM76" s="22">
        <f t="shared" si="73"/>
        <v>335.18228708152941</v>
      </c>
      <c r="EN76" s="60">
        <f t="shared" si="74"/>
        <v>628.51562041486272</v>
      </c>
      <c r="EO76" s="60">
        <f ca="1">AVERAGE(OFFSET($EN$3,0,0,'Données projet'!$E$15+1,1))-AVERAGE(OFFSET($H$3,0,0,'Données projet'!$E$15+1,1))</f>
        <v>236.22643401787644</v>
      </c>
      <c r="EP76" s="60">
        <f t="shared" si="100"/>
        <v>188.80444043778022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3.4</v>
      </c>
      <c r="FE76" s="13">
        <f>IF('Données projet'!$A$218&gt;35,FE75+FD76-FM75,IF(A76&lt;'Données projet'!$A$218,$FB$205^A76,IF(A76='Données projet'!$A$218,'Données projet'!$B$218,FE75+FD76-FM75)))</f>
        <v>142.19999999999996</v>
      </c>
      <c r="FF76" s="18">
        <f>FE76*VLOOKUP('Données projet'!$B$16,Paramètres!$A$1:$I$89,3,0)*VLOOKUP('Données projet'!$B$16,Paramètres!$A$1:$I$89,5,0)</f>
        <v>137.53583999999995</v>
      </c>
      <c r="FG76" s="14">
        <f t="shared" si="101"/>
        <v>35.731918947808438</v>
      </c>
      <c r="FH76" s="22">
        <f t="shared" si="76"/>
        <v>301.7746801674329</v>
      </c>
      <c r="FI76" s="60">
        <f t="shared" si="77"/>
        <v>595.10801350076622</v>
      </c>
      <c r="FJ76" s="60">
        <f ca="1">AVERAGE(OFFSET($FI$3,0,0,'Données projet'!$E$16+1,1))-AVERAGE(OFFSET($H$3,0,0,'Données projet'!$E$16+1,1))</f>
        <v>255.59755832175625</v>
      </c>
      <c r="FK76" s="60">
        <f t="shared" si="102"/>
        <v>154.0840647586964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0" t="e">
        <f t="shared" si="80"/>
        <v>#N/A</v>
      </c>
      <c r="GE76" s="60" t="e">
        <f ca="1">AVERAGE(OFFSET($GD$3,0,0,'Données projet'!$E$17+1,1))-AVERAGE(OFFSET($H$3,0,0,'Données projet'!$E$17+1,1))</f>
        <v>#N/A</v>
      </c>
      <c r="GF76" s="60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7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0" t="e">
        <f t="shared" si="83"/>
        <v>#N/A</v>
      </c>
      <c r="GZ76" s="60" t="e">
        <f ca="1">AVERAGE(OFFSET($GY$3,0,0,'Données projet'!$E$18+1,1))-AVERAGE(OFFSET($H$3,0,0,'Données projet'!$E$18+1,1))</f>
        <v>#N/A</v>
      </c>
      <c r="HA76" s="60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5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68">
        <f t="shared" si="56"/>
        <v>256.66666666666669</v>
      </c>
      <c r="I77" s="7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0" t="e">
        <f t="shared" si="55"/>
        <v>#NUM!</v>
      </c>
      <c r="S77" s="60">
        <f ca="1">AVERAGE(OFFSET($R$3,0,0,'Données projet'!$E$9+1,1))-AVERAGE(OFFSET($H$3,0,0,'Données projet'!$E$9+1,1))</f>
        <v>64.775385872852041</v>
      </c>
      <c r="T77" s="60">
        <f t="shared" si="88"/>
        <v>201.69061202990468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13.444439882183985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1.4404025317355488E-8</v>
      </c>
      <c r="AC77" s="24">
        <f t="shared" si="57"/>
        <v>13.44443989658801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249.24119999999988</v>
      </c>
      <c r="AK77" s="14">
        <f t="shared" si="89"/>
        <v>60.42342651744687</v>
      </c>
      <c r="AL77" s="22">
        <f t="shared" si="58"/>
        <v>539.3325578512198</v>
      </c>
      <c r="AM77" s="60">
        <f t="shared" si="59"/>
        <v>832.66589118455317</v>
      </c>
      <c r="AN77" s="60">
        <f ca="1">AVERAGE(OFFSET($AM$3,0,0,'Données projet'!$E$10+1,1))-AVERAGE(OFFSET($H$3,0,0,'Données projet'!$E$10+1,1))</f>
        <v>475.47920969424894</v>
      </c>
      <c r="AO77" s="60">
        <f t="shared" si="90"/>
        <v>271.73544012419364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7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6.7984728957526396E-14</v>
      </c>
      <c r="BF77" s="14">
        <f t="shared" si="91"/>
        <v>1.0682447123141398E-12</v>
      </c>
      <c r="BG77" s="22">
        <f t="shared" si="61"/>
        <v>1.978932943548152E-12</v>
      </c>
      <c r="BH77" s="60">
        <f t="shared" si="62"/>
        <v>293.3333333333353</v>
      </c>
      <c r="BI77" s="60">
        <f ca="1">AVERAGE(OFFSET($BH$3,0,0,'Données projet'!$E$11+1,1))-AVERAGE(OFFSET($H$3,0,0,'Données projet'!$E$11+1,1))</f>
        <v>260.02504691866199</v>
      </c>
      <c r="BJ77" s="60">
        <f t="shared" si="92"/>
        <v>270.11268336406368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4.1871912284337878</v>
      </c>
      <c r="BQ77" s="23">
        <f>EXP(-LN(2)/25)*BQ76+(1-EXP(-LN(2)/25))/(LN(2)/25)*Calculateur!BL77*Calculateur!BN77*VLOOKUP('Données projet'!$B$11,Paramètres!$A$1:$I$89,3,0)*0.475*44/12</f>
        <v>4.8527099011499093</v>
      </c>
      <c r="BR77" s="23">
        <f>EXP(-LN(2)/2)*BR76+(1-EXP(-LN(2)/2))/(LN(2)/2)*BL77*BO77*VLOOKUP('Données projet'!$B$11,Paramètres!$A$1:$I$89,3,0)*0.475*44/12</f>
        <v>1.5115644802865609E-6</v>
      </c>
      <c r="BS77" s="24">
        <f t="shared" si="63"/>
        <v>9.0399026411481778</v>
      </c>
      <c r="BT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9.8224358974358967</v>
      </c>
      <c r="BY77" s="13">
        <f>IF('Données projet'!$A$114&gt;35,BY76+BX77-CG76,IF(A77&lt;'Données projet'!$A$114,$BV$205^A77,IF(A77='Données projet'!$A$114,'Données projet'!$B$114,BY76+BX77-CG76)))</f>
        <v>350.6544871794876</v>
      </c>
      <c r="BZ77" s="14">
        <f>BY77*VLOOKUP('Données projet'!$B$12,Paramètres!$A$1:$I$89,3,0)*VLOOKUP('Données projet'!$B$12,Paramètres!$A$1:$I$89,5,0)</f>
        <v>164.1063000000002</v>
      </c>
      <c r="CA77" s="14">
        <f t="shared" si="93"/>
        <v>41.767332454312395</v>
      </c>
      <c r="CB77" s="22">
        <f t="shared" si="64"/>
        <v>358.56324319126111</v>
      </c>
      <c r="CC77" s="60">
        <f t="shared" si="65"/>
        <v>651.89657652459437</v>
      </c>
      <c r="CD77" s="60">
        <f ca="1">AVERAGE(OFFSET($CC$3,0,0,'Données projet'!$E$12+1,1))-AVERAGE(OFFSET($H$3,0,0,'Données projet'!$E$12+1,1))</f>
        <v>246.72166704460847</v>
      </c>
      <c r="CE77" s="60">
        <f t="shared" si="94"/>
        <v>145.54897745089966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6.2</v>
      </c>
      <c r="CT77" s="13">
        <f>IF('Données projet'!$A$140&gt;35,CT76+CS77-DB76,IF(A77&lt;'Données projet'!$A$140,$CQ$205^A77,IF(A77='Données projet'!$A$140,'Données projet'!$B$140,CT76+CS77-DB76)))</f>
        <v>245.7999999999999</v>
      </c>
      <c r="CU77" s="18">
        <f>CT77*VLOOKUP('Données projet'!$B$13,Paramètres!$A$1:$I$89,3,0)*VLOOKUP('Données projet'!$B$13,Paramètres!$A$1:$I$89,5,0)</f>
        <v>222.3998399999999</v>
      </c>
      <c r="CV77" s="14">
        <f t="shared" si="95"/>
        <v>54.636149281681448</v>
      </c>
      <c r="CW77" s="22">
        <f t="shared" si="67"/>
        <v>482.50434799892832</v>
      </c>
      <c r="CX77" s="60">
        <f t="shared" si="68"/>
        <v>775.83768133226158</v>
      </c>
      <c r="CY77" s="60">
        <f ca="1">AVERAGE(OFFSET($CX$3,0,0,'Données projet'!$E$13+1,1))-AVERAGE(OFFSET($H$3,0,0,'Données projet'!$E$13+1,1))</f>
        <v>428.8489304403459</v>
      </c>
      <c r="CZ77" s="60">
        <f t="shared" si="96"/>
        <v>247.01165577562966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4.4871794871794863</v>
      </c>
      <c r="DO77" s="13">
        <f>IF('Données projet'!$A$166&gt;35,DO76+DN77-DW76,IF(A77&lt;'Données projet'!$A$166,$DL$205^A77,IF(A77='Données projet'!$A$166,'Données projet'!$B$166,DO76+DN77-DW76)))</f>
        <v>253.20512820512801</v>
      </c>
      <c r="DP77" s="18">
        <f>DO77*VLOOKUP('Données projet'!$B$14,Paramètres!$A$1:$I$89,3,0)*VLOOKUP('Données projet'!$B$14,Paramètres!$A$1:$I$89,5,0)</f>
        <v>264.64999999999981</v>
      </c>
      <c r="DQ77" s="14">
        <f t="shared" si="97"/>
        <v>63.712545131099922</v>
      </c>
      <c r="DR77" s="22">
        <f t="shared" si="70"/>
        <v>571.89809943666535</v>
      </c>
      <c r="DS77" s="60">
        <f t="shared" si="71"/>
        <v>865.23143276999872</v>
      </c>
      <c r="DT77" s="60">
        <f ca="1">AVERAGE(OFFSET($DS$3,0,0,'Données projet'!$E$14+1,1))-AVERAGE(OFFSET($H$3,0,0,'Données projet'!$E$14+1,1))</f>
        <v>493.70175665335978</v>
      </c>
      <c r="DU77" s="60">
        <f t="shared" si="98"/>
        <v>325.12357781685949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3.6</v>
      </c>
      <c r="EJ77" s="13">
        <f>IF('Données projet'!$A$192&gt;35,EJ76+EI77-ER76,IF(A77&lt;'Données projet'!$A$192,$EG$205^A77,IF(A77='Données projet'!$A$192,'Données projet'!$B$192,EJ76+EI77-ER76)))</f>
        <v>192.39999999999989</v>
      </c>
      <c r="EK77" s="18">
        <f>EJ77*VLOOKUP('Données projet'!$B$15,Paramètres!$A$1:$I$89,3,0)*VLOOKUP('Données projet'!$B$15,Paramètres!$A$1:$I$89,5,0)</f>
        <v>156.07487999999992</v>
      </c>
      <c r="EL77" s="14">
        <f t="shared" si="99"/>
        <v>39.955917913584059</v>
      </c>
      <c r="EM77" s="22">
        <f t="shared" si="73"/>
        <v>341.42030636615868</v>
      </c>
      <c r="EN77" s="60">
        <f t="shared" si="74"/>
        <v>634.75363969949194</v>
      </c>
      <c r="EO77" s="60">
        <f ca="1">AVERAGE(OFFSET($EN$3,0,0,'Données projet'!$E$15+1,1))-AVERAGE(OFFSET($H$3,0,0,'Données projet'!$E$15+1,1))</f>
        <v>236.22643401787644</v>
      </c>
      <c r="EP77" s="60">
        <f t="shared" si="100"/>
        <v>188.80444043778022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3.4</v>
      </c>
      <c r="FE77" s="13">
        <f>IF('Données projet'!$A$218&gt;35,FE76+FD77-FM76,IF(A77&lt;'Données projet'!$A$218,$FB$205^A77,IF(A77='Données projet'!$A$218,'Données projet'!$B$218,FE76+FD77-FM76)))</f>
        <v>145.59999999999997</v>
      </c>
      <c r="FF77" s="18">
        <f>FE77*VLOOKUP('Données projet'!$B$16,Paramètres!$A$1:$I$89,3,0)*VLOOKUP('Données projet'!$B$16,Paramètres!$A$1:$I$89,5,0)</f>
        <v>140.82431999999997</v>
      </c>
      <c r="FG77" s="14">
        <f t="shared" si="101"/>
        <v>36.485781060837802</v>
      </c>
      <c r="FH77" s="22">
        <f t="shared" si="76"/>
        <v>308.81509268095914</v>
      </c>
      <c r="FI77" s="60">
        <f t="shared" si="77"/>
        <v>602.14842601429245</v>
      </c>
      <c r="FJ77" s="60">
        <f ca="1">AVERAGE(OFFSET($FI$3,0,0,'Données projet'!$E$16+1,1))-AVERAGE(OFFSET($H$3,0,0,'Données projet'!$E$16+1,1))</f>
        <v>255.59755832175625</v>
      </c>
      <c r="FK77" s="60">
        <f t="shared" si="102"/>
        <v>154.0840647586964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0" t="e">
        <f t="shared" si="80"/>
        <v>#N/A</v>
      </c>
      <c r="GE77" s="60" t="e">
        <f ca="1">AVERAGE(OFFSET($GD$3,0,0,'Données projet'!$E$17+1,1))-AVERAGE(OFFSET($H$3,0,0,'Données projet'!$E$17+1,1))</f>
        <v>#N/A</v>
      </c>
      <c r="GF77" s="60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7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0" t="e">
        <f t="shared" si="83"/>
        <v>#N/A</v>
      </c>
      <c r="GZ77" s="60" t="e">
        <f ca="1">AVERAGE(OFFSET($GY$3,0,0,'Données projet'!$E$18+1,1))-AVERAGE(OFFSET($H$3,0,0,'Données projet'!$E$18+1,1))</f>
        <v>#N/A</v>
      </c>
      <c r="HA77" s="60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5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68">
        <f t="shared" si="56"/>
        <v>256.66666666666669</v>
      </c>
      <c r="I78" s="7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0" t="e">
        <f t="shared" si="55"/>
        <v>#NUM!</v>
      </c>
      <c r="S78" s="60">
        <f ca="1">AVERAGE(OFFSET($R$3,0,0,'Données projet'!$E$9+1,1))-AVERAGE(OFFSET($H$3,0,0,'Données projet'!$E$9+1,1))</f>
        <v>64.775385872852041</v>
      </c>
      <c r="T78" s="60">
        <f t="shared" si="88"/>
        <v>201.69061202990468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13.180802616392974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1.0185183978284777E-8</v>
      </c>
      <c r="AC78" s="24">
        <f t="shared" si="57"/>
        <v>13.180802626578158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255.52799999999991</v>
      </c>
      <c r="AK78" s="14">
        <f t="shared" si="89"/>
        <v>61.768167868721477</v>
      </c>
      <c r="AL78" s="22">
        <f t="shared" si="58"/>
        <v>552.62415903802309</v>
      </c>
      <c r="AM78" s="60">
        <f t="shared" si="59"/>
        <v>845.95749237135647</v>
      </c>
      <c r="AN78" s="60">
        <f ca="1">AVERAGE(OFFSET($AM$3,0,0,'Données projet'!$E$10+1,1))-AVERAGE(OFFSET($H$3,0,0,'Données projet'!$E$10+1,1))</f>
        <v>475.47920969424894</v>
      </c>
      <c r="AO78" s="60">
        <f t="shared" si="90"/>
        <v>271.73544012419364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7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6.7984728957526396E-14</v>
      </c>
      <c r="BF78" s="14">
        <f t="shared" si="91"/>
        <v>1.0682447123141398E-12</v>
      </c>
      <c r="BG78" s="22">
        <f t="shared" si="61"/>
        <v>1.978932943548152E-12</v>
      </c>
      <c r="BH78" s="60">
        <f t="shared" si="62"/>
        <v>293.3333333333353</v>
      </c>
      <c r="BI78" s="60">
        <f ca="1">AVERAGE(OFFSET($BH$3,0,0,'Données projet'!$E$11+1,1))-AVERAGE(OFFSET($H$3,0,0,'Données projet'!$E$11+1,1))</f>
        <v>260.02504691866199</v>
      </c>
      <c r="BJ78" s="60">
        <f t="shared" si="92"/>
        <v>270.11268336406368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4.1050829623786704</v>
      </c>
      <c r="BQ78" s="23">
        <f>EXP(-LN(2)/25)*BQ77+(1-EXP(-LN(2)/25))/(LN(2)/25)*Calculateur!BL78*Calculateur!BN78*VLOOKUP('Données projet'!$B$11,Paramètres!$A$1:$I$89,3,0)*0.475*44/12</f>
        <v>4.7200122937100426</v>
      </c>
      <c r="BR78" s="23">
        <f>EXP(-LN(2)/2)*BR77+(1-EXP(-LN(2)/2))/(LN(2)/2)*BL78*BO78*VLOOKUP('Données projet'!$B$11,Paramètres!$A$1:$I$89,3,0)*0.475*44/12</f>
        <v>1.0688374942113467E-6</v>
      </c>
      <c r="BS78" s="24">
        <f t="shared" si="63"/>
        <v>8.8250963249262071</v>
      </c>
      <c r="BT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360.47692307692307</v>
      </c>
      <c r="BW78" s="13">
        <f>VLOOKUP(A78,'Données projet'!$A$113:$I$133,9,0)</f>
        <v>9.8224358974358967</v>
      </c>
      <c r="BX78" s="13">
        <f t="array" ref="BX78">INDEX(BW:BW,MIN(IF(ISNUMBER(BW78:BW274),ROW(BW78:BW274),"")))</f>
        <v>9.8224358974358967</v>
      </c>
      <c r="BY78" s="13">
        <f>IF('Données projet'!$A$114&gt;35,BY77+BX78-CG77,IF(A78&lt;'Données projet'!$A$114,$BV$205^A78,IF(A78='Données projet'!$A$114,'Données projet'!$B$114,BY77+BX78-CG77)))</f>
        <v>360.47692307692353</v>
      </c>
      <c r="BZ78" s="14">
        <f>BY78*VLOOKUP('Données projet'!$B$12,Paramètres!$A$1:$I$89,3,0)*VLOOKUP('Données projet'!$B$12,Paramètres!$A$1:$I$89,5,0)</f>
        <v>168.70320000000021</v>
      </c>
      <c r="CA78" s="14">
        <f t="shared" si="93"/>
        <v>42.799454211954647</v>
      </c>
      <c r="CB78" s="22">
        <f t="shared" si="64"/>
        <v>368.367122752488</v>
      </c>
      <c r="CC78" s="60">
        <f t="shared" si="65"/>
        <v>661.70045608582132</v>
      </c>
      <c r="CD78" s="60">
        <f ca="1">AVERAGE(OFFSET($CC$3,0,0,'Données projet'!$E$12+1,1))-AVERAGE(OFFSET($H$3,0,0,'Données projet'!$E$12+1,1))</f>
        <v>246.72166704460847</v>
      </c>
      <c r="CE78" s="60">
        <f t="shared" si="94"/>
        <v>145.54897745089966</v>
      </c>
      <c r="CF78" s="16">
        <f>IF(ISNA(VLOOKUP(A78,'Données projet'!$A$113:$I$133,3,0)),0,VLOOKUP(A78,'Données projet'!$A$113:$I$133,3,0))</f>
        <v>3</v>
      </c>
      <c r="CG78" s="16">
        <f>IF(ISNA(VLOOKUP(A78,'Données projet'!$A$113:$I$133,4,0)),0,VLOOKUP(A78,'Données projet'!$A$113:$I$133,4,0))</f>
        <v>85.361538461538458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252</v>
      </c>
      <c r="CR78" s="13">
        <f>VLOOKUP(A78,'Données projet'!$A$139:$I$159,9,0)</f>
        <v>6.2</v>
      </c>
      <c r="CS78" s="13">
        <f t="array" ref="CS78">INDEX(CR:CR,MIN(IF(ISNUMBER(CR78:CR274),ROW(CR78:CR274),"")))</f>
        <v>6.2</v>
      </c>
      <c r="CT78" s="13">
        <f>IF('Données projet'!$A$140&gt;35,CT77+CS78-DB77,IF(A78&lt;'Données projet'!$A$140,$CQ$205^A78,IF(A78='Données projet'!$A$140,'Données projet'!$B$140,CT77+CS78-DB77)))</f>
        <v>251.99999999999989</v>
      </c>
      <c r="CU78" s="18">
        <f>CT78*VLOOKUP('Données projet'!$B$13,Paramètres!$A$1:$I$89,3,0)*VLOOKUP('Données projet'!$B$13,Paramètres!$A$1:$I$89,5,0)</f>
        <v>228.00959999999986</v>
      </c>
      <c r="CV78" s="14">
        <f t="shared" si="95"/>
        <v>55.852093054619779</v>
      </c>
      <c r="CW78" s="22">
        <f t="shared" si="67"/>
        <v>494.39244873679587</v>
      </c>
      <c r="CX78" s="60">
        <f t="shared" si="68"/>
        <v>787.72578207012918</v>
      </c>
      <c r="CY78" s="60">
        <f ca="1">AVERAGE(OFFSET($CX$3,0,0,'Données projet'!$E$13+1,1))-AVERAGE(OFFSET($H$3,0,0,'Données projet'!$E$13+1,1))</f>
        <v>428.8489304403459</v>
      </c>
      <c r="CZ78" s="60">
        <f t="shared" si="96"/>
        <v>247.01165577562966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257.69230769230768</v>
      </c>
      <c r="DM78" s="13">
        <f>VLOOKUP(A78,'Données projet'!$A$165:$I$185,9,0)</f>
        <v>4.4871794871794863</v>
      </c>
      <c r="DN78" s="13">
        <f t="array" ref="DN78">INDEX(DM:DM,MIN(IF(ISNUMBER(DM78:DM274),ROW(DM78:DM274),"")))</f>
        <v>4.4871794871794863</v>
      </c>
      <c r="DO78" s="13">
        <f>IF('Données projet'!$A$166&gt;35,DO77+DN78-DW77,IF(A78&lt;'Données projet'!$A$166,$DL$205^A78,IF(A78='Données projet'!$A$166,'Données projet'!$B$166,DO77+DN78-DW77)))</f>
        <v>257.69230769230751</v>
      </c>
      <c r="DP78" s="18">
        <f>DO78*VLOOKUP('Données projet'!$B$14,Paramètres!$A$1:$I$89,3,0)*VLOOKUP('Données projet'!$B$14,Paramètres!$A$1:$I$89,5,0)</f>
        <v>269.33999999999986</v>
      </c>
      <c r="DQ78" s="14">
        <f t="shared" si="97"/>
        <v>64.709180685305114</v>
      </c>
      <c r="DR78" s="22">
        <f t="shared" si="70"/>
        <v>581.80232302690615</v>
      </c>
      <c r="DS78" s="60">
        <f t="shared" si="71"/>
        <v>875.13565636023941</v>
      </c>
      <c r="DT78" s="60">
        <f ca="1">AVERAGE(OFFSET($DS$3,0,0,'Données projet'!$E$14+1,1))-AVERAGE(OFFSET($H$3,0,0,'Données projet'!$E$14+1,1))</f>
        <v>493.70175665335978</v>
      </c>
      <c r="DU78" s="60">
        <f t="shared" si="98"/>
        <v>325.12357781685949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196</v>
      </c>
      <c r="EH78" s="13">
        <f>VLOOKUP(A78,'Données projet'!$A$191:$I$211,9,0)</f>
        <v>3.6</v>
      </c>
      <c r="EI78" s="13">
        <f t="array" ref="EI78">INDEX(EH:EH,MIN(IF(ISNUMBER(EH78:EH274),ROW(EH78:EH274),"")))</f>
        <v>3.6</v>
      </c>
      <c r="EJ78" s="13">
        <f>IF('Données projet'!$A$192&gt;35,EJ77+EI78-ER77,IF(A78&lt;'Données projet'!$A$192,$EG$205^A78,IF(A78='Données projet'!$A$192,'Données projet'!$B$192,EJ77+EI78-ER77)))</f>
        <v>195.99999999999989</v>
      </c>
      <c r="EK78" s="18">
        <f>EJ78*VLOOKUP('Données projet'!$B$15,Paramètres!$A$1:$I$89,3,0)*VLOOKUP('Données projet'!$B$15,Paramètres!$A$1:$I$89,5,0)</f>
        <v>158.99519999999993</v>
      </c>
      <c r="EL78" s="14">
        <f t="shared" si="99"/>
        <v>40.615796933386008</v>
      </c>
      <c r="EM78" s="22">
        <f t="shared" si="73"/>
        <v>347.65581965898053</v>
      </c>
      <c r="EN78" s="60">
        <f t="shared" si="74"/>
        <v>640.98915299231385</v>
      </c>
      <c r="EO78" s="60">
        <f ca="1">AVERAGE(OFFSET($EN$3,0,0,'Données projet'!$E$15+1,1))-AVERAGE(OFFSET($H$3,0,0,'Données projet'!$E$15+1,1))</f>
        <v>236.22643401787644</v>
      </c>
      <c r="EP78" s="60">
        <f t="shared" si="100"/>
        <v>188.80444043778022</v>
      </c>
      <c r="EQ78" s="16">
        <f>IF(ISNA(VLOOKUP(A78,'Données projet'!$A$191:$I$211,3,0)),0,VLOOKUP(A78,'Données projet'!$A$191:$I$211,3,0))</f>
        <v>6</v>
      </c>
      <c r="ER78" s="16">
        <f>IF(ISNA(VLOOKUP(A78,'Données projet'!$A$191:$I$211,4,0)),0,VLOOKUP(A78,'Données projet'!$A$191:$I$211,4,0))</f>
        <v>22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149</v>
      </c>
      <c r="FC78" s="13">
        <f>VLOOKUP(A78,'Données projet'!$A$217:$I$237,9,0)</f>
        <v>3.4</v>
      </c>
      <c r="FD78" s="13">
        <f t="array" ref="FD78">INDEX(FC:FC,MIN(IF(ISNUMBER(FC78:FC274),ROW(FC78:FC274),"")))</f>
        <v>3.4</v>
      </c>
      <c r="FE78" s="13">
        <f>IF('Données projet'!$A$218&gt;35,FE77+FD78-FM77,IF(A78&lt;'Données projet'!$A$218,$FB$205^A78,IF(A78='Données projet'!$A$218,'Données projet'!$B$218,FE77+FD78-FM77)))</f>
        <v>148.99999999999997</v>
      </c>
      <c r="FF78" s="18">
        <f>FE78*VLOOKUP('Données projet'!$B$16,Paramètres!$A$1:$I$89,3,0)*VLOOKUP('Données projet'!$B$16,Paramètres!$A$1:$I$89,5,0)</f>
        <v>144.11279999999996</v>
      </c>
      <c r="FG78" s="14">
        <f t="shared" si="101"/>
        <v>37.237596662992466</v>
      </c>
      <c r="FH78" s="22">
        <f t="shared" si="76"/>
        <v>315.85194085471181</v>
      </c>
      <c r="FI78" s="60">
        <f t="shared" si="77"/>
        <v>609.18527418804513</v>
      </c>
      <c r="FJ78" s="60">
        <f ca="1">AVERAGE(OFFSET($FI$3,0,0,'Données projet'!$E$16+1,1))-AVERAGE(OFFSET($H$3,0,0,'Données projet'!$E$16+1,1))</f>
        <v>255.59755832175625</v>
      </c>
      <c r="FK78" s="60">
        <f t="shared" si="102"/>
        <v>154.0840647586964</v>
      </c>
      <c r="FL78" s="16">
        <f>IF(ISNA(VLOOKUP(A78,'Données projet'!$A$217:$I$237,3,0)),0,VLOOKUP(A78,'Données projet'!$A$217:$I$237,3,0))</f>
        <v>5</v>
      </c>
      <c r="FM78" s="16">
        <f>IF(ISNA(VLOOKUP(A78,'Données projet'!$A$217:$I$237,4,0)),0,VLOOKUP(A78,'Données projet'!$A$217:$I$237,4,0))</f>
        <v>20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0" t="e">
        <f t="shared" si="80"/>
        <v>#N/A</v>
      </c>
      <c r="GE78" s="60" t="e">
        <f ca="1">AVERAGE(OFFSET($GD$3,0,0,'Données projet'!$E$17+1,1))-AVERAGE(OFFSET($H$3,0,0,'Données projet'!$E$17+1,1))</f>
        <v>#N/A</v>
      </c>
      <c r="GF78" s="60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7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0" t="e">
        <f t="shared" si="83"/>
        <v>#N/A</v>
      </c>
      <c r="GZ78" s="60" t="e">
        <f ca="1">AVERAGE(OFFSET($GY$3,0,0,'Données projet'!$E$18+1,1))-AVERAGE(OFFSET($H$3,0,0,'Données projet'!$E$18+1,1))</f>
        <v>#N/A</v>
      </c>
      <c r="HA78" s="60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5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68">
        <f t="shared" si="56"/>
        <v>256.66666666666669</v>
      </c>
      <c r="I79" s="7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0" t="e">
        <f t="shared" si="55"/>
        <v>#NUM!</v>
      </c>
      <c r="S79" s="60">
        <f ca="1">AVERAGE(OFFSET($R$3,0,0,'Données projet'!$E$9+1,1))-AVERAGE(OFFSET($H$3,0,0,'Données projet'!$E$9+1,1))</f>
        <v>64.775385872852041</v>
      </c>
      <c r="T79" s="60">
        <f t="shared" si="88"/>
        <v>201.69061202990468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12.922335116581269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7.2020126586777438E-9</v>
      </c>
      <c r="AC79" s="24">
        <f t="shared" si="57"/>
        <v>12.922335123783283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261.61199999999991</v>
      </c>
      <c r="AK79" s="14">
        <f t="shared" si="89"/>
        <v>63.065867509496442</v>
      </c>
      <c r="AL79" s="22">
        <f t="shared" si="58"/>
        <v>565.48061924570618</v>
      </c>
      <c r="AM79" s="60">
        <f t="shared" si="59"/>
        <v>858.81395257903955</v>
      </c>
      <c r="AN79" s="60">
        <f ca="1">AVERAGE(OFFSET($AM$3,0,0,'Données projet'!$E$10+1,1))-AVERAGE(OFFSET($H$3,0,0,'Données projet'!$E$10+1,1))</f>
        <v>475.47920969424894</v>
      </c>
      <c r="AO79" s="60">
        <f t="shared" si="90"/>
        <v>271.73544012419364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7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6.7984728957526396E-14</v>
      </c>
      <c r="BF79" s="14">
        <f t="shared" si="91"/>
        <v>1.0682447123141398E-12</v>
      </c>
      <c r="BG79" s="22">
        <f t="shared" si="61"/>
        <v>1.978932943548152E-12</v>
      </c>
      <c r="BH79" s="60">
        <f t="shared" si="62"/>
        <v>293.3333333333353</v>
      </c>
      <c r="BI79" s="60">
        <f ca="1">AVERAGE(OFFSET($BH$3,0,0,'Données projet'!$E$11+1,1))-AVERAGE(OFFSET($H$3,0,0,'Données projet'!$E$11+1,1))</f>
        <v>260.02504691866199</v>
      </c>
      <c r="BJ79" s="60">
        <f t="shared" si="92"/>
        <v>270.11268336406368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4.024584789339797</v>
      </c>
      <c r="BQ79" s="23">
        <f>EXP(-LN(2)/25)*BQ78+(1-EXP(-LN(2)/25))/(LN(2)/25)*Calculateur!BL79*Calculateur!BN79*VLOOKUP('Données projet'!$B$11,Paramètres!$A$1:$I$89,3,0)*0.475*44/12</f>
        <v>4.5909433093238823</v>
      </c>
      <c r="BR79" s="23">
        <f>EXP(-LN(2)/2)*BR78+(1-EXP(-LN(2)/2))/(LN(2)/2)*BL79*BO79*VLOOKUP('Données projet'!$B$11,Paramètres!$A$1:$I$89,3,0)*0.475*44/12</f>
        <v>7.5578224014328047E-7</v>
      </c>
      <c r="BS79" s="24">
        <f t="shared" si="63"/>
        <v>8.6155288544459196</v>
      </c>
      <c r="BT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9.001923076923072</v>
      </c>
      <c r="BY79" s="13">
        <f>IF('Données projet'!$A$114&gt;35,BY78+BX79-CG78,IF(A79&lt;'Données projet'!$A$114,$BV$205^A79,IF(A79='Données projet'!$A$114,'Données projet'!$B$114,BY78+BX79-CG78)))</f>
        <v>284.11730769230815</v>
      </c>
      <c r="BZ79" s="14">
        <f>BY79*VLOOKUP('Données projet'!$B$12,Paramètres!$A$1:$I$89,3,0)*VLOOKUP('Données projet'!$B$12,Paramètres!$A$1:$I$89,5,0)</f>
        <v>132.96690000000021</v>
      </c>
      <c r="CA79" s="14">
        <f t="shared" si="93"/>
        <v>34.681019848273998</v>
      </c>
      <c r="CB79" s="22">
        <f t="shared" si="64"/>
        <v>291.98679373574424</v>
      </c>
      <c r="CC79" s="60">
        <f t="shared" si="65"/>
        <v>585.32012706907756</v>
      </c>
      <c r="CD79" s="60">
        <f ca="1">AVERAGE(OFFSET($CC$3,0,0,'Données projet'!$E$12+1,1))-AVERAGE(OFFSET($H$3,0,0,'Données projet'!$E$12+1,1))</f>
        <v>246.72166704460847</v>
      </c>
      <c r="CE79" s="60">
        <f t="shared" si="94"/>
        <v>145.54897745089966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257.99999999999989</v>
      </c>
      <c r="CU79" s="18">
        <f>CT79*VLOOKUP('Données projet'!$B$13,Paramètres!$A$1:$I$89,3,0)*VLOOKUP('Données projet'!$B$13,Paramètres!$A$1:$I$89,5,0)</f>
        <v>233.43839999999989</v>
      </c>
      <c r="CV79" s="14">
        <f t="shared" si="95"/>
        <v>57.025500710931624</v>
      </c>
      <c r="CW79" s="22">
        <f t="shared" si="67"/>
        <v>505.89129373820577</v>
      </c>
      <c r="CX79" s="60">
        <f t="shared" si="68"/>
        <v>799.22462707153909</v>
      </c>
      <c r="CY79" s="60">
        <f ca="1">AVERAGE(OFFSET($CX$3,0,0,'Données projet'!$E$13+1,1))-AVERAGE(OFFSET($H$3,0,0,'Données projet'!$E$13+1,1))</f>
        <v>428.8489304403459</v>
      </c>
      <c r="CZ79" s="60">
        <f t="shared" si="96"/>
        <v>247.01165577562966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4.3589743589743648</v>
      </c>
      <c r="DO79" s="13">
        <f>IF('Données projet'!$A$166&gt;35,DO78+DN79-DW78,IF(A79&lt;'Données projet'!$A$166,$DL$205^A79,IF(A79='Données projet'!$A$166,'Données projet'!$B$166,DO78+DN79-DW78)))</f>
        <v>262.05128205128187</v>
      </c>
      <c r="DP79" s="18">
        <f>DO79*VLOOKUP('Données projet'!$B$14,Paramètres!$A$1:$I$89,3,0)*VLOOKUP('Données projet'!$B$14,Paramètres!$A$1:$I$89,5,0)</f>
        <v>273.89599999999984</v>
      </c>
      <c r="DQ79" s="14">
        <f t="shared" si="97"/>
        <v>65.675408141572404</v>
      </c>
      <c r="DR79" s="22">
        <f t="shared" si="70"/>
        <v>591.42020251323834</v>
      </c>
      <c r="DS79" s="60">
        <f t="shared" si="71"/>
        <v>884.75353584657159</v>
      </c>
      <c r="DT79" s="60">
        <f ca="1">AVERAGE(OFFSET($DS$3,0,0,'Données projet'!$E$14+1,1))-AVERAGE(OFFSET($H$3,0,0,'Données projet'!$E$14+1,1))</f>
        <v>493.70175665335978</v>
      </c>
      <c r="DU79" s="60">
        <f t="shared" si="98"/>
        <v>325.12357781685949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3.6</v>
      </c>
      <c r="EJ79" s="13">
        <f>IF('Données projet'!$A$192&gt;35,EJ78+EI79-ER78,IF(A79&lt;'Données projet'!$A$192,$EG$205^A79,IF(A79='Données projet'!$A$192,'Données projet'!$B$192,EJ78+EI79-ER78)))</f>
        <v>177.59999999999988</v>
      </c>
      <c r="EK79" s="18">
        <f>EJ79*VLOOKUP('Données projet'!$B$15,Paramètres!$A$1:$I$89,3,0)*VLOOKUP('Données projet'!$B$15,Paramètres!$A$1:$I$89,5,0)</f>
        <v>144.06911999999991</v>
      </c>
      <c r="EL79" s="14">
        <f t="shared" si="99"/>
        <v>37.22762367982471</v>
      </c>
      <c r="EM79" s="22">
        <f t="shared" si="73"/>
        <v>315.75849524236122</v>
      </c>
      <c r="EN79" s="60">
        <f t="shared" si="74"/>
        <v>609.09182857569454</v>
      </c>
      <c r="EO79" s="60">
        <f ca="1">AVERAGE(OFFSET($EN$3,0,0,'Données projet'!$E$15+1,1))-AVERAGE(OFFSET($H$3,0,0,'Données projet'!$E$15+1,1))</f>
        <v>236.22643401787644</v>
      </c>
      <c r="EP79" s="60">
        <f t="shared" si="100"/>
        <v>188.80444043778022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3.4</v>
      </c>
      <c r="FE79" s="13">
        <f>IF('Données projet'!$A$218&gt;35,FE78+FD79-FM78,IF(A79&lt;'Données projet'!$A$218,$FB$205^A79,IF(A79='Données projet'!$A$218,'Données projet'!$B$218,FE78+FD79-FM78)))</f>
        <v>132.39999999999998</v>
      </c>
      <c r="FF79" s="18">
        <f>FE79*VLOOKUP('Données projet'!$B$16,Paramètres!$A$1:$I$89,3,0)*VLOOKUP('Données projet'!$B$16,Paramètres!$A$1:$I$89,5,0)</f>
        <v>128.05727999999996</v>
      </c>
      <c r="FG79" s="14">
        <f t="shared" si="101"/>
        <v>33.54706115995706</v>
      </c>
      <c r="FH79" s="22">
        <f t="shared" si="76"/>
        <v>281.46089418692515</v>
      </c>
      <c r="FI79" s="60">
        <f t="shared" si="77"/>
        <v>574.79422752025846</v>
      </c>
      <c r="FJ79" s="60">
        <f ca="1">AVERAGE(OFFSET($FI$3,0,0,'Données projet'!$E$16+1,1))-AVERAGE(OFFSET($H$3,0,0,'Données projet'!$E$16+1,1))</f>
        <v>255.59755832175625</v>
      </c>
      <c r="FK79" s="60">
        <f t="shared" si="102"/>
        <v>154.0840647586964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0" t="e">
        <f t="shared" si="80"/>
        <v>#N/A</v>
      </c>
      <c r="GE79" s="60" t="e">
        <f ca="1">AVERAGE(OFFSET($GD$3,0,0,'Données projet'!$E$17+1,1))-AVERAGE(OFFSET($H$3,0,0,'Données projet'!$E$17+1,1))</f>
        <v>#N/A</v>
      </c>
      <c r="GF79" s="60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7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0" t="e">
        <f t="shared" si="83"/>
        <v>#N/A</v>
      </c>
      <c r="GZ79" s="60" t="e">
        <f ca="1">AVERAGE(OFFSET($GY$3,0,0,'Données projet'!$E$18+1,1))-AVERAGE(OFFSET($H$3,0,0,'Données projet'!$E$18+1,1))</f>
        <v>#N/A</v>
      </c>
      <c r="HA79" s="60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5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68">
        <f t="shared" si="56"/>
        <v>256.66666666666669</v>
      </c>
      <c r="I80" s="7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0" t="e">
        <f t="shared" si="55"/>
        <v>#NUM!</v>
      </c>
      <c r="S80" s="60">
        <f ca="1">AVERAGE(OFFSET($R$3,0,0,'Données projet'!$E$9+1,1))-AVERAGE(OFFSET($H$3,0,0,'Données projet'!$E$9+1,1))</f>
        <v>64.775385872852041</v>
      </c>
      <c r="T80" s="60">
        <f t="shared" si="88"/>
        <v>201.69061202990468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12.668936006791265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5.0925919891423887E-9</v>
      </c>
      <c r="AC80" s="24">
        <f t="shared" si="57"/>
        <v>12.668936011883856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267.69599999999991</v>
      </c>
      <c r="AK80" s="14">
        <f t="shared" si="89"/>
        <v>64.360058723585439</v>
      </c>
      <c r="AL80" s="22">
        <f t="shared" si="58"/>
        <v>578.33096894357777</v>
      </c>
      <c r="AM80" s="60">
        <f t="shared" si="59"/>
        <v>871.66430227691103</v>
      </c>
      <c r="AN80" s="60">
        <f ca="1">AVERAGE(OFFSET($AM$3,0,0,'Données projet'!$E$10+1,1))-AVERAGE(OFFSET($H$3,0,0,'Données projet'!$E$10+1,1))</f>
        <v>475.47920969424894</v>
      </c>
      <c r="AO80" s="60">
        <f t="shared" si="90"/>
        <v>271.73544012419364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7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6.7984728957526396E-14</v>
      </c>
      <c r="BF80" s="14">
        <f t="shared" si="91"/>
        <v>1.0682447123141398E-12</v>
      </c>
      <c r="BG80" s="22">
        <f t="shared" si="61"/>
        <v>1.978932943548152E-12</v>
      </c>
      <c r="BH80" s="60">
        <f t="shared" si="62"/>
        <v>293.3333333333353</v>
      </c>
      <c r="BI80" s="60">
        <f ca="1">AVERAGE(OFFSET($BH$3,0,0,'Données projet'!$E$11+1,1))-AVERAGE(OFFSET($H$3,0,0,'Données projet'!$E$11+1,1))</f>
        <v>260.02504691866199</v>
      </c>
      <c r="BJ80" s="60">
        <f t="shared" si="92"/>
        <v>270.11268336406368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3.9456651363751782</v>
      </c>
      <c r="BQ80" s="23">
        <f>EXP(-LN(2)/25)*BQ79+(1-EXP(-LN(2)/25))/(LN(2)/25)*Calculateur!BL80*Calculateur!BN80*VLOOKUP('Données projet'!$B$11,Paramètres!$A$1:$I$89,3,0)*0.475*44/12</f>
        <v>4.4654037231032051</v>
      </c>
      <c r="BR80" s="23">
        <f>EXP(-LN(2)/2)*BR79+(1-EXP(-LN(2)/2))/(LN(2)/2)*BL80*BO80*VLOOKUP('Données projet'!$B$11,Paramètres!$A$1:$I$89,3,0)*0.475*44/12</f>
        <v>5.3441874710567334E-7</v>
      </c>
      <c r="BS80" s="24">
        <f t="shared" si="63"/>
        <v>8.4110693938971313</v>
      </c>
      <c r="BT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9.001923076923072</v>
      </c>
      <c r="BY80" s="13">
        <f>IF('Données projet'!$A$114&gt;35,BY79+BX80-CG79,IF(A80&lt;'Données projet'!$A$114,$BV$205^A80,IF(A80='Données projet'!$A$114,'Données projet'!$B$114,BY79+BX80-CG79)))</f>
        <v>293.11923076923119</v>
      </c>
      <c r="BZ80" s="14">
        <f>BY80*VLOOKUP('Données projet'!$B$12,Paramètres!$A$1:$I$89,3,0)*VLOOKUP('Données projet'!$B$12,Paramètres!$A$1:$I$89,5,0)</f>
        <v>137.1798000000002</v>
      </c>
      <c r="CA80" s="14">
        <f t="shared" si="93"/>
        <v>35.65017408944302</v>
      </c>
      <c r="CB80" s="22">
        <f t="shared" si="64"/>
        <v>301.01220487244694</v>
      </c>
      <c r="CC80" s="60">
        <f t="shared" si="65"/>
        <v>594.34553820578026</v>
      </c>
      <c r="CD80" s="60">
        <f ca="1">AVERAGE(OFFSET($CC$3,0,0,'Données projet'!$E$12+1,1))-AVERAGE(OFFSET($H$3,0,0,'Données projet'!$E$12+1,1))</f>
        <v>246.72166704460847</v>
      </c>
      <c r="CE80" s="60">
        <f t="shared" si="94"/>
        <v>145.54897745089966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263.99999999999989</v>
      </c>
      <c r="CU80" s="18">
        <f>CT80*VLOOKUP('Données projet'!$B$13,Paramètres!$A$1:$I$89,3,0)*VLOOKUP('Données projet'!$B$13,Paramètres!$A$1:$I$89,5,0)</f>
        <v>238.86719999999988</v>
      </c>
      <c r="CV80" s="14">
        <f t="shared" si="95"/>
        <v>58.195735973104156</v>
      </c>
      <c r="CW80" s="22">
        <f t="shared" si="67"/>
        <v>517.38461348648957</v>
      </c>
      <c r="CX80" s="60">
        <f t="shared" si="68"/>
        <v>810.71794681982283</v>
      </c>
      <c r="CY80" s="60">
        <f ca="1">AVERAGE(OFFSET($CX$3,0,0,'Données projet'!$E$13+1,1))-AVERAGE(OFFSET($H$3,0,0,'Données projet'!$E$13+1,1))</f>
        <v>428.8489304403459</v>
      </c>
      <c r="CZ80" s="60">
        <f t="shared" si="96"/>
        <v>247.01165577562966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4.3589743589743648</v>
      </c>
      <c r="DO80" s="13">
        <f>IF('Données projet'!$A$166&gt;35,DO79+DN80-DW79,IF(A80&lt;'Données projet'!$A$166,$DL$205^A80,IF(A80='Données projet'!$A$166,'Données projet'!$B$166,DO79+DN80-DW79)))</f>
        <v>266.41025641025624</v>
      </c>
      <c r="DP80" s="18">
        <f>DO80*VLOOKUP('Données projet'!$B$14,Paramètres!$A$1:$I$89,3,0)*VLOOKUP('Données projet'!$B$14,Paramètres!$A$1:$I$89,5,0)</f>
        <v>278.45199999999988</v>
      </c>
      <c r="DQ80" s="14">
        <f t="shared" si="97"/>
        <v>66.639766503676199</v>
      </c>
      <c r="DR80" s="22">
        <f t="shared" si="70"/>
        <v>601.03482666056914</v>
      </c>
      <c r="DS80" s="60">
        <f t="shared" si="71"/>
        <v>894.36815999390251</v>
      </c>
      <c r="DT80" s="60">
        <f ca="1">AVERAGE(OFFSET($DS$3,0,0,'Données projet'!$E$14+1,1))-AVERAGE(OFFSET($H$3,0,0,'Données projet'!$E$14+1,1))</f>
        <v>493.70175665335978</v>
      </c>
      <c r="DU80" s="60">
        <f t="shared" si="98"/>
        <v>325.12357781685949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3.6</v>
      </c>
      <c r="EJ80" s="13">
        <f>IF('Données projet'!$A$192&gt;35,EJ79+EI80-ER79,IF(A80&lt;'Données projet'!$A$192,$EG$205^A80,IF(A80='Données projet'!$A$192,'Données projet'!$B$192,EJ79+EI80-ER79)))</f>
        <v>181.19999999999987</v>
      </c>
      <c r="EK80" s="18">
        <f>EJ80*VLOOKUP('Données projet'!$B$15,Paramètres!$A$1:$I$89,3,0)*VLOOKUP('Données projet'!$B$15,Paramètres!$A$1:$I$89,5,0)</f>
        <v>146.98943999999989</v>
      </c>
      <c r="EL80" s="14">
        <f t="shared" si="99"/>
        <v>37.89361985872371</v>
      </c>
      <c r="EM80" s="22">
        <f t="shared" si="73"/>
        <v>322.00466258727687</v>
      </c>
      <c r="EN80" s="60">
        <f t="shared" si="74"/>
        <v>615.33799592061018</v>
      </c>
      <c r="EO80" s="60">
        <f ca="1">AVERAGE(OFFSET($EN$3,0,0,'Données projet'!$E$15+1,1))-AVERAGE(OFFSET($H$3,0,0,'Données projet'!$E$15+1,1))</f>
        <v>236.22643401787644</v>
      </c>
      <c r="EP80" s="60">
        <f t="shared" si="100"/>
        <v>188.80444043778022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3.4</v>
      </c>
      <c r="FE80" s="13">
        <f>IF('Données projet'!$A$218&gt;35,FE79+FD80-FM79,IF(A80&lt;'Données projet'!$A$218,$FB$205^A80,IF(A80='Données projet'!$A$218,'Données projet'!$B$218,FE79+FD80-FM79)))</f>
        <v>135.79999999999998</v>
      </c>
      <c r="FF80" s="18">
        <f>FE80*VLOOKUP('Données projet'!$B$16,Paramètres!$A$1:$I$89,3,0)*VLOOKUP('Données projet'!$B$16,Paramètres!$A$1:$I$89,5,0)</f>
        <v>131.34575999999998</v>
      </c>
      <c r="FG80" s="14">
        <f t="shared" si="101"/>
        <v>34.30713832111968</v>
      </c>
      <c r="FH80" s="22">
        <f t="shared" si="76"/>
        <v>288.5121312426167</v>
      </c>
      <c r="FI80" s="60">
        <f t="shared" si="77"/>
        <v>581.84546457595002</v>
      </c>
      <c r="FJ80" s="60">
        <f ca="1">AVERAGE(OFFSET($FI$3,0,0,'Données projet'!$E$16+1,1))-AVERAGE(OFFSET($H$3,0,0,'Données projet'!$E$16+1,1))</f>
        <v>255.59755832175625</v>
      </c>
      <c r="FK80" s="60">
        <f t="shared" si="102"/>
        <v>154.0840647586964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0" t="e">
        <f t="shared" si="80"/>
        <v>#N/A</v>
      </c>
      <c r="GE80" s="60" t="e">
        <f ca="1">AVERAGE(OFFSET($GD$3,0,0,'Données projet'!$E$17+1,1))-AVERAGE(OFFSET($H$3,0,0,'Données projet'!$E$17+1,1))</f>
        <v>#N/A</v>
      </c>
      <c r="GF80" s="60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7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0" t="e">
        <f t="shared" si="83"/>
        <v>#N/A</v>
      </c>
      <c r="GZ80" s="60" t="e">
        <f ca="1">AVERAGE(OFFSET($GY$3,0,0,'Données projet'!$E$18+1,1))-AVERAGE(OFFSET($H$3,0,0,'Données projet'!$E$18+1,1))</f>
        <v>#N/A</v>
      </c>
      <c r="HA80" s="60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5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68">
        <f t="shared" si="56"/>
        <v>256.66666666666669</v>
      </c>
      <c r="I81" s="7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0" t="e">
        <f t="shared" si="55"/>
        <v>#NUM!</v>
      </c>
      <c r="S81" s="60">
        <f ca="1">AVERAGE(OFFSET($R$3,0,0,'Données projet'!$E$9+1,1))-AVERAGE(OFFSET($H$3,0,0,'Données projet'!$E$9+1,1))</f>
        <v>64.775385872852041</v>
      </c>
      <c r="T81" s="60">
        <f t="shared" si="88"/>
        <v>201.69061202990468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12.420505898986047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3.6010063293388719E-9</v>
      </c>
      <c r="AC81" s="24">
        <f t="shared" si="57"/>
        <v>12.420505902587053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273.77999999999992</v>
      </c>
      <c r="AK81" s="14">
        <f t="shared" si="89"/>
        <v>65.650830427167435</v>
      </c>
      <c r="AL81" s="22">
        <f t="shared" si="58"/>
        <v>591.17536299398307</v>
      </c>
      <c r="AM81" s="60">
        <f t="shared" si="59"/>
        <v>884.50869632731633</v>
      </c>
      <c r="AN81" s="60">
        <f ca="1">AVERAGE(OFFSET($AM$3,0,0,'Données projet'!$E$10+1,1))-AVERAGE(OFFSET($H$3,0,0,'Données projet'!$E$10+1,1))</f>
        <v>475.47920969424894</v>
      </c>
      <c r="AO81" s="60">
        <f t="shared" si="90"/>
        <v>271.73544012419364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7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6.7984728957526396E-14</v>
      </c>
      <c r="BF81" s="14">
        <f t="shared" si="91"/>
        <v>1.0682447123141398E-12</v>
      </c>
      <c r="BG81" s="22">
        <f t="shared" si="61"/>
        <v>1.978932943548152E-12</v>
      </c>
      <c r="BH81" s="60">
        <f t="shared" si="62"/>
        <v>293.3333333333353</v>
      </c>
      <c r="BI81" s="60">
        <f ca="1">AVERAGE(OFFSET($BH$3,0,0,'Données projet'!$E$11+1,1))-AVERAGE(OFFSET($H$3,0,0,'Données projet'!$E$11+1,1))</f>
        <v>260.02504691866199</v>
      </c>
      <c r="BJ81" s="60">
        <f t="shared" si="92"/>
        <v>270.11268336406368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3.8682930496689605</v>
      </c>
      <c r="BQ81" s="23">
        <f>EXP(-LN(2)/25)*BQ80+(1-EXP(-LN(2)/25))/(LN(2)/25)*Calculateur!BL81*Calculateur!BN81*VLOOKUP('Données projet'!$B$11,Paramètres!$A$1:$I$89,3,0)*0.475*44/12</f>
        <v>4.3432970234695718</v>
      </c>
      <c r="BR81" s="23">
        <f>EXP(-LN(2)/2)*BR80+(1-EXP(-LN(2)/2))/(LN(2)/2)*BL81*BO81*VLOOKUP('Données projet'!$B$11,Paramètres!$A$1:$I$89,3,0)*0.475*44/12</f>
        <v>3.7789112007164024E-7</v>
      </c>
      <c r="BS81" s="24">
        <f t="shared" si="63"/>
        <v>8.211590451029652</v>
      </c>
      <c r="BT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9.001923076923072</v>
      </c>
      <c r="BY81" s="13">
        <f>IF('Données projet'!$A$114&gt;35,BY80+BX81-CG80,IF(A81&lt;'Données projet'!$A$114,$BV$205^A81,IF(A81='Données projet'!$A$114,'Données projet'!$B$114,BY80+BX81-CG80)))</f>
        <v>302.12115384615424</v>
      </c>
      <c r="BZ81" s="14">
        <f>BY81*VLOOKUP('Données projet'!$B$12,Paramètres!$A$1:$I$89,3,0)*VLOOKUP('Données projet'!$B$12,Paramètres!$A$1:$I$89,5,0)</f>
        <v>141.39270000000019</v>
      </c>
      <c r="CA81" s="14">
        <f t="shared" si="93"/>
        <v>36.615869470582794</v>
      </c>
      <c r="CB81" s="22">
        <f t="shared" si="64"/>
        <v>310.031591827932</v>
      </c>
      <c r="CC81" s="60">
        <f t="shared" si="65"/>
        <v>603.36492516126532</v>
      </c>
      <c r="CD81" s="60">
        <f ca="1">AVERAGE(OFFSET($CC$3,0,0,'Données projet'!$E$12+1,1))-AVERAGE(OFFSET($H$3,0,0,'Données projet'!$E$12+1,1))</f>
        <v>246.72166704460847</v>
      </c>
      <c r="CE81" s="60">
        <f t="shared" si="94"/>
        <v>145.54897745089966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269.99999999999989</v>
      </c>
      <c r="CU81" s="18">
        <f>CT81*VLOOKUP('Données projet'!$B$13,Paramètres!$A$1:$I$89,3,0)*VLOOKUP('Données projet'!$B$13,Paramètres!$A$1:$I$89,5,0)</f>
        <v>244.29599999999991</v>
      </c>
      <c r="CV81" s="14">
        <f t="shared" si="95"/>
        <v>59.362879241040318</v>
      </c>
      <c r="CW81" s="22">
        <f t="shared" si="67"/>
        <v>528.87254801147833</v>
      </c>
      <c r="CX81" s="60">
        <f t="shared" si="68"/>
        <v>822.20588134481159</v>
      </c>
      <c r="CY81" s="60">
        <f ca="1">AVERAGE(OFFSET($CX$3,0,0,'Données projet'!$E$13+1,1))-AVERAGE(OFFSET($H$3,0,0,'Données projet'!$E$13+1,1))</f>
        <v>428.8489304403459</v>
      </c>
      <c r="CZ81" s="60">
        <f t="shared" si="96"/>
        <v>247.01165577562966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4.3589743589743648</v>
      </c>
      <c r="DO81" s="13">
        <f>IF('Données projet'!$A$166&gt;35,DO80+DN81-DW80,IF(A81&lt;'Données projet'!$A$166,$DL$205^A81,IF(A81='Données projet'!$A$166,'Données projet'!$B$166,DO80+DN81-DW80)))</f>
        <v>270.7692307692306</v>
      </c>
      <c r="DP81" s="18">
        <f>DO81*VLOOKUP('Données projet'!$B$14,Paramètres!$A$1:$I$89,3,0)*VLOOKUP('Données projet'!$B$14,Paramètres!$A$1:$I$89,5,0)</f>
        <v>283.00799999999987</v>
      </c>
      <c r="DQ81" s="14">
        <f t="shared" si="97"/>
        <v>67.602289883832427</v>
      </c>
      <c r="DR81" s="22">
        <f t="shared" si="70"/>
        <v>610.64625488100796</v>
      </c>
      <c r="DS81" s="60">
        <f t="shared" si="71"/>
        <v>903.97958821434122</v>
      </c>
      <c r="DT81" s="60">
        <f ca="1">AVERAGE(OFFSET($DS$3,0,0,'Données projet'!$E$14+1,1))-AVERAGE(OFFSET($H$3,0,0,'Données projet'!$E$14+1,1))</f>
        <v>493.70175665335978</v>
      </c>
      <c r="DU81" s="60">
        <f t="shared" si="98"/>
        <v>325.12357781685949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3.6</v>
      </c>
      <c r="EJ81" s="13">
        <f>IF('Données projet'!$A$192&gt;35,EJ80+EI81-ER80,IF(A81&lt;'Données projet'!$A$192,$EG$205^A81,IF(A81='Données projet'!$A$192,'Données projet'!$B$192,EJ80+EI81-ER80)))</f>
        <v>184.79999999999987</v>
      </c>
      <c r="EK81" s="18">
        <f>EJ81*VLOOKUP('Données projet'!$B$15,Paramètres!$A$1:$I$89,3,0)*VLOOKUP('Données projet'!$B$15,Paramètres!$A$1:$I$89,5,0)</f>
        <v>149.90975999999989</v>
      </c>
      <c r="EL81" s="14">
        <f t="shared" si="99"/>
        <v>38.558077538852132</v>
      </c>
      <c r="EM81" s="22">
        <f t="shared" si="73"/>
        <v>328.24815038016726</v>
      </c>
      <c r="EN81" s="60">
        <f t="shared" si="74"/>
        <v>621.58148371350057</v>
      </c>
      <c r="EO81" s="60">
        <f ca="1">AVERAGE(OFFSET($EN$3,0,0,'Données projet'!$E$15+1,1))-AVERAGE(OFFSET($H$3,0,0,'Données projet'!$E$15+1,1))</f>
        <v>236.22643401787644</v>
      </c>
      <c r="EP81" s="60">
        <f t="shared" si="100"/>
        <v>188.80444043778022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3.4</v>
      </c>
      <c r="FE81" s="13">
        <f>IF('Données projet'!$A$218&gt;35,FE80+FD81-FM80,IF(A81&lt;'Données projet'!$A$218,$FB$205^A81,IF(A81='Données projet'!$A$218,'Données projet'!$B$218,FE80+FD81-FM80)))</f>
        <v>139.19999999999999</v>
      </c>
      <c r="FF81" s="18">
        <f>FE81*VLOOKUP('Données projet'!$B$16,Paramètres!$A$1:$I$89,3,0)*VLOOKUP('Données projet'!$B$16,Paramètres!$A$1:$I$89,5,0)</f>
        <v>134.63423999999998</v>
      </c>
      <c r="FG81" s="14">
        <f t="shared" si="101"/>
        <v>35.065003380589694</v>
      </c>
      <c r="FH81" s="22">
        <f t="shared" si="76"/>
        <v>295.55951555452697</v>
      </c>
      <c r="FI81" s="60">
        <f t="shared" si="77"/>
        <v>588.89284888786028</v>
      </c>
      <c r="FJ81" s="60">
        <f ca="1">AVERAGE(OFFSET($FI$3,0,0,'Données projet'!$E$16+1,1))-AVERAGE(OFFSET($H$3,0,0,'Données projet'!$E$16+1,1))</f>
        <v>255.59755832175625</v>
      </c>
      <c r="FK81" s="60">
        <f t="shared" si="102"/>
        <v>154.0840647586964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0" t="e">
        <f t="shared" si="80"/>
        <v>#N/A</v>
      </c>
      <c r="GE81" s="60" t="e">
        <f ca="1">AVERAGE(OFFSET($GD$3,0,0,'Données projet'!$E$17+1,1))-AVERAGE(OFFSET($H$3,0,0,'Données projet'!$E$17+1,1))</f>
        <v>#N/A</v>
      </c>
      <c r="GF81" s="60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7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0" t="e">
        <f t="shared" si="83"/>
        <v>#N/A</v>
      </c>
      <c r="GZ81" s="60" t="e">
        <f ca="1">AVERAGE(OFFSET($GY$3,0,0,'Données projet'!$E$18+1,1))-AVERAGE(OFFSET($H$3,0,0,'Données projet'!$E$18+1,1))</f>
        <v>#N/A</v>
      </c>
      <c r="HA81" s="60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5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68">
        <f t="shared" si="56"/>
        <v>256.66666666666669</v>
      </c>
      <c r="I82" s="7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0" t="e">
        <f t="shared" si="55"/>
        <v>#NUM!</v>
      </c>
      <c r="S82" s="60">
        <f ca="1">AVERAGE(OFFSET($R$3,0,0,'Données projet'!$E$9+1,1))-AVERAGE(OFFSET($H$3,0,0,'Données projet'!$E$9+1,1))</f>
        <v>64.775385872852041</v>
      </c>
      <c r="T82" s="60">
        <f t="shared" si="88"/>
        <v>201.69061202990468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12.176947354067485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2.5462959945711944E-9</v>
      </c>
      <c r="AC82" s="24">
        <f t="shared" si="57"/>
        <v>12.17694735661378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279.86399999999986</v>
      </c>
      <c r="AK82" s="14">
        <f t="shared" si="89"/>
        <v>66.938267358965007</v>
      </c>
      <c r="AL82" s="22">
        <f t="shared" si="58"/>
        <v>604.01394898353044</v>
      </c>
      <c r="AM82" s="60">
        <f t="shared" si="59"/>
        <v>897.34728231686381</v>
      </c>
      <c r="AN82" s="60">
        <f ca="1">AVERAGE(OFFSET($AM$3,0,0,'Données projet'!$E$10+1,1))-AVERAGE(OFFSET($H$3,0,0,'Données projet'!$E$10+1,1))</f>
        <v>475.47920969424894</v>
      </c>
      <c r="AO82" s="60">
        <f t="shared" si="90"/>
        <v>271.73544012419364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7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6.7984728957526396E-14</v>
      </c>
      <c r="BF82" s="14">
        <f t="shared" si="91"/>
        <v>1.0682447123141398E-12</v>
      </c>
      <c r="BG82" s="22">
        <f t="shared" si="61"/>
        <v>1.978932943548152E-12</v>
      </c>
      <c r="BH82" s="60">
        <f t="shared" si="62"/>
        <v>293.3333333333353</v>
      </c>
      <c r="BI82" s="60">
        <f ca="1">AVERAGE(OFFSET($BH$3,0,0,'Données projet'!$E$11+1,1))-AVERAGE(OFFSET($H$3,0,0,'Données projet'!$E$11+1,1))</f>
        <v>260.02504691866199</v>
      </c>
      <c r="BJ82" s="60">
        <f t="shared" si="92"/>
        <v>270.11268336406368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3.7924381823907387</v>
      </c>
      <c r="BQ82" s="23">
        <f>EXP(-LN(2)/25)*BQ81+(1-EXP(-LN(2)/25))/(LN(2)/25)*Calculateur!BL82*Calculateur!BN82*VLOOKUP('Données projet'!$B$11,Paramètres!$A$1:$I$89,3,0)*0.475*44/12</f>
        <v>4.2245293379587325</v>
      </c>
      <c r="BR82" s="23">
        <f>EXP(-LN(2)/2)*BR81+(1-EXP(-LN(2)/2))/(LN(2)/2)*BL82*BO82*VLOOKUP('Données projet'!$B$11,Paramètres!$A$1:$I$89,3,0)*0.475*44/12</f>
        <v>2.6720937355283667E-7</v>
      </c>
      <c r="BS82" s="24">
        <f t="shared" si="63"/>
        <v>8.0169677875588441</v>
      </c>
      <c r="BT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9.001923076923072</v>
      </c>
      <c r="BY82" s="13">
        <f>IF('Données projet'!$A$114&gt;35,BY81+BX82-CG81,IF(A82&lt;'Données projet'!$A$114,$BV$205^A82,IF(A82='Données projet'!$A$114,'Données projet'!$B$114,BY81+BX82-CG81)))</f>
        <v>311.12307692307729</v>
      </c>
      <c r="BZ82" s="14">
        <f>BY82*VLOOKUP('Données projet'!$B$12,Paramètres!$A$1:$I$89,3,0)*VLOOKUP('Données projet'!$B$12,Paramètres!$A$1:$I$89,5,0)</f>
        <v>145.60560000000018</v>
      </c>
      <c r="CA82" s="14">
        <f t="shared" si="93"/>
        <v>37.578220882267132</v>
      </c>
      <c r="CB82" s="22">
        <f t="shared" si="64"/>
        <v>319.04515470328221</v>
      </c>
      <c r="CC82" s="60">
        <f t="shared" si="65"/>
        <v>612.37848803661552</v>
      </c>
      <c r="CD82" s="60">
        <f ca="1">AVERAGE(OFFSET($CC$3,0,0,'Données projet'!$E$12+1,1))-AVERAGE(OFFSET($H$3,0,0,'Données projet'!$E$12+1,1))</f>
        <v>246.72166704460847</v>
      </c>
      <c r="CE82" s="60">
        <f t="shared" si="94"/>
        <v>145.54897745089966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275.99999999999989</v>
      </c>
      <c r="CU82" s="18">
        <f>CT82*VLOOKUP('Données projet'!$B$13,Paramètres!$A$1:$I$89,3,0)*VLOOKUP('Données projet'!$B$13,Paramètres!$A$1:$I$89,5,0)</f>
        <v>249.7247999999999</v>
      </c>
      <c r="CV82" s="14">
        <f t="shared" si="95"/>
        <v>60.527007137298092</v>
      </c>
      <c r="CW82" s="22">
        <f t="shared" si="67"/>
        <v>540.35523076412733</v>
      </c>
      <c r="CX82" s="60">
        <f t="shared" si="68"/>
        <v>833.68856409746058</v>
      </c>
      <c r="CY82" s="60">
        <f ca="1">AVERAGE(OFFSET($CX$3,0,0,'Données projet'!$E$13+1,1))-AVERAGE(OFFSET($H$3,0,0,'Données projet'!$E$13+1,1))</f>
        <v>428.8489304403459</v>
      </c>
      <c r="CZ82" s="60">
        <f t="shared" si="96"/>
        <v>247.01165577562966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4.3589743589743648</v>
      </c>
      <c r="DO82" s="13">
        <f>IF('Données projet'!$A$166&gt;35,DO81+DN82-DW81,IF(A82&lt;'Données projet'!$A$166,$DL$205^A82,IF(A82='Données projet'!$A$166,'Données projet'!$B$166,DO81+DN82-DW81)))</f>
        <v>275.12820512820497</v>
      </c>
      <c r="DP82" s="18">
        <f>DO82*VLOOKUP('Données projet'!$B$14,Paramètres!$A$1:$I$89,3,0)*VLOOKUP('Données projet'!$B$14,Paramètres!$A$1:$I$89,5,0)</f>
        <v>287.56399999999985</v>
      </c>
      <c r="DQ82" s="14">
        <f t="shared" si="97"/>
        <v>68.563011232963589</v>
      </c>
      <c r="DR82" s="22">
        <f t="shared" si="70"/>
        <v>620.25454456407806</v>
      </c>
      <c r="DS82" s="60">
        <f t="shared" si="71"/>
        <v>913.58787789741132</v>
      </c>
      <c r="DT82" s="60">
        <f ca="1">AVERAGE(OFFSET($DS$3,0,0,'Données projet'!$E$14+1,1))-AVERAGE(OFFSET($H$3,0,0,'Données projet'!$E$14+1,1))</f>
        <v>493.70175665335978</v>
      </c>
      <c r="DU82" s="60">
        <f t="shared" si="98"/>
        <v>325.12357781685949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3.6</v>
      </c>
      <c r="EJ82" s="13">
        <f>IF('Données projet'!$A$192&gt;35,EJ81+EI82-ER81,IF(A82&lt;'Données projet'!$A$192,$EG$205^A82,IF(A82='Données projet'!$A$192,'Données projet'!$B$192,EJ81+EI82-ER81)))</f>
        <v>188.39999999999986</v>
      </c>
      <c r="EK82" s="18">
        <f>EJ82*VLOOKUP('Données projet'!$B$15,Paramètres!$A$1:$I$89,3,0)*VLOOKUP('Données projet'!$B$15,Paramètres!$A$1:$I$89,5,0)</f>
        <v>152.8300799999999</v>
      </c>
      <c r="EL82" s="14">
        <f t="shared" si="99"/>
        <v>39.221030145920402</v>
      </c>
      <c r="EM82" s="22">
        <f t="shared" si="73"/>
        <v>334.48901683747783</v>
      </c>
      <c r="EN82" s="60">
        <f t="shared" si="74"/>
        <v>627.82235017081121</v>
      </c>
      <c r="EO82" s="60">
        <f ca="1">AVERAGE(OFFSET($EN$3,0,0,'Données projet'!$E$15+1,1))-AVERAGE(OFFSET($H$3,0,0,'Données projet'!$E$15+1,1))</f>
        <v>236.22643401787644</v>
      </c>
      <c r="EP82" s="60">
        <f t="shared" si="100"/>
        <v>188.80444043778022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3.4</v>
      </c>
      <c r="FE82" s="13">
        <f>IF('Données projet'!$A$218&gt;35,FE81+FD82-FM81,IF(A82&lt;'Données projet'!$A$218,$FB$205^A82,IF(A82='Données projet'!$A$218,'Données projet'!$B$218,FE81+FD82-FM81)))</f>
        <v>142.6</v>
      </c>
      <c r="FF82" s="18">
        <f>FE82*VLOOKUP('Données projet'!$B$16,Paramètres!$A$1:$I$89,3,0)*VLOOKUP('Données projet'!$B$16,Paramètres!$A$1:$I$89,5,0)</f>
        <v>137.92272</v>
      </c>
      <c r="FG82" s="14">
        <f t="shared" si="101"/>
        <v>35.82071658526872</v>
      </c>
      <c r="FH82" s="22">
        <f t="shared" si="76"/>
        <v>302.60315205267631</v>
      </c>
      <c r="FI82" s="60">
        <f t="shared" si="77"/>
        <v>595.93648538600962</v>
      </c>
      <c r="FJ82" s="60">
        <f ca="1">AVERAGE(OFFSET($FI$3,0,0,'Données projet'!$E$16+1,1))-AVERAGE(OFFSET($H$3,0,0,'Données projet'!$E$16+1,1))</f>
        <v>255.59755832175625</v>
      </c>
      <c r="FK82" s="60">
        <f t="shared" si="102"/>
        <v>154.0840647586964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0" t="e">
        <f t="shared" si="80"/>
        <v>#N/A</v>
      </c>
      <c r="GE82" s="60" t="e">
        <f ca="1">AVERAGE(OFFSET($GD$3,0,0,'Données projet'!$E$17+1,1))-AVERAGE(OFFSET($H$3,0,0,'Données projet'!$E$17+1,1))</f>
        <v>#N/A</v>
      </c>
      <c r="GF82" s="60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7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0" t="e">
        <f t="shared" si="83"/>
        <v>#N/A</v>
      </c>
      <c r="GZ82" s="60" t="e">
        <f ca="1">AVERAGE(OFFSET($GY$3,0,0,'Données projet'!$E$18+1,1))-AVERAGE(OFFSET($H$3,0,0,'Données projet'!$E$18+1,1))</f>
        <v>#N/A</v>
      </c>
      <c r="HA82" s="60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5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68">
        <f t="shared" si="56"/>
        <v>256.66666666666669</v>
      </c>
      <c r="I83" s="7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0" t="e">
        <f t="shared" si="55"/>
        <v>#NUM!</v>
      </c>
      <c r="S83" s="60">
        <f ca="1">AVERAGE(OFFSET($R$3,0,0,'Données projet'!$E$9+1,1))-AVERAGE(OFFSET($H$3,0,0,'Données projet'!$E$9+1,1))</f>
        <v>64.775385872852041</v>
      </c>
      <c r="T83" s="60">
        <f t="shared" si="88"/>
        <v>201.69061202990468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11.938164843658733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1.800503164669436E-9</v>
      </c>
      <c r="AC83" s="24">
        <f t="shared" si="57"/>
        <v>11.938164845459236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285.94799999999992</v>
      </c>
      <c r="AK83" s="14">
        <f t="shared" si="89"/>
        <v>68.222450362989363</v>
      </c>
      <c r="AL83" s="22">
        <f t="shared" si="58"/>
        <v>616.84686771553959</v>
      </c>
      <c r="AM83" s="60">
        <f t="shared" si="59"/>
        <v>910.18020104887296</v>
      </c>
      <c r="AN83" s="60">
        <f ca="1">AVERAGE(OFFSET($AM$3,0,0,'Données projet'!$E$10+1,1))-AVERAGE(OFFSET($H$3,0,0,'Données projet'!$E$10+1,1))</f>
        <v>475.47920969424894</v>
      </c>
      <c r="AO83" s="60">
        <f t="shared" si="90"/>
        <v>271.73544012419364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7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6.7984728957526396E-14</v>
      </c>
      <c r="BF83" s="14">
        <f t="shared" si="91"/>
        <v>1.0682447123141398E-12</v>
      </c>
      <c r="BG83" s="22">
        <f t="shared" si="61"/>
        <v>1.978932943548152E-12</v>
      </c>
      <c r="BH83" s="60">
        <f t="shared" si="62"/>
        <v>293.3333333333353</v>
      </c>
      <c r="BI83" s="60">
        <f ca="1">AVERAGE(OFFSET($BH$3,0,0,'Données projet'!$E$11+1,1))-AVERAGE(OFFSET($H$3,0,0,'Données projet'!$E$11+1,1))</f>
        <v>260.02504691866199</v>
      </c>
      <c r="BJ83" s="60">
        <f t="shared" si="92"/>
        <v>270.11268336406368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3.718070782792942</v>
      </c>
      <c r="BQ83" s="23">
        <f>EXP(-LN(2)/25)*BQ82+(1-EXP(-LN(2)/25))/(LN(2)/25)*Calculateur!BL83*Calculateur!BN83*VLOOKUP('Données projet'!$B$11,Paramètres!$A$1:$I$89,3,0)*0.475*44/12</f>
        <v>4.109009361053908</v>
      </c>
      <c r="BR83" s="23">
        <f>EXP(-LN(2)/2)*BR82+(1-EXP(-LN(2)/2))/(LN(2)/2)*BL83*BO83*VLOOKUP('Données projet'!$B$11,Paramètres!$A$1:$I$89,3,0)*0.475*44/12</f>
        <v>1.8894556003582012E-7</v>
      </c>
      <c r="BS83" s="24">
        <f t="shared" si="63"/>
        <v>7.8270803327924092</v>
      </c>
      <c r="BT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9.001923076923072</v>
      </c>
      <c r="BY83" s="13">
        <f>IF('Données projet'!$A$114&gt;35,BY82+BX83-CG82,IF(A83&lt;'Données projet'!$A$114,$BV$205^A83,IF(A83='Données projet'!$A$114,'Données projet'!$B$114,BY82+BX83-CG82)))</f>
        <v>320.12500000000034</v>
      </c>
      <c r="BZ83" s="14">
        <f>BY83*VLOOKUP('Données projet'!$B$12,Paramètres!$A$1:$I$89,3,0)*VLOOKUP('Données projet'!$B$12,Paramètres!$A$1:$I$89,5,0)</f>
        <v>149.81850000000017</v>
      </c>
      <c r="CA83" s="14">
        <f t="shared" si="93"/>
        <v>38.537336188594026</v>
      </c>
      <c r="CB83" s="22">
        <f t="shared" si="64"/>
        <v>328.0530813618015</v>
      </c>
      <c r="CC83" s="60">
        <f t="shared" si="65"/>
        <v>621.38641469513482</v>
      </c>
      <c r="CD83" s="60">
        <f ca="1">AVERAGE(OFFSET($CC$3,0,0,'Données projet'!$E$12+1,1))-AVERAGE(OFFSET($H$3,0,0,'Données projet'!$E$12+1,1))</f>
        <v>246.72166704460847</v>
      </c>
      <c r="CE83" s="60">
        <f t="shared" si="94"/>
        <v>145.54897745089966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282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281.99999999999989</v>
      </c>
      <c r="CU83" s="18">
        <f>CT83*VLOOKUP('Données projet'!$B$13,Paramètres!$A$1:$I$89,3,0)*VLOOKUP('Données projet'!$B$13,Paramètres!$A$1:$I$89,5,0)</f>
        <v>255.15359999999987</v>
      </c>
      <c r="CV83" s="14">
        <f t="shared" si="95"/>
        <v>61.688192762754376</v>
      </c>
      <c r="CW83" s="22">
        <f t="shared" si="67"/>
        <v>551.83278906179692</v>
      </c>
      <c r="CX83" s="60">
        <f t="shared" si="68"/>
        <v>845.16612239513029</v>
      </c>
      <c r="CY83" s="60">
        <f ca="1">AVERAGE(OFFSET($CX$3,0,0,'Données projet'!$E$13+1,1))-AVERAGE(OFFSET($H$3,0,0,'Données projet'!$E$13+1,1))</f>
        <v>428.8489304403459</v>
      </c>
      <c r="CZ83" s="60">
        <f t="shared" si="96"/>
        <v>247.01165577562966</v>
      </c>
      <c r="DA83" s="16">
        <f>IF(ISNA(VLOOKUP(A83,'Données projet'!$A$139:$I$159,3,0)),0,VLOOKUP(A83,'Données projet'!$A$139:$I$159,3,0))</f>
        <v>6</v>
      </c>
      <c r="DB83" s="16">
        <f>IF(ISNA(VLOOKUP(A83,'Données projet'!$A$139:$I$159,4,0)),0,VLOOKUP(A83,'Données projet'!$A$139:$I$159,4,0))</f>
        <v>42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279.4871794871795</v>
      </c>
      <c r="DM83" s="13">
        <f>VLOOKUP(A83,'Données projet'!$A$165:$I$185,9,0)</f>
        <v>4.3589743589743648</v>
      </c>
      <c r="DN83" s="13">
        <f t="array" ref="DN83">INDEX(DM:DM,MIN(IF(ISNUMBER(DM83:DM279),ROW(DM83:DM279),"")))</f>
        <v>4.3589743589743648</v>
      </c>
      <c r="DO83" s="13">
        <f>IF('Données projet'!$A$166&gt;35,DO82+DN83-DW82,IF(A83&lt;'Données projet'!$A$166,$DL$205^A83,IF(A83='Données projet'!$A$166,'Données projet'!$B$166,DO82+DN83-DW82)))</f>
        <v>279.48717948717933</v>
      </c>
      <c r="DP83" s="18">
        <f>DO83*VLOOKUP('Données projet'!$B$14,Paramètres!$A$1:$I$89,3,0)*VLOOKUP('Données projet'!$B$14,Paramètres!$A$1:$I$89,5,0)</f>
        <v>292.11999999999989</v>
      </c>
      <c r="DQ83" s="14">
        <f t="shared" si="97"/>
        <v>69.521962397994116</v>
      </c>
      <c r="DR83" s="22">
        <f t="shared" si="70"/>
        <v>629.85975117650617</v>
      </c>
      <c r="DS83" s="60">
        <f t="shared" si="71"/>
        <v>923.19308450983954</v>
      </c>
      <c r="DT83" s="60">
        <f ca="1">AVERAGE(OFFSET($DS$3,0,0,'Données projet'!$E$14+1,1))-AVERAGE(OFFSET($H$3,0,0,'Données projet'!$E$14+1,1))</f>
        <v>493.70175665335978</v>
      </c>
      <c r="DU83" s="60">
        <f t="shared" si="98"/>
        <v>325.12357781685949</v>
      </c>
      <c r="DV83" s="16">
        <f>IF(ISNA(VLOOKUP(A83,'Données projet'!$A$165:$I$185,3,0)),0,VLOOKUP(A83,'Données projet'!$A$165:$I$185,3,0))</f>
        <v>6</v>
      </c>
      <c r="DW83" s="16">
        <f>IF(ISNA(VLOOKUP(A83,'Données projet'!$A$165:$I$185,4,0)),0,VLOOKUP(A83,'Données projet'!$A$165:$I$185,4,0))</f>
        <v>22.435897435897434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192</v>
      </c>
      <c r="EH83" s="13">
        <f>VLOOKUP(A83,'Données projet'!$A$191:$I$211,9,0)</f>
        <v>3.6</v>
      </c>
      <c r="EI83" s="13">
        <f t="array" ref="EI83">INDEX(EH:EH,MIN(IF(ISNUMBER(EH83:EH279),ROW(EH83:EH279),"")))</f>
        <v>3.6</v>
      </c>
      <c r="EJ83" s="13">
        <f>IF('Données projet'!$A$192&gt;35,EJ82+EI83-ER82,IF(A83&lt;'Données projet'!$A$192,$EG$205^A83,IF(A83='Données projet'!$A$192,'Données projet'!$B$192,EJ82+EI83-ER82)))</f>
        <v>191.99999999999986</v>
      </c>
      <c r="EK83" s="18">
        <f>EJ83*VLOOKUP('Données projet'!$B$15,Paramètres!$A$1:$I$89,3,0)*VLOOKUP('Données projet'!$B$15,Paramètres!$A$1:$I$89,5,0)</f>
        <v>155.7503999999999</v>
      </c>
      <c r="EL83" s="14">
        <f t="shared" si="99"/>
        <v>39.882509755133754</v>
      </c>
      <c r="EM83" s="22">
        <f t="shared" si="73"/>
        <v>340.7273178235244</v>
      </c>
      <c r="EN83" s="60">
        <f t="shared" si="74"/>
        <v>634.06065115685772</v>
      </c>
      <c r="EO83" s="60">
        <f ca="1">AVERAGE(OFFSET($EN$3,0,0,'Données projet'!$E$15+1,1))-AVERAGE(OFFSET($H$3,0,0,'Données projet'!$E$15+1,1))</f>
        <v>236.22643401787644</v>
      </c>
      <c r="EP83" s="60">
        <f t="shared" si="100"/>
        <v>188.80444043778022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146</v>
      </c>
      <c r="FC83" s="13">
        <f>VLOOKUP(A83,'Données projet'!$A$217:$I$237,9,0)</f>
        <v>3.4</v>
      </c>
      <c r="FD83" s="13">
        <f t="array" ref="FD83">INDEX(FC:FC,MIN(IF(ISNUMBER(FC83:FC279),ROW(FC83:FC279),"")))</f>
        <v>3.4</v>
      </c>
      <c r="FE83" s="13">
        <f>IF('Données projet'!$A$218&gt;35,FE82+FD83-FM82,IF(A83&lt;'Données projet'!$A$218,$FB$205^A83,IF(A83='Données projet'!$A$218,'Données projet'!$B$218,FE82+FD83-FM82)))</f>
        <v>146</v>
      </c>
      <c r="FF83" s="18">
        <f>FE83*VLOOKUP('Données projet'!$B$16,Paramètres!$A$1:$I$89,3,0)*VLOOKUP('Données projet'!$B$16,Paramètres!$A$1:$I$89,5,0)</f>
        <v>141.21119999999999</v>
      </c>
      <c r="FG83" s="14">
        <f t="shared" si="101"/>
        <v>36.574335145278738</v>
      </c>
      <c r="FH83" s="22">
        <f t="shared" si="76"/>
        <v>309.64314037802711</v>
      </c>
      <c r="FI83" s="60">
        <f t="shared" si="77"/>
        <v>602.97647371136043</v>
      </c>
      <c r="FJ83" s="60">
        <f ca="1">AVERAGE(OFFSET($FI$3,0,0,'Données projet'!$E$16+1,1))-AVERAGE(OFFSET($H$3,0,0,'Données projet'!$E$16+1,1))</f>
        <v>255.59755832175625</v>
      </c>
      <c r="FK83" s="60">
        <f t="shared" si="102"/>
        <v>154.0840647586964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0" t="e">
        <f t="shared" si="80"/>
        <v>#N/A</v>
      </c>
      <c r="GE83" s="60" t="e">
        <f ca="1">AVERAGE(OFFSET($GD$3,0,0,'Données projet'!$E$17+1,1))-AVERAGE(OFFSET($H$3,0,0,'Données projet'!$E$17+1,1))</f>
        <v>#N/A</v>
      </c>
      <c r="GF83" s="60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7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0" t="e">
        <f t="shared" si="83"/>
        <v>#N/A</v>
      </c>
      <c r="GZ83" s="60" t="e">
        <f ca="1">AVERAGE(OFFSET($GY$3,0,0,'Données projet'!$E$18+1,1))-AVERAGE(OFFSET($H$3,0,0,'Données projet'!$E$18+1,1))</f>
        <v>#N/A</v>
      </c>
      <c r="HA83" s="60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5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68">
        <f t="shared" si="56"/>
        <v>256.66666666666669</v>
      </c>
      <c r="I84" s="7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0" t="e">
        <f t="shared" si="55"/>
        <v>#NUM!</v>
      </c>
      <c r="S84" s="60">
        <f ca="1">AVERAGE(OFFSET($R$3,0,0,'Données projet'!$E$9+1,1))-AVERAGE(OFFSET($H$3,0,0,'Données projet'!$E$9+1,1))</f>
        <v>64.775385872852041</v>
      </c>
      <c r="T84" s="60">
        <f t="shared" si="88"/>
        <v>201.69061202990468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11.704064712636145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1.2731479972855972E-9</v>
      </c>
      <c r="AC84" s="24">
        <f t="shared" si="57"/>
        <v>11.704064713909293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249.03839999999994</v>
      </c>
      <c r="AK84" s="14">
        <f t="shared" si="89"/>
        <v>60.379982523339947</v>
      </c>
      <c r="AL84" s="22">
        <f t="shared" si="58"/>
        <v>538.90368289481694</v>
      </c>
      <c r="AM84" s="60">
        <f t="shared" si="59"/>
        <v>832.2370162281502</v>
      </c>
      <c r="AN84" s="60">
        <f ca="1">AVERAGE(OFFSET($AM$3,0,0,'Données projet'!$E$10+1,1))-AVERAGE(OFFSET($H$3,0,0,'Données projet'!$E$10+1,1))</f>
        <v>475.47920969424894</v>
      </c>
      <c r="AO84" s="60">
        <f t="shared" si="90"/>
        <v>271.73544012419364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7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6.7984728957526396E-14</v>
      </c>
      <c r="BF84" s="14">
        <f t="shared" si="91"/>
        <v>1.0682447123141398E-12</v>
      </c>
      <c r="BG84" s="22">
        <f t="shared" si="61"/>
        <v>1.978932943548152E-12</v>
      </c>
      <c r="BH84" s="60">
        <f t="shared" si="62"/>
        <v>293.3333333333353</v>
      </c>
      <c r="BI84" s="60">
        <f ca="1">AVERAGE(OFFSET($BH$3,0,0,'Données projet'!$E$11+1,1))-AVERAGE(OFFSET($H$3,0,0,'Données projet'!$E$11+1,1))</f>
        <v>260.02504691866199</v>
      </c>
      <c r="BJ84" s="60">
        <f t="shared" si="92"/>
        <v>270.11268336406368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3.6451616825416235</v>
      </c>
      <c r="BQ84" s="23">
        <f>EXP(-LN(2)/25)*BQ83+(1-EXP(-LN(2)/25))/(LN(2)/25)*Calculateur!BL84*Calculateur!BN84*VLOOKUP('Données projet'!$B$11,Paramètres!$A$1:$I$89,3,0)*0.475*44/12</f>
        <v>3.996648283992478</v>
      </c>
      <c r="BR84" s="23">
        <f>EXP(-LN(2)/2)*BR83+(1-EXP(-LN(2)/2))/(LN(2)/2)*BL84*BO84*VLOOKUP('Données projet'!$B$11,Paramètres!$A$1:$I$89,3,0)*0.475*44/12</f>
        <v>1.3360468677641834E-7</v>
      </c>
      <c r="BS84" s="24">
        <f t="shared" si="63"/>
        <v>7.6418101001387875</v>
      </c>
      <c r="BT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9.001923076923072</v>
      </c>
      <c r="BY84" s="13">
        <f>IF('Données projet'!$A$114&gt;35,BY83+BX84-CG83,IF(A84&lt;'Données projet'!$A$114,$BV$205^A84,IF(A84='Données projet'!$A$114,'Données projet'!$B$114,BY83+BX84-CG83)))</f>
        <v>329.12692307692339</v>
      </c>
      <c r="BZ84" s="14">
        <f>BY84*VLOOKUP('Données projet'!$B$12,Paramètres!$A$1:$I$89,3,0)*VLOOKUP('Données projet'!$B$12,Paramètres!$A$1:$I$89,5,0)</f>
        <v>154.03140000000016</v>
      </c>
      <c r="CA84" s="14">
        <f t="shared" si="93"/>
        <v>39.493316842260541</v>
      </c>
      <c r="CB84" s="22">
        <f t="shared" si="64"/>
        <v>337.05554850027073</v>
      </c>
      <c r="CC84" s="60">
        <f t="shared" si="65"/>
        <v>630.38888183360405</v>
      </c>
      <c r="CD84" s="60">
        <f ca="1">AVERAGE(OFFSET($CC$3,0,0,'Données projet'!$E$12+1,1))-AVERAGE(OFFSET($H$3,0,0,'Données projet'!$E$12+1,1))</f>
        <v>246.72166704460847</v>
      </c>
      <c r="CE84" s="60">
        <f t="shared" si="94"/>
        <v>145.54897745089966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245.59999999999991</v>
      </c>
      <c r="CU84" s="18">
        <f>CT84*VLOOKUP('Données projet'!$B$13,Paramètres!$A$1:$I$89,3,0)*VLOOKUP('Données projet'!$B$13,Paramètres!$A$1:$I$89,5,0)</f>
        <v>222.21887999999993</v>
      </c>
      <c r="CV84" s="14">
        <f t="shared" si="95"/>
        <v>54.596866296848852</v>
      </c>
      <c r="CW84" s="22">
        <f t="shared" si="67"/>
        <v>482.12075813367829</v>
      </c>
      <c r="CX84" s="60">
        <f t="shared" si="68"/>
        <v>775.45409146701161</v>
      </c>
      <c r="CY84" s="60">
        <f ca="1">AVERAGE(OFFSET($CX$3,0,0,'Données projet'!$E$13+1,1))-AVERAGE(OFFSET($H$3,0,0,'Données projet'!$E$13+1,1))</f>
        <v>428.8489304403459</v>
      </c>
      <c r="CZ84" s="60">
        <f t="shared" si="96"/>
        <v>247.01165577562966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3.9743589743589722</v>
      </c>
      <c r="DO84" s="13">
        <f>IF('Données projet'!$A$166&gt;35,DO83+DN84-DW83,IF(A84&lt;'Données projet'!$A$166,$DL$205^A84,IF(A84='Données projet'!$A$166,'Données projet'!$B$166,DO83+DN84-DW83)))</f>
        <v>261.02564102564082</v>
      </c>
      <c r="DP84" s="18">
        <f>DO84*VLOOKUP('Données projet'!$B$14,Paramètres!$A$1:$I$89,3,0)*VLOOKUP('Données projet'!$B$14,Paramètres!$A$1:$I$89,5,0)</f>
        <v>272.82399999999984</v>
      </c>
      <c r="DQ84" s="14">
        <f t="shared" si="97"/>
        <v>65.448229947121135</v>
      </c>
      <c r="DR84" s="22">
        <f t="shared" si="70"/>
        <v>589.15746715790237</v>
      </c>
      <c r="DS84" s="60">
        <f t="shared" si="71"/>
        <v>882.49080049123563</v>
      </c>
      <c r="DT84" s="60">
        <f ca="1">AVERAGE(OFFSET($DS$3,0,0,'Données projet'!$E$14+1,1))-AVERAGE(OFFSET($H$3,0,0,'Données projet'!$E$14+1,1))</f>
        <v>493.70175665335978</v>
      </c>
      <c r="DU84" s="60">
        <f t="shared" si="98"/>
        <v>325.12357781685949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3.2</v>
      </c>
      <c r="EJ84" s="13">
        <f>IF('Données projet'!$A$192&gt;35,EJ83+EI84-ER83,IF(A84&lt;'Données projet'!$A$192,$EG$205^A84,IF(A84='Données projet'!$A$192,'Données projet'!$B$192,EJ83+EI84-ER83)))</f>
        <v>195.19999999999985</v>
      </c>
      <c r="EK84" s="18">
        <f>EJ84*VLOOKUP('Données projet'!$B$15,Paramètres!$A$1:$I$89,3,0)*VLOOKUP('Données projet'!$B$15,Paramètres!$A$1:$I$89,5,0)</f>
        <v>158.34623999999988</v>
      </c>
      <c r="EL84" s="14">
        <f t="shared" si="99"/>
        <v>40.469279968461166</v>
      </c>
      <c r="EM84" s="22">
        <f t="shared" si="73"/>
        <v>346.27036394506968</v>
      </c>
      <c r="EN84" s="60">
        <f t="shared" si="74"/>
        <v>639.60369727840293</v>
      </c>
      <c r="EO84" s="60">
        <f ca="1">AVERAGE(OFFSET($EN$3,0,0,'Données projet'!$E$15+1,1))-AVERAGE(OFFSET($H$3,0,0,'Données projet'!$E$15+1,1))</f>
        <v>236.22643401787644</v>
      </c>
      <c r="EP84" s="60">
        <f t="shared" si="100"/>
        <v>188.80444043778022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</v>
      </c>
      <c r="FE84" s="13">
        <f>IF('Données projet'!$A$218&gt;35,FE83+FD84-FM83,IF(A84&lt;'Données projet'!$A$218,$FB$205^A84,IF(A84='Données projet'!$A$218,'Données projet'!$B$218,FE83+FD84-FM83)))</f>
        <v>149</v>
      </c>
      <c r="FF84" s="18">
        <f>FE84*VLOOKUP('Données projet'!$B$16,Paramètres!$A$1:$I$89,3,0)*VLOOKUP('Données projet'!$B$16,Paramètres!$A$1:$I$89,5,0)</f>
        <v>144.11279999999999</v>
      </c>
      <c r="FG84" s="14">
        <f t="shared" si="101"/>
        <v>37.237596662992502</v>
      </c>
      <c r="FH84" s="22">
        <f t="shared" si="76"/>
        <v>315.85194085471193</v>
      </c>
      <c r="FI84" s="60">
        <f t="shared" si="77"/>
        <v>609.18527418804524</v>
      </c>
      <c r="FJ84" s="60">
        <f ca="1">AVERAGE(OFFSET($FI$3,0,0,'Données projet'!$E$16+1,1))-AVERAGE(OFFSET($H$3,0,0,'Données projet'!$E$16+1,1))</f>
        <v>255.59755832175625</v>
      </c>
      <c r="FK84" s="60">
        <f t="shared" si="102"/>
        <v>154.0840647586964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0" t="e">
        <f t="shared" si="80"/>
        <v>#N/A</v>
      </c>
      <c r="GE84" s="60" t="e">
        <f ca="1">AVERAGE(OFFSET($GD$3,0,0,'Données projet'!$E$17+1,1))-AVERAGE(OFFSET($H$3,0,0,'Données projet'!$E$17+1,1))</f>
        <v>#N/A</v>
      </c>
      <c r="GF84" s="60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7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0" t="e">
        <f t="shared" si="83"/>
        <v>#N/A</v>
      </c>
      <c r="GZ84" s="60" t="e">
        <f ca="1">AVERAGE(OFFSET($GY$3,0,0,'Données projet'!$E$18+1,1))-AVERAGE(OFFSET($H$3,0,0,'Données projet'!$E$18+1,1))</f>
        <v>#N/A</v>
      </c>
      <c r="HA84" s="60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5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68">
        <f t="shared" si="56"/>
        <v>256.66666666666669</v>
      </c>
      <c r="I85" s="7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0" t="e">
        <f t="shared" si="55"/>
        <v>#NUM!</v>
      </c>
      <c r="S85" s="60">
        <f ca="1">AVERAGE(OFFSET($R$3,0,0,'Données projet'!$E$9+1,1))-AVERAGE(OFFSET($H$3,0,0,'Données projet'!$E$9+1,1))</f>
        <v>64.775385872852041</v>
      </c>
      <c r="T85" s="60">
        <f t="shared" si="88"/>
        <v>201.69061202990468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11.474555142395928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9.0025158233471798E-10</v>
      </c>
      <c r="AC85" s="24">
        <f t="shared" si="57"/>
        <v>11.474555143296181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254.71679999999992</v>
      </c>
      <c r="AK85" s="14">
        <f t="shared" si="89"/>
        <v>61.594871205031538</v>
      </c>
      <c r="AL85" s="22">
        <f t="shared" si="58"/>
        <v>550.9094940154298</v>
      </c>
      <c r="AM85" s="60">
        <f t="shared" si="59"/>
        <v>844.24282734876306</v>
      </c>
      <c r="AN85" s="60">
        <f ca="1">AVERAGE(OFFSET($AM$3,0,0,'Données projet'!$E$10+1,1))-AVERAGE(OFFSET($H$3,0,0,'Données projet'!$E$10+1,1))</f>
        <v>475.47920969424894</v>
      </c>
      <c r="AO85" s="60">
        <f t="shared" si="90"/>
        <v>271.73544012419364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7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6.7984728957526396E-14</v>
      </c>
      <c r="BF85" s="14">
        <f t="shared" si="91"/>
        <v>1.0682447123141398E-12</v>
      </c>
      <c r="BG85" s="22">
        <f t="shared" si="61"/>
        <v>1.978932943548152E-12</v>
      </c>
      <c r="BH85" s="60">
        <f t="shared" si="62"/>
        <v>293.3333333333353</v>
      </c>
      <c r="BI85" s="60">
        <f ca="1">AVERAGE(OFFSET($BH$3,0,0,'Données projet'!$E$11+1,1))-AVERAGE(OFFSET($H$3,0,0,'Données projet'!$E$11+1,1))</f>
        <v>260.02504691866199</v>
      </c>
      <c r="BJ85" s="60">
        <f t="shared" si="92"/>
        <v>270.11268336406368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3.5736822852760732</v>
      </c>
      <c r="BQ85" s="23">
        <f>EXP(-LN(2)/25)*BQ84+(1-EXP(-LN(2)/25))/(LN(2)/25)*Calculateur!BL85*Calculateur!BN85*VLOOKUP('Données projet'!$B$11,Paramètres!$A$1:$I$89,3,0)*0.475*44/12</f>
        <v>3.8873597264921047</v>
      </c>
      <c r="BR85" s="23">
        <f>EXP(-LN(2)/2)*BR84+(1-EXP(-LN(2)/2))/(LN(2)/2)*BL85*BO85*VLOOKUP('Données projet'!$B$11,Paramètres!$A$1:$I$89,3,0)*0.475*44/12</f>
        <v>9.4472780017910059E-8</v>
      </c>
      <c r="BS85" s="24">
        <f t="shared" si="63"/>
        <v>7.4610421062409582</v>
      </c>
      <c r="BT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9.001923076923072</v>
      </c>
      <c r="BY85" s="13">
        <f>IF('Données projet'!$A$114&gt;35,BY84+BX85-CG84,IF(A85&lt;'Données projet'!$A$114,$BV$205^A85,IF(A85='Données projet'!$A$114,'Données projet'!$B$114,BY84+BX85-CG84)))</f>
        <v>338.12884615384644</v>
      </c>
      <c r="BZ85" s="14">
        <f>BY85*VLOOKUP('Données projet'!$B$12,Paramètres!$A$1:$I$89,3,0)*VLOOKUP('Données projet'!$B$12,Paramètres!$A$1:$I$89,5,0)</f>
        <v>158.24430000000012</v>
      </c>
      <c r="CA85" s="14">
        <f t="shared" si="93"/>
        <v>40.446258430453724</v>
      </c>
      <c r="CB85" s="22">
        <f t="shared" si="64"/>
        <v>346.05272259970707</v>
      </c>
      <c r="CC85" s="60">
        <f t="shared" si="65"/>
        <v>639.38605593304032</v>
      </c>
      <c r="CD85" s="60">
        <f ca="1">AVERAGE(OFFSET($CC$3,0,0,'Données projet'!$E$12+1,1))-AVERAGE(OFFSET($H$3,0,0,'Données projet'!$E$12+1,1))</f>
        <v>246.72166704460847</v>
      </c>
      <c r="CE85" s="60">
        <f t="shared" si="94"/>
        <v>145.54897745089966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251.1999999999999</v>
      </c>
      <c r="CU85" s="18">
        <f>CT85*VLOOKUP('Données projet'!$B$13,Paramètres!$A$1:$I$89,3,0)*VLOOKUP('Données projet'!$B$13,Paramètres!$A$1:$I$89,5,0)</f>
        <v>227.28575999999993</v>
      </c>
      <c r="CV85" s="14">
        <f t="shared" si="95"/>
        <v>55.695394520076327</v>
      </c>
      <c r="CW85" s="22">
        <f t="shared" si="67"/>
        <v>492.85884412246605</v>
      </c>
      <c r="CX85" s="60">
        <f t="shared" si="68"/>
        <v>786.19217745579931</v>
      </c>
      <c r="CY85" s="60">
        <f ca="1">AVERAGE(OFFSET($CX$3,0,0,'Données projet'!$E$13+1,1))-AVERAGE(OFFSET($H$3,0,0,'Données projet'!$E$13+1,1))</f>
        <v>428.8489304403459</v>
      </c>
      <c r="CZ85" s="60">
        <f t="shared" si="96"/>
        <v>247.01165577562966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3.9743589743589722</v>
      </c>
      <c r="DO85" s="13">
        <f>IF('Données projet'!$A$166&gt;35,DO84+DN85-DW84,IF(A85&lt;'Données projet'!$A$166,$DL$205^A85,IF(A85='Données projet'!$A$166,'Données projet'!$B$166,DO84+DN85-DW84)))</f>
        <v>264.99999999999977</v>
      </c>
      <c r="DP85" s="18">
        <f>DO85*VLOOKUP('Données projet'!$B$14,Paramètres!$A$1:$I$89,3,0)*VLOOKUP('Données projet'!$B$14,Paramètres!$A$1:$I$89,5,0)</f>
        <v>276.97799999999978</v>
      </c>
      <c r="DQ85" s="14">
        <f t="shared" si="97"/>
        <v>66.327970633211649</v>
      </c>
      <c r="DR85" s="22">
        <f t="shared" si="70"/>
        <v>597.92456551950988</v>
      </c>
      <c r="DS85" s="60">
        <f t="shared" si="71"/>
        <v>891.25789885284325</v>
      </c>
      <c r="DT85" s="60">
        <f ca="1">AVERAGE(OFFSET($DS$3,0,0,'Données projet'!$E$14+1,1))-AVERAGE(OFFSET($H$3,0,0,'Données projet'!$E$14+1,1))</f>
        <v>493.70175665335978</v>
      </c>
      <c r="DU85" s="60">
        <f t="shared" si="98"/>
        <v>325.12357781685949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3.2</v>
      </c>
      <c r="EJ85" s="13">
        <f>IF('Données projet'!$A$192&gt;35,EJ84+EI85-ER84,IF(A85&lt;'Données projet'!$A$192,$EG$205^A85,IF(A85='Données projet'!$A$192,'Données projet'!$B$192,EJ84+EI85-ER84)))</f>
        <v>198.39999999999984</v>
      </c>
      <c r="EK85" s="18">
        <f>EJ85*VLOOKUP('Données projet'!$B$15,Paramètres!$A$1:$I$89,3,0)*VLOOKUP('Données projet'!$B$15,Paramètres!$A$1:$I$89,5,0)</f>
        <v>160.94207999999989</v>
      </c>
      <c r="EL85" s="14">
        <f t="shared" si="99"/>
        <v>41.054931523415746</v>
      </c>
      <c r="EM85" s="22">
        <f t="shared" si="73"/>
        <v>351.81146173661563</v>
      </c>
      <c r="EN85" s="60">
        <f t="shared" si="74"/>
        <v>645.14479506994894</v>
      </c>
      <c r="EO85" s="60">
        <f ca="1">AVERAGE(OFFSET($EN$3,0,0,'Données projet'!$E$15+1,1))-AVERAGE(OFFSET($H$3,0,0,'Données projet'!$E$15+1,1))</f>
        <v>236.22643401787644</v>
      </c>
      <c r="EP85" s="60">
        <f t="shared" si="100"/>
        <v>188.80444043778022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</v>
      </c>
      <c r="FE85" s="13">
        <f>IF('Données projet'!$A$218&gt;35,FE84+FD85-FM84,IF(A85&lt;'Données projet'!$A$218,$FB$205^A85,IF(A85='Données projet'!$A$218,'Données projet'!$B$218,FE84+FD85-FM84)))</f>
        <v>152</v>
      </c>
      <c r="FF85" s="18">
        <f>FE85*VLOOKUP('Données projet'!$B$16,Paramètres!$A$1:$I$89,3,0)*VLOOKUP('Données projet'!$B$16,Paramètres!$A$1:$I$89,5,0)</f>
        <v>147.01439999999999</v>
      </c>
      <c r="FG85" s="14">
        <f t="shared" si="101"/>
        <v>37.899305454176826</v>
      </c>
      <c r="FH85" s="22">
        <f t="shared" si="76"/>
        <v>322.05803699935797</v>
      </c>
      <c r="FI85" s="60">
        <f t="shared" si="77"/>
        <v>615.39137033269128</v>
      </c>
      <c r="FJ85" s="60">
        <f ca="1">AVERAGE(OFFSET($FI$3,0,0,'Données projet'!$E$16+1,1))-AVERAGE(OFFSET($H$3,0,0,'Données projet'!$E$16+1,1))</f>
        <v>255.59755832175625</v>
      </c>
      <c r="FK85" s="60">
        <f t="shared" si="102"/>
        <v>154.0840647586964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0" t="e">
        <f t="shared" si="80"/>
        <v>#N/A</v>
      </c>
      <c r="GE85" s="60" t="e">
        <f ca="1">AVERAGE(OFFSET($GD$3,0,0,'Données projet'!$E$17+1,1))-AVERAGE(OFFSET($H$3,0,0,'Données projet'!$E$17+1,1))</f>
        <v>#N/A</v>
      </c>
      <c r="GF85" s="60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7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0" t="e">
        <f t="shared" si="83"/>
        <v>#N/A</v>
      </c>
      <c r="GZ85" s="60" t="e">
        <f ca="1">AVERAGE(OFFSET($GY$3,0,0,'Données projet'!$E$18+1,1))-AVERAGE(OFFSET($H$3,0,0,'Données projet'!$E$18+1,1))</f>
        <v>#N/A</v>
      </c>
      <c r="HA85" s="60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5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68">
        <f t="shared" si="56"/>
        <v>256.66666666666669</v>
      </c>
      <c r="I86" s="7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0" t="e">
        <f t="shared" si="55"/>
        <v>#NUM!</v>
      </c>
      <c r="S86" s="60">
        <f ca="1">AVERAGE(OFFSET($R$3,0,0,'Données projet'!$E$9+1,1))-AVERAGE(OFFSET($H$3,0,0,'Données projet'!$E$9+1,1))</f>
        <v>64.775385872852041</v>
      </c>
      <c r="T86" s="60">
        <f t="shared" si="88"/>
        <v>201.69061202990468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11.249546114841108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6.3657399864279859E-10</v>
      </c>
      <c r="AC86" s="24">
        <f t="shared" si="57"/>
        <v>11.249546115477681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260.39519999999987</v>
      </c>
      <c r="AK86" s="14">
        <f t="shared" si="89"/>
        <v>62.806611177714331</v>
      </c>
      <c r="AL86" s="22">
        <f t="shared" si="58"/>
        <v>562.90982113451889</v>
      </c>
      <c r="AM86" s="60">
        <f t="shared" si="59"/>
        <v>856.24315446785226</v>
      </c>
      <c r="AN86" s="60">
        <f ca="1">AVERAGE(OFFSET($AM$3,0,0,'Données projet'!$E$10+1,1))-AVERAGE(OFFSET($H$3,0,0,'Données projet'!$E$10+1,1))</f>
        <v>475.47920969424894</v>
      </c>
      <c r="AO86" s="60">
        <f t="shared" si="90"/>
        <v>271.73544012419364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7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6.7984728957526396E-14</v>
      </c>
      <c r="BF86" s="14">
        <f t="shared" si="91"/>
        <v>1.0682447123141398E-12</v>
      </c>
      <c r="BG86" s="22">
        <f t="shared" si="61"/>
        <v>1.978932943548152E-12</v>
      </c>
      <c r="BH86" s="60">
        <f t="shared" si="62"/>
        <v>293.3333333333353</v>
      </c>
      <c r="BI86" s="60">
        <f ca="1">AVERAGE(OFFSET($BH$3,0,0,'Données projet'!$E$11+1,1))-AVERAGE(OFFSET($H$3,0,0,'Données projet'!$E$11+1,1))</f>
        <v>260.02504691866199</v>
      </c>
      <c r="BJ86" s="60">
        <f t="shared" si="92"/>
        <v>270.11268336406368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3.5036045553927728</v>
      </c>
      <c r="BQ86" s="23">
        <f>EXP(-LN(2)/25)*BQ85+(1-EXP(-LN(2)/25))/(LN(2)/25)*Calculateur!BL86*Calculateur!BN86*VLOOKUP('Données projet'!$B$11,Paramètres!$A$1:$I$89,3,0)*0.475*44/12</f>
        <v>3.7810596703438146</v>
      </c>
      <c r="BR86" s="23">
        <f>EXP(-LN(2)/2)*BR85+(1-EXP(-LN(2)/2))/(LN(2)/2)*BL86*BO86*VLOOKUP('Données projet'!$B$11,Paramètres!$A$1:$I$89,3,0)*0.475*44/12</f>
        <v>6.6802343388209168E-8</v>
      </c>
      <c r="BS86" s="24">
        <f t="shared" si="63"/>
        <v>7.2846642925389311</v>
      </c>
      <c r="BT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9.001923076923072</v>
      </c>
      <c r="BY86" s="13">
        <f>IF('Données projet'!$A$114&gt;35,BY85+BX86-CG85,IF(A86&lt;'Données projet'!$A$114,$BV$205^A86,IF(A86='Données projet'!$A$114,'Données projet'!$B$114,BY85+BX86-CG85)))</f>
        <v>347.13076923076949</v>
      </c>
      <c r="BZ86" s="14">
        <f>BY86*VLOOKUP('Données projet'!$B$12,Paramètres!$A$1:$I$89,3,0)*VLOOKUP('Données projet'!$B$12,Paramètres!$A$1:$I$89,5,0)</f>
        <v>162.45720000000011</v>
      </c>
      <c r="CA86" s="14">
        <f t="shared" si="93"/>
        <v>41.396251160974799</v>
      </c>
      <c r="CB86" s="22">
        <f t="shared" si="64"/>
        <v>355.04476077203134</v>
      </c>
      <c r="CC86" s="60">
        <f t="shared" si="65"/>
        <v>648.37809410536465</v>
      </c>
      <c r="CD86" s="60">
        <f ca="1">AVERAGE(OFFSET($CC$3,0,0,'Données projet'!$E$12+1,1))-AVERAGE(OFFSET($H$3,0,0,'Données projet'!$E$12+1,1))</f>
        <v>246.72166704460847</v>
      </c>
      <c r="CE86" s="60">
        <f t="shared" si="94"/>
        <v>145.54897745089966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256.7999999999999</v>
      </c>
      <c r="CU86" s="18">
        <f>CT86*VLOOKUP('Données projet'!$B$13,Paramètres!$A$1:$I$89,3,0)*VLOOKUP('Données projet'!$B$13,Paramètres!$A$1:$I$89,5,0)</f>
        <v>232.35263999999989</v>
      </c>
      <c r="CV86" s="14">
        <f t="shared" si="95"/>
        <v>56.791075613550255</v>
      </c>
      <c r="CW86" s="22">
        <f t="shared" si="67"/>
        <v>503.59197136026643</v>
      </c>
      <c r="CX86" s="60">
        <f t="shared" si="68"/>
        <v>796.92530469359974</v>
      </c>
      <c r="CY86" s="60">
        <f ca="1">AVERAGE(OFFSET($CX$3,0,0,'Données projet'!$E$13+1,1))-AVERAGE(OFFSET($H$3,0,0,'Données projet'!$E$13+1,1))</f>
        <v>428.8489304403459</v>
      </c>
      <c r="CZ86" s="60">
        <f t="shared" si="96"/>
        <v>247.01165577562966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3.9743589743589722</v>
      </c>
      <c r="DO86" s="13">
        <f>IF('Données projet'!$A$166&gt;35,DO85+DN86-DW85,IF(A86&lt;'Données projet'!$A$166,$DL$205^A86,IF(A86='Données projet'!$A$166,'Données projet'!$B$166,DO85+DN86-DW85)))</f>
        <v>268.97435897435872</v>
      </c>
      <c r="DP86" s="18">
        <f>DO86*VLOOKUP('Données projet'!$B$14,Paramètres!$A$1:$I$89,3,0)*VLOOKUP('Données projet'!$B$14,Paramètres!$A$1:$I$89,5,0)</f>
        <v>281.13199999999972</v>
      </c>
      <c r="DQ86" s="14">
        <f t="shared" si="97"/>
        <v>67.206176818686799</v>
      </c>
      <c r="DR86" s="22">
        <f t="shared" si="70"/>
        <v>606.68899129254567</v>
      </c>
      <c r="DS86" s="60">
        <f t="shared" si="71"/>
        <v>900.02232462587904</v>
      </c>
      <c r="DT86" s="60">
        <f ca="1">AVERAGE(OFFSET($DS$3,0,0,'Données projet'!$E$14+1,1))-AVERAGE(OFFSET($H$3,0,0,'Données projet'!$E$14+1,1))</f>
        <v>493.70175665335978</v>
      </c>
      <c r="DU86" s="60">
        <f t="shared" si="98"/>
        <v>325.12357781685949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3.2</v>
      </c>
      <c r="EJ86" s="13">
        <f>IF('Données projet'!$A$192&gt;35,EJ85+EI86-ER85,IF(A86&lt;'Données projet'!$A$192,$EG$205^A86,IF(A86='Données projet'!$A$192,'Données projet'!$B$192,EJ85+EI86-ER85)))</f>
        <v>201.59999999999982</v>
      </c>
      <c r="EK86" s="18">
        <f>EJ86*VLOOKUP('Données projet'!$B$15,Paramètres!$A$1:$I$89,3,0)*VLOOKUP('Données projet'!$B$15,Paramètres!$A$1:$I$89,5,0)</f>
        <v>163.53791999999987</v>
      </c>
      <c r="EL86" s="14">
        <f t="shared" si="99"/>
        <v>41.639484545926564</v>
      </c>
      <c r="EM86" s="22">
        <f t="shared" si="73"/>
        <v>357.35064625082185</v>
      </c>
      <c r="EN86" s="60">
        <f t="shared" si="74"/>
        <v>650.68397958415517</v>
      </c>
      <c r="EO86" s="60">
        <f ca="1">AVERAGE(OFFSET($EN$3,0,0,'Données projet'!$E$15+1,1))-AVERAGE(OFFSET($H$3,0,0,'Données projet'!$E$15+1,1))</f>
        <v>236.22643401787644</v>
      </c>
      <c r="EP86" s="60">
        <f t="shared" si="100"/>
        <v>188.80444043778022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</v>
      </c>
      <c r="FE86" s="13">
        <f>IF('Données projet'!$A$218&gt;35,FE85+FD86-FM85,IF(A86&lt;'Données projet'!$A$218,$FB$205^A86,IF(A86='Données projet'!$A$218,'Données projet'!$B$218,FE85+FD86-FM85)))</f>
        <v>155</v>
      </c>
      <c r="FF86" s="18">
        <f>FE86*VLOOKUP('Données projet'!$B$16,Paramètres!$A$1:$I$89,3,0)*VLOOKUP('Données projet'!$B$16,Paramètres!$A$1:$I$89,5,0)</f>
        <v>149.916</v>
      </c>
      <c r="FG86" s="14">
        <f t="shared" si="101"/>
        <v>38.559495697142914</v>
      </c>
      <c r="FH86" s="22">
        <f t="shared" si="76"/>
        <v>328.26148833919052</v>
      </c>
      <c r="FI86" s="60">
        <f t="shared" si="77"/>
        <v>621.59482167252384</v>
      </c>
      <c r="FJ86" s="60">
        <f ca="1">AVERAGE(OFFSET($FI$3,0,0,'Données projet'!$E$16+1,1))-AVERAGE(OFFSET($H$3,0,0,'Données projet'!$E$16+1,1))</f>
        <v>255.59755832175625</v>
      </c>
      <c r="FK86" s="60">
        <f t="shared" si="102"/>
        <v>154.0840647586964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0" t="e">
        <f t="shared" si="80"/>
        <v>#N/A</v>
      </c>
      <c r="GE86" s="60" t="e">
        <f ca="1">AVERAGE(OFFSET($GD$3,0,0,'Données projet'!$E$17+1,1))-AVERAGE(OFFSET($H$3,0,0,'Données projet'!$E$17+1,1))</f>
        <v>#N/A</v>
      </c>
      <c r="GF86" s="60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7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0" t="e">
        <f t="shared" si="83"/>
        <v>#N/A</v>
      </c>
      <c r="GZ86" s="60" t="e">
        <f ca="1">AVERAGE(OFFSET($GY$3,0,0,'Données projet'!$E$18+1,1))-AVERAGE(OFFSET($H$3,0,0,'Données projet'!$E$18+1,1))</f>
        <v>#N/A</v>
      </c>
      <c r="HA86" s="60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5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68">
        <f t="shared" si="56"/>
        <v>256.66666666666669</v>
      </c>
      <c r="I87" s="7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0" t="e">
        <f t="shared" si="55"/>
        <v>#NUM!</v>
      </c>
      <c r="S87" s="60">
        <f ca="1">AVERAGE(OFFSET($R$3,0,0,'Données projet'!$E$9+1,1))-AVERAGE(OFFSET($H$3,0,0,'Données projet'!$E$9+1,1))</f>
        <v>64.775385872852041</v>
      </c>
      <c r="T87" s="60">
        <f t="shared" si="88"/>
        <v>201.69061202990468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11.028949377074682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4.5012579116735899E-10</v>
      </c>
      <c r="AC87" s="24">
        <f t="shared" si="57"/>
        <v>11.028949377524807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266.07359999999994</v>
      </c>
      <c r="AK87" s="14">
        <f t="shared" si="89"/>
        <v>64.015279012301136</v>
      </c>
      <c r="AL87" s="22">
        <f t="shared" si="58"/>
        <v>574.90479761309098</v>
      </c>
      <c r="AM87" s="60">
        <f t="shared" si="59"/>
        <v>868.23813094642423</v>
      </c>
      <c r="AN87" s="60">
        <f ca="1">AVERAGE(OFFSET($AM$3,0,0,'Données projet'!$E$10+1,1))-AVERAGE(OFFSET($H$3,0,0,'Données projet'!$E$10+1,1))</f>
        <v>475.47920969424894</v>
      </c>
      <c r="AO87" s="60">
        <f t="shared" si="90"/>
        <v>271.73544012419364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7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6.7984728957526396E-14</v>
      </c>
      <c r="BF87" s="14">
        <f t="shared" si="91"/>
        <v>1.0682447123141398E-12</v>
      </c>
      <c r="BG87" s="22">
        <f t="shared" si="61"/>
        <v>1.978932943548152E-12</v>
      </c>
      <c r="BH87" s="60">
        <f t="shared" si="62"/>
        <v>293.3333333333353</v>
      </c>
      <c r="BI87" s="60">
        <f ca="1">AVERAGE(OFFSET($BH$3,0,0,'Données projet'!$E$11+1,1))-AVERAGE(OFFSET($H$3,0,0,'Données projet'!$E$11+1,1))</f>
        <v>260.02504691866199</v>
      </c>
      <c r="BJ87" s="60">
        <f t="shared" si="92"/>
        <v>270.11268336406368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3.4349010070492891</v>
      </c>
      <c r="BQ87" s="23">
        <f>EXP(-LN(2)/25)*BQ86+(1-EXP(-LN(2)/25))/(LN(2)/25)*Calculateur!BL87*Calculateur!BN87*VLOOKUP('Données projet'!$B$11,Paramètres!$A$1:$I$89,3,0)*0.475*44/12</f>
        <v>3.6776663948209767</v>
      </c>
      <c r="BR87" s="23">
        <f>EXP(-LN(2)/2)*BR86+(1-EXP(-LN(2)/2))/(LN(2)/2)*BL87*BO87*VLOOKUP('Données projet'!$B$11,Paramètres!$A$1:$I$89,3,0)*0.475*44/12</f>
        <v>4.723639000895503E-8</v>
      </c>
      <c r="BS87" s="24">
        <f t="shared" si="63"/>
        <v>7.1125674491066553</v>
      </c>
      <c r="BT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9.001923076923072</v>
      </c>
      <c r="BY87" s="13">
        <f>IF('Données projet'!$A$114&gt;35,BY86+BX87-CG86,IF(A87&lt;'Données projet'!$A$114,$BV$205^A87,IF(A87='Données projet'!$A$114,'Données projet'!$B$114,BY86+BX87-CG86)))</f>
        <v>356.13269230769254</v>
      </c>
      <c r="BZ87" s="14">
        <f>BY87*VLOOKUP('Données projet'!$B$12,Paramètres!$A$1:$I$89,3,0)*VLOOKUP('Données projet'!$B$12,Paramètres!$A$1:$I$89,5,0)</f>
        <v>166.6701000000001</v>
      </c>
      <c r="CA87" s="14">
        <f t="shared" si="93"/>
        <v>42.34338029651839</v>
      </c>
      <c r="CB87" s="22">
        <f t="shared" si="64"/>
        <v>364.03181151643639</v>
      </c>
      <c r="CC87" s="60">
        <f t="shared" si="65"/>
        <v>657.36514484976965</v>
      </c>
      <c r="CD87" s="60">
        <f ca="1">AVERAGE(OFFSET($CC$3,0,0,'Données projet'!$E$12+1,1))-AVERAGE(OFFSET($H$3,0,0,'Données projet'!$E$12+1,1))</f>
        <v>246.72166704460847</v>
      </c>
      <c r="CE87" s="60">
        <f t="shared" si="94"/>
        <v>145.54897745089966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262.39999999999992</v>
      </c>
      <c r="CU87" s="18">
        <f>CT87*VLOOKUP('Données projet'!$B$13,Paramètres!$A$1:$I$89,3,0)*VLOOKUP('Données projet'!$B$13,Paramètres!$A$1:$I$89,5,0)</f>
        <v>237.41951999999992</v>
      </c>
      <c r="CV87" s="14">
        <f t="shared" si="95"/>
        <v>57.883978814320919</v>
      </c>
      <c r="CW87" s="22">
        <f t="shared" si="67"/>
        <v>514.32026043494204</v>
      </c>
      <c r="CX87" s="60">
        <f t="shared" si="68"/>
        <v>807.65359376827541</v>
      </c>
      <c r="CY87" s="60">
        <f ca="1">AVERAGE(OFFSET($CX$3,0,0,'Données projet'!$E$13+1,1))-AVERAGE(OFFSET($H$3,0,0,'Données projet'!$E$13+1,1))</f>
        <v>428.8489304403459</v>
      </c>
      <c r="CZ87" s="60">
        <f t="shared" si="96"/>
        <v>247.01165577562966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3.9743589743589722</v>
      </c>
      <c r="DO87" s="13">
        <f>IF('Données projet'!$A$166&gt;35,DO86+DN87-DW86,IF(A87&lt;'Données projet'!$A$166,$DL$205^A87,IF(A87='Données projet'!$A$166,'Données projet'!$B$166,DO86+DN87-DW86)))</f>
        <v>272.94871794871767</v>
      </c>
      <c r="DP87" s="18">
        <f>DO87*VLOOKUP('Données projet'!$B$14,Paramètres!$A$1:$I$89,3,0)*VLOOKUP('Données projet'!$B$14,Paramètres!$A$1:$I$89,5,0)</f>
        <v>285.28599999999972</v>
      </c>
      <c r="DQ87" s="14">
        <f t="shared" si="97"/>
        <v>68.082873796613967</v>
      </c>
      <c r="DR87" s="22">
        <f t="shared" si="70"/>
        <v>615.45078852910217</v>
      </c>
      <c r="DS87" s="60">
        <f t="shared" si="71"/>
        <v>908.78412186243554</v>
      </c>
      <c r="DT87" s="60">
        <f ca="1">AVERAGE(OFFSET($DS$3,0,0,'Données projet'!$E$14+1,1))-AVERAGE(OFFSET($H$3,0,0,'Données projet'!$E$14+1,1))</f>
        <v>493.70175665335978</v>
      </c>
      <c r="DU87" s="60">
        <f t="shared" si="98"/>
        <v>325.12357781685949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3.2</v>
      </c>
      <c r="EJ87" s="13">
        <f>IF('Données projet'!$A$192&gt;35,EJ86+EI87-ER86,IF(A87&lt;'Données projet'!$A$192,$EG$205^A87,IF(A87='Données projet'!$A$192,'Données projet'!$B$192,EJ86+EI87-ER86)))</f>
        <v>204.79999999999981</v>
      </c>
      <c r="EK87" s="18">
        <f>EJ87*VLOOKUP('Données projet'!$B$15,Paramètres!$A$1:$I$89,3,0)*VLOOKUP('Données projet'!$B$15,Paramètres!$A$1:$I$89,5,0)</f>
        <v>166.13375999999985</v>
      </c>
      <c r="EL87" s="14">
        <f t="shared" si="99"/>
        <v>42.22295848635887</v>
      </c>
      <c r="EM87" s="22">
        <f t="shared" si="73"/>
        <v>362.88795136374142</v>
      </c>
      <c r="EN87" s="60">
        <f t="shared" si="74"/>
        <v>656.22128469707468</v>
      </c>
      <c r="EO87" s="60">
        <f ca="1">AVERAGE(OFFSET($EN$3,0,0,'Données projet'!$E$15+1,1))-AVERAGE(OFFSET($H$3,0,0,'Données projet'!$E$15+1,1))</f>
        <v>236.22643401787644</v>
      </c>
      <c r="EP87" s="60">
        <f t="shared" si="100"/>
        <v>188.80444043778022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</v>
      </c>
      <c r="FE87" s="13">
        <f>IF('Données projet'!$A$218&gt;35,FE86+FD87-FM86,IF(A87&lt;'Données projet'!$A$218,$FB$205^A87,IF(A87='Données projet'!$A$218,'Données projet'!$B$218,FE86+FD87-FM86)))</f>
        <v>158</v>
      </c>
      <c r="FF87" s="18">
        <f>FE87*VLOOKUP('Données projet'!$B$16,Paramètres!$A$1:$I$89,3,0)*VLOOKUP('Données projet'!$B$16,Paramètres!$A$1:$I$89,5,0)</f>
        <v>152.8176</v>
      </c>
      <c r="FG87" s="14">
        <f t="shared" si="101"/>
        <v>39.218200171484227</v>
      </c>
      <c r="FH87" s="22">
        <f t="shared" si="76"/>
        <v>334.46235196533502</v>
      </c>
      <c r="FI87" s="60">
        <f t="shared" si="77"/>
        <v>627.79568529866833</v>
      </c>
      <c r="FJ87" s="60">
        <f ca="1">AVERAGE(OFFSET($FI$3,0,0,'Données projet'!$E$16+1,1))-AVERAGE(OFFSET($H$3,0,0,'Données projet'!$E$16+1,1))</f>
        <v>255.59755832175625</v>
      </c>
      <c r="FK87" s="60">
        <f t="shared" si="102"/>
        <v>154.0840647586964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0" t="e">
        <f t="shared" si="80"/>
        <v>#N/A</v>
      </c>
      <c r="GE87" s="60" t="e">
        <f ca="1">AVERAGE(OFFSET($GD$3,0,0,'Données projet'!$E$17+1,1))-AVERAGE(OFFSET($H$3,0,0,'Données projet'!$E$17+1,1))</f>
        <v>#N/A</v>
      </c>
      <c r="GF87" s="60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7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0" t="e">
        <f t="shared" si="83"/>
        <v>#N/A</v>
      </c>
      <c r="GZ87" s="60" t="e">
        <f ca="1">AVERAGE(OFFSET($GY$3,0,0,'Données projet'!$E$18+1,1))-AVERAGE(OFFSET($H$3,0,0,'Données projet'!$E$18+1,1))</f>
        <v>#N/A</v>
      </c>
      <c r="HA87" s="60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5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68">
        <f t="shared" si="56"/>
        <v>256.66666666666669</v>
      </c>
      <c r="I88" s="7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0" t="e">
        <f t="shared" si="55"/>
        <v>#NUM!</v>
      </c>
      <c r="S88" s="60">
        <f ca="1">AVERAGE(OFFSET($R$3,0,0,'Données projet'!$E$9+1,1))-AVERAGE(OFFSET($H$3,0,0,'Données projet'!$E$9+1,1))</f>
        <v>64.775385872852041</v>
      </c>
      <c r="T88" s="60">
        <f t="shared" si="88"/>
        <v>201.69061202990468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10.812678406785132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3.1828699932139929E-10</v>
      </c>
      <c r="AC88" s="24">
        <f t="shared" si="57"/>
        <v>10.812678407103419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271.75199999999995</v>
      </c>
      <c r="AK88" s="14">
        <f t="shared" si="89"/>
        <v>65.220947824724931</v>
      </c>
      <c r="AL88" s="22">
        <f t="shared" si="58"/>
        <v>586.89455079472907</v>
      </c>
      <c r="AM88" s="60">
        <f t="shared" si="59"/>
        <v>880.22788412806244</v>
      </c>
      <c r="AN88" s="60">
        <f ca="1">AVERAGE(OFFSET($AM$3,0,0,'Données projet'!$E$10+1,1))-AVERAGE(OFFSET($H$3,0,0,'Données projet'!$E$10+1,1))</f>
        <v>475.47920969424894</v>
      </c>
      <c r="AO88" s="60">
        <f t="shared" si="90"/>
        <v>271.73544012419364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7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6.7984728957526396E-14</v>
      </c>
      <c r="BF88" s="14">
        <f t="shared" si="91"/>
        <v>1.0682447123141398E-12</v>
      </c>
      <c r="BG88" s="22">
        <f t="shared" si="61"/>
        <v>1.978932943548152E-12</v>
      </c>
      <c r="BH88" s="60">
        <f t="shared" si="62"/>
        <v>293.3333333333353</v>
      </c>
      <c r="BI88" s="60">
        <f ca="1">AVERAGE(OFFSET($BH$3,0,0,'Données projet'!$E$11+1,1))-AVERAGE(OFFSET($H$3,0,0,'Données projet'!$E$11+1,1))</f>
        <v>260.02504691866199</v>
      </c>
      <c r="BJ88" s="60">
        <f t="shared" si="92"/>
        <v>270.11268336406368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3.3675446933837945</v>
      </c>
      <c r="BQ88" s="23">
        <f>EXP(-LN(2)/25)*BQ87+(1-EXP(-LN(2)/25))/(LN(2)/25)*Calculateur!BL88*Calculateur!BN88*VLOOKUP('Données projet'!$B$11,Paramètres!$A$1:$I$89,3,0)*0.475*44/12</f>
        <v>3.5771004138545268</v>
      </c>
      <c r="BR88" s="23">
        <f>EXP(-LN(2)/2)*BR87+(1-EXP(-LN(2)/2))/(LN(2)/2)*BL88*BO88*VLOOKUP('Données projet'!$B$11,Paramètres!$A$1:$I$89,3,0)*0.475*44/12</f>
        <v>3.3401171694104584E-8</v>
      </c>
      <c r="BS88" s="24">
        <f t="shared" si="63"/>
        <v>6.9446451406394925</v>
      </c>
      <c r="BT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9.001923076923072</v>
      </c>
      <c r="BY88" s="13">
        <f>IF('Données projet'!$A$114&gt;35,BY87+BX88-CG87,IF(A88&lt;'Données projet'!$A$114,$BV$205^A88,IF(A88='Données projet'!$A$114,'Données projet'!$B$114,BY87+BX88-CG87)))</f>
        <v>365.13461538461559</v>
      </c>
      <c r="BZ88" s="14">
        <f>BY88*VLOOKUP('Données projet'!$B$12,Paramètres!$A$1:$I$89,3,0)*VLOOKUP('Données projet'!$B$12,Paramètres!$A$1:$I$89,5,0)</f>
        <v>170.8830000000001</v>
      </c>
      <c r="CA88" s="14">
        <f t="shared" si="93"/>
        <v>43.287726543807658</v>
      </c>
      <c r="CB88" s="22">
        <f t="shared" si="64"/>
        <v>373.0140153971318</v>
      </c>
      <c r="CC88" s="60">
        <f t="shared" si="65"/>
        <v>666.34734873046511</v>
      </c>
      <c r="CD88" s="60">
        <f ca="1">AVERAGE(OFFSET($CC$3,0,0,'Données projet'!$E$12+1,1))-AVERAGE(OFFSET($H$3,0,0,'Données projet'!$E$12+1,1))</f>
        <v>246.72166704460847</v>
      </c>
      <c r="CE88" s="60">
        <f t="shared" si="94"/>
        <v>145.54897745089966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267.99999999999994</v>
      </c>
      <c r="CU88" s="18">
        <f>CT88*VLOOKUP('Données projet'!$B$13,Paramètres!$A$1:$I$89,3,0)*VLOOKUP('Données projet'!$B$13,Paramètres!$A$1:$I$89,5,0)</f>
        <v>242.48639999999995</v>
      </c>
      <c r="CV88" s="14">
        <f t="shared" si="95"/>
        <v>58.974170235372419</v>
      </c>
      <c r="CW88" s="22">
        <f t="shared" si="67"/>
        <v>525.04382649327351</v>
      </c>
      <c r="CX88" s="60">
        <f t="shared" si="68"/>
        <v>818.37715982660688</v>
      </c>
      <c r="CY88" s="60">
        <f ca="1">AVERAGE(OFFSET($CX$3,0,0,'Données projet'!$E$13+1,1))-AVERAGE(OFFSET($H$3,0,0,'Données projet'!$E$13+1,1))</f>
        <v>428.8489304403459</v>
      </c>
      <c r="CZ88" s="60">
        <f t="shared" si="96"/>
        <v>247.01165577562966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276.92307692307691</v>
      </c>
      <c r="DM88" s="13">
        <f>VLOOKUP(A88,'Données projet'!$A$165:$I$185,9,0)</f>
        <v>3.9743589743589722</v>
      </c>
      <c r="DN88" s="13">
        <f t="array" ref="DN88">INDEX(DM:DM,MIN(IF(ISNUMBER(DM88:DM284),ROW(DM88:DM284),"")))</f>
        <v>3.9743589743589722</v>
      </c>
      <c r="DO88" s="13">
        <f>IF('Données projet'!$A$166&gt;35,DO87+DN88-DW87,IF(A88&lt;'Données projet'!$A$166,$DL$205^A88,IF(A88='Données projet'!$A$166,'Données projet'!$B$166,DO87+DN88-DW87)))</f>
        <v>276.92307692307662</v>
      </c>
      <c r="DP88" s="18">
        <f>DO88*VLOOKUP('Données projet'!$B$14,Paramètres!$A$1:$I$89,3,0)*VLOOKUP('Données projet'!$B$14,Paramètres!$A$1:$I$89,5,0)</f>
        <v>289.43999999999971</v>
      </c>
      <c r="DQ88" s="14">
        <f t="shared" si="97"/>
        <v>68.958086081193898</v>
      </c>
      <c r="DR88" s="22">
        <f t="shared" si="70"/>
        <v>624.20999992474549</v>
      </c>
      <c r="DS88" s="60">
        <f t="shared" si="71"/>
        <v>917.54333325807875</v>
      </c>
      <c r="DT88" s="60">
        <f ca="1">AVERAGE(OFFSET($DS$3,0,0,'Données projet'!$E$14+1,1))-AVERAGE(OFFSET($H$3,0,0,'Données projet'!$E$14+1,1))</f>
        <v>493.70175665335978</v>
      </c>
      <c r="DU88" s="60">
        <f t="shared" si="98"/>
        <v>325.12357781685949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208</v>
      </c>
      <c r="EH88" s="13">
        <f>VLOOKUP(A88,'Données projet'!$A$191:$I$211,9,0)</f>
        <v>3.2</v>
      </c>
      <c r="EI88" s="13">
        <f t="array" ref="EI88">INDEX(EH:EH,MIN(IF(ISNUMBER(EH88:EH284),ROW(EH88:EH284),"")))</f>
        <v>3.2</v>
      </c>
      <c r="EJ88" s="13">
        <f>IF('Données projet'!$A$192&gt;35,EJ87+EI88-ER87,IF(A88&lt;'Données projet'!$A$192,$EG$205^A88,IF(A88='Données projet'!$A$192,'Données projet'!$B$192,EJ87+EI88-ER87)))</f>
        <v>207.9999999999998</v>
      </c>
      <c r="EK88" s="18">
        <f>EJ88*VLOOKUP('Données projet'!$B$15,Paramètres!$A$1:$I$89,3,0)*VLOOKUP('Données projet'!$B$15,Paramètres!$A$1:$I$89,5,0)</f>
        <v>168.72959999999983</v>
      </c>
      <c r="EL88" s="14">
        <f t="shared" si="99"/>
        <v>42.805372152385033</v>
      </c>
      <c r="EM88" s="22">
        <f t="shared" si="73"/>
        <v>368.42340983207026</v>
      </c>
      <c r="EN88" s="60">
        <f t="shared" si="74"/>
        <v>661.75674316540358</v>
      </c>
      <c r="EO88" s="60">
        <f ca="1">AVERAGE(OFFSET($EN$3,0,0,'Données projet'!$E$15+1,1))-AVERAGE(OFFSET($H$3,0,0,'Données projet'!$E$15+1,1))</f>
        <v>236.22643401787644</v>
      </c>
      <c r="EP88" s="60">
        <f t="shared" si="100"/>
        <v>188.80444043778022</v>
      </c>
      <c r="EQ88" s="16">
        <f>IF(ISNA(VLOOKUP(A88,'Données projet'!$A$191:$I$211,3,0)),0,VLOOKUP(A88,'Données projet'!$A$191:$I$211,3,0))</f>
        <v>7</v>
      </c>
      <c r="ER88" s="16">
        <f>IF(ISNA(VLOOKUP(A88,'Données projet'!$A$191:$I$211,4,0)),0,VLOOKUP(A88,'Données projet'!$A$191:$I$211,4,0))</f>
        <v>21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161</v>
      </c>
      <c r="FC88" s="13">
        <f>VLOOKUP(A88,'Données projet'!$A$217:$I$237,9,0)</f>
        <v>3</v>
      </c>
      <c r="FD88" s="13">
        <f t="array" ref="FD88">INDEX(FC:FC,MIN(IF(ISNUMBER(FC88:FC284),ROW(FC88:FC284),"")))</f>
        <v>3</v>
      </c>
      <c r="FE88" s="13">
        <f>IF('Données projet'!$A$218&gt;35,FE87+FD88-FM87,IF(A88&lt;'Données projet'!$A$218,$FB$205^A88,IF(A88='Données projet'!$A$218,'Données projet'!$B$218,FE87+FD88-FM87)))</f>
        <v>161</v>
      </c>
      <c r="FF88" s="18">
        <f>FE88*VLOOKUP('Données projet'!$B$16,Paramètres!$A$1:$I$89,3,0)*VLOOKUP('Données projet'!$B$16,Paramètres!$A$1:$I$89,5,0)</f>
        <v>155.7192</v>
      </c>
      <c r="FG88" s="14">
        <f t="shared" si="101"/>
        <v>39.875450340770094</v>
      </c>
      <c r="FH88" s="22">
        <f t="shared" si="76"/>
        <v>340.66068267684119</v>
      </c>
      <c r="FI88" s="60">
        <f t="shared" si="77"/>
        <v>633.99401601017451</v>
      </c>
      <c r="FJ88" s="60">
        <f ca="1">AVERAGE(OFFSET($FI$3,0,0,'Données projet'!$E$16+1,1))-AVERAGE(OFFSET($H$3,0,0,'Données projet'!$E$16+1,1))</f>
        <v>255.59755832175625</v>
      </c>
      <c r="FK88" s="60">
        <f t="shared" si="102"/>
        <v>154.0840647586964</v>
      </c>
      <c r="FL88" s="16">
        <f>IF(ISNA(VLOOKUP(A88,'Données projet'!$A$217:$I$237,3,0)),0,VLOOKUP(A88,'Données projet'!$A$217:$I$237,3,0))</f>
        <v>6</v>
      </c>
      <c r="FM88" s="16">
        <f>IF(ISNA(VLOOKUP(A88,'Données projet'!$A$217:$I$237,4,0)),0,VLOOKUP(A88,'Données projet'!$A$217:$I$237,4,0))</f>
        <v>18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0" t="e">
        <f t="shared" si="80"/>
        <v>#N/A</v>
      </c>
      <c r="GE88" s="60" t="e">
        <f ca="1">AVERAGE(OFFSET($GD$3,0,0,'Données projet'!$E$17+1,1))-AVERAGE(OFFSET($H$3,0,0,'Données projet'!$E$17+1,1))</f>
        <v>#N/A</v>
      </c>
      <c r="GF88" s="60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7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0" t="e">
        <f t="shared" si="83"/>
        <v>#N/A</v>
      </c>
      <c r="GZ88" s="60" t="e">
        <f ca="1">AVERAGE(OFFSET($GY$3,0,0,'Données projet'!$E$18+1,1))-AVERAGE(OFFSET($H$3,0,0,'Données projet'!$E$18+1,1))</f>
        <v>#N/A</v>
      </c>
      <c r="HA88" s="60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5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68">
        <f t="shared" si="56"/>
        <v>256.66666666666669</v>
      </c>
      <c r="I89" s="7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0" t="e">
        <f t="shared" si="55"/>
        <v>#NUM!</v>
      </c>
      <c r="S89" s="60">
        <f ca="1">AVERAGE(OFFSET($R$3,0,0,'Données projet'!$E$9+1,1))-AVERAGE(OFFSET($H$3,0,0,'Données projet'!$E$9+1,1))</f>
        <v>64.775385872852041</v>
      </c>
      <c r="T89" s="60">
        <f t="shared" si="88"/>
        <v>201.69061202990468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10.600648378310693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2.2506289558367949E-10</v>
      </c>
      <c r="AC89" s="24">
        <f t="shared" si="57"/>
        <v>10.600648378535755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277.43039999999996</v>
      </c>
      <c r="AK89" s="14">
        <f t="shared" si="89"/>
        <v>66.423687500715673</v>
      </c>
      <c r="AL89" s="22">
        <f t="shared" si="58"/>
        <v>598.87920239707967</v>
      </c>
      <c r="AM89" s="60">
        <f t="shared" si="59"/>
        <v>892.21253573041304</v>
      </c>
      <c r="AN89" s="60">
        <f ca="1">AVERAGE(OFFSET($AM$3,0,0,'Données projet'!$E$10+1,1))-AVERAGE(OFFSET($H$3,0,0,'Données projet'!$E$10+1,1))</f>
        <v>475.47920969424894</v>
      </c>
      <c r="AO89" s="60">
        <f t="shared" si="90"/>
        <v>271.73544012419364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7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6.7984728957526396E-14</v>
      </c>
      <c r="BF89" s="14">
        <f t="shared" si="91"/>
        <v>1.0682447123141398E-12</v>
      </c>
      <c r="BG89" s="22">
        <f t="shared" si="61"/>
        <v>1.978932943548152E-12</v>
      </c>
      <c r="BH89" s="60">
        <f t="shared" si="62"/>
        <v>293.3333333333353</v>
      </c>
      <c r="BI89" s="60">
        <f ca="1">AVERAGE(OFFSET($BH$3,0,0,'Données projet'!$E$11+1,1))-AVERAGE(OFFSET($H$3,0,0,'Données projet'!$E$11+1,1))</f>
        <v>260.02504691866199</v>
      </c>
      <c r="BJ89" s="60">
        <f t="shared" si="92"/>
        <v>270.11268336406368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3.3015091959459855</v>
      </c>
      <c r="BQ89" s="23">
        <f>EXP(-LN(2)/25)*BQ88+(1-EXP(-LN(2)/25))/(LN(2)/25)*Calculateur!BL89*Calculateur!BN89*VLOOKUP('Données projet'!$B$11,Paramètres!$A$1:$I$89,3,0)*0.475*44/12</f>
        <v>3.4792844149261395</v>
      </c>
      <c r="BR89" s="23">
        <f>EXP(-LN(2)/2)*BR88+(1-EXP(-LN(2)/2))/(LN(2)/2)*BL89*BO89*VLOOKUP('Données projet'!$B$11,Paramètres!$A$1:$I$89,3,0)*0.475*44/12</f>
        <v>2.3618195004477515E-8</v>
      </c>
      <c r="BS89" s="24">
        <f t="shared" si="63"/>
        <v>6.7807936344903208</v>
      </c>
      <c r="BT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9.001923076923072</v>
      </c>
      <c r="BY89" s="13">
        <f>IF('Données projet'!$A$114&gt;35,BY88+BX89-CG88,IF(A89&lt;'Données projet'!$A$114,$BV$205^A89,IF(A89='Données projet'!$A$114,'Données projet'!$B$114,BY88+BX89-CG88)))</f>
        <v>374.13653846153863</v>
      </c>
      <c r="BZ89" s="14">
        <f>BY89*VLOOKUP('Données projet'!$B$12,Paramètres!$A$1:$I$89,3,0)*VLOOKUP('Données projet'!$B$12,Paramètres!$A$1:$I$89,5,0)</f>
        <v>175.09590000000009</v>
      </c>
      <c r="CA89" s="14">
        <f t="shared" si="93"/>
        <v>44.229366403274248</v>
      </c>
      <c r="CB89" s="22">
        <f t="shared" si="64"/>
        <v>381.99150565236943</v>
      </c>
      <c r="CC89" s="60">
        <f t="shared" si="65"/>
        <v>675.32483898570274</v>
      </c>
      <c r="CD89" s="60">
        <f ca="1">AVERAGE(OFFSET($CC$3,0,0,'Données projet'!$E$12+1,1))-AVERAGE(OFFSET($H$3,0,0,'Données projet'!$E$12+1,1))</f>
        <v>246.72166704460847</v>
      </c>
      <c r="CE89" s="60">
        <f t="shared" si="94"/>
        <v>145.54897745089966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5.6</v>
      </c>
      <c r="CT89" s="13">
        <f>IF('Données projet'!$A$140&gt;35,CT88+CS89-DB88,IF(A89&lt;'Données projet'!$A$140,$CQ$205^A89,IF(A89='Données projet'!$A$140,'Données projet'!$B$140,CT88+CS89-DB88)))</f>
        <v>273.59999999999997</v>
      </c>
      <c r="CU89" s="18">
        <f>CT89*VLOOKUP('Données projet'!$B$13,Paramètres!$A$1:$I$89,3,0)*VLOOKUP('Données projet'!$B$13,Paramètres!$A$1:$I$89,5,0)</f>
        <v>247.55327999999994</v>
      </c>
      <c r="CV89" s="14">
        <f t="shared" si="95"/>
        <v>60.061713068870255</v>
      </c>
      <c r="CW89" s="22">
        <f t="shared" si="67"/>
        <v>535.76277959494894</v>
      </c>
      <c r="CX89" s="60">
        <f t="shared" si="68"/>
        <v>829.09611292828231</v>
      </c>
      <c r="CY89" s="60">
        <f ca="1">AVERAGE(OFFSET($CX$3,0,0,'Données projet'!$E$13+1,1))-AVERAGE(OFFSET($H$3,0,0,'Données projet'!$E$13+1,1))</f>
        <v>428.8489304403459</v>
      </c>
      <c r="CZ89" s="60">
        <f t="shared" si="96"/>
        <v>247.01165577562966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3.8461538461538454</v>
      </c>
      <c r="DO89" s="13">
        <f>IF('Données projet'!$A$166&gt;35,DO88+DN89-DW88,IF(A89&lt;'Données projet'!$A$166,$DL$205^A89,IF(A89='Données projet'!$A$166,'Données projet'!$B$166,DO88+DN89-DW88)))</f>
        <v>280.76923076923049</v>
      </c>
      <c r="DP89" s="18">
        <f>DO89*VLOOKUP('Données projet'!$B$14,Paramètres!$A$1:$I$89,3,0)*VLOOKUP('Données projet'!$B$14,Paramètres!$A$1:$I$89,5,0)</f>
        <v>293.45999999999975</v>
      </c>
      <c r="DQ89" s="14">
        <f t="shared" si="97"/>
        <v>69.803674480051043</v>
      </c>
      <c r="DR89" s="22">
        <f t="shared" si="70"/>
        <v>632.68423305275508</v>
      </c>
      <c r="DS89" s="60">
        <f t="shared" si="71"/>
        <v>926.01756638608845</v>
      </c>
      <c r="DT89" s="60">
        <f ca="1">AVERAGE(OFFSET($DS$3,0,0,'Données projet'!$E$14+1,1))-AVERAGE(OFFSET($H$3,0,0,'Données projet'!$E$14+1,1))</f>
        <v>493.70175665335978</v>
      </c>
      <c r="DU89" s="60">
        <f t="shared" si="98"/>
        <v>325.12357781685949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</v>
      </c>
      <c r="EJ89" s="13">
        <f>IF('Données projet'!$A$192&gt;35,EJ88+EI89-ER88,IF(A89&lt;'Données projet'!$A$192,$EG$205^A89,IF(A89='Données projet'!$A$192,'Données projet'!$B$192,EJ88+EI89-ER88)))</f>
        <v>189.9999999999998</v>
      </c>
      <c r="EK89" s="18">
        <f>EJ89*VLOOKUP('Données projet'!$B$15,Paramètres!$A$1:$I$89,3,0)*VLOOKUP('Données projet'!$B$15,Paramètres!$A$1:$I$89,5,0)</f>
        <v>154.12799999999984</v>
      </c>
      <c r="EL89" s="14">
        <f t="shared" si="99"/>
        <v>39.515201075361119</v>
      </c>
      <c r="EM89" s="22">
        <f t="shared" si="73"/>
        <v>337.26190853958701</v>
      </c>
      <c r="EN89" s="60">
        <f t="shared" si="74"/>
        <v>630.59524187292027</v>
      </c>
      <c r="EO89" s="60">
        <f ca="1">AVERAGE(OFFSET($EN$3,0,0,'Données projet'!$E$15+1,1))-AVERAGE(OFFSET($H$3,0,0,'Données projet'!$E$15+1,1))</f>
        <v>236.22643401787644</v>
      </c>
      <c r="EP89" s="60">
        <f t="shared" si="100"/>
        <v>188.80444043778022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3.2</v>
      </c>
      <c r="FE89" s="13">
        <f>IF('Données projet'!$A$218&gt;35,FE88+FD89-FM88,IF(A89&lt;'Données projet'!$A$218,$FB$205^A89,IF(A89='Données projet'!$A$218,'Données projet'!$B$218,FE88+FD89-FM88)))</f>
        <v>146.19999999999999</v>
      </c>
      <c r="FF89" s="18">
        <f>FE89*VLOOKUP('Données projet'!$B$16,Paramètres!$A$1:$I$89,3,0)*VLOOKUP('Données projet'!$B$16,Paramètres!$A$1:$I$89,5,0)</f>
        <v>141.40464</v>
      </c>
      <c r="FG89" s="14">
        <f t="shared" si="101"/>
        <v>36.618601593681802</v>
      </c>
      <c r="FH89" s="22">
        <f t="shared" si="76"/>
        <v>310.05714577566249</v>
      </c>
      <c r="FI89" s="60">
        <f t="shared" si="77"/>
        <v>603.39047910899581</v>
      </c>
      <c r="FJ89" s="60">
        <f ca="1">AVERAGE(OFFSET($FI$3,0,0,'Données projet'!$E$16+1,1))-AVERAGE(OFFSET($H$3,0,0,'Données projet'!$E$16+1,1))</f>
        <v>255.59755832175625</v>
      </c>
      <c r="FK89" s="60">
        <f t="shared" si="102"/>
        <v>154.0840647586964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0" t="e">
        <f t="shared" si="80"/>
        <v>#N/A</v>
      </c>
      <c r="GE89" s="60" t="e">
        <f ca="1">AVERAGE(OFFSET($GD$3,0,0,'Données projet'!$E$17+1,1))-AVERAGE(OFFSET($H$3,0,0,'Données projet'!$E$17+1,1))</f>
        <v>#N/A</v>
      </c>
      <c r="GF89" s="60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7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0" t="e">
        <f t="shared" si="83"/>
        <v>#N/A</v>
      </c>
      <c r="GZ89" s="60" t="e">
        <f ca="1">AVERAGE(OFFSET($GY$3,0,0,'Données projet'!$E$18+1,1))-AVERAGE(OFFSET($H$3,0,0,'Données projet'!$E$18+1,1))</f>
        <v>#N/A</v>
      </c>
      <c r="HA89" s="60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5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68">
        <f t="shared" si="56"/>
        <v>256.66666666666669</v>
      </c>
      <c r="I90" s="7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0" t="e">
        <f t="shared" si="55"/>
        <v>#NUM!</v>
      </c>
      <c r="S90" s="60">
        <f ca="1">AVERAGE(OFFSET($R$3,0,0,'Données projet'!$E$9+1,1))-AVERAGE(OFFSET($H$3,0,0,'Données projet'!$E$9+1,1))</f>
        <v>64.775385872852041</v>
      </c>
      <c r="T90" s="60">
        <f t="shared" si="88"/>
        <v>201.69061202990468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10.392776129369091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1.5914349966069965E-10</v>
      </c>
      <c r="AC90" s="24">
        <f t="shared" si="57"/>
        <v>10.392776129528235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283.10879999999997</v>
      </c>
      <c r="AK90" s="14">
        <f t="shared" si="89"/>
        <v>67.623564901653808</v>
      </c>
      <c r="AL90" s="22">
        <f t="shared" si="58"/>
        <v>610.85886887038032</v>
      </c>
      <c r="AM90" s="60">
        <f t="shared" si="59"/>
        <v>904.19220220371358</v>
      </c>
      <c r="AN90" s="60">
        <f ca="1">AVERAGE(OFFSET($AM$3,0,0,'Données projet'!$E$10+1,1))-AVERAGE(OFFSET($H$3,0,0,'Données projet'!$E$10+1,1))</f>
        <v>475.47920969424894</v>
      </c>
      <c r="AO90" s="60">
        <f t="shared" si="90"/>
        <v>271.73544012419364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7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6.7984728957526396E-14</v>
      </c>
      <c r="BF90" s="14">
        <f t="shared" si="91"/>
        <v>1.0682447123141398E-12</v>
      </c>
      <c r="BG90" s="22">
        <f t="shared" si="61"/>
        <v>1.978932943548152E-12</v>
      </c>
      <c r="BH90" s="60">
        <f t="shared" si="62"/>
        <v>293.3333333333353</v>
      </c>
      <c r="BI90" s="60">
        <f ca="1">AVERAGE(OFFSET($BH$3,0,0,'Données projet'!$E$11+1,1))-AVERAGE(OFFSET($H$3,0,0,'Données projet'!$E$11+1,1))</f>
        <v>260.02504691866199</v>
      </c>
      <c r="BJ90" s="60">
        <f t="shared" si="92"/>
        <v>270.11268336406368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3.2367686143352556</v>
      </c>
      <c r="BQ90" s="23">
        <f>EXP(-LN(2)/25)*BQ89+(1-EXP(-LN(2)/25))/(LN(2)/25)*Calculateur!BL90*Calculateur!BN90*VLOOKUP('Données projet'!$B$11,Paramètres!$A$1:$I$89,3,0)*0.475*44/12</f>
        <v>3.3841431996323688</v>
      </c>
      <c r="BR90" s="23">
        <f>EXP(-LN(2)/2)*BR89+(1-EXP(-LN(2)/2))/(LN(2)/2)*BL90*BO90*VLOOKUP('Données projet'!$B$11,Paramètres!$A$1:$I$89,3,0)*0.475*44/12</f>
        <v>1.6700585847052292E-8</v>
      </c>
      <c r="BS90" s="24">
        <f t="shared" si="63"/>
        <v>6.6209118306682102</v>
      </c>
      <c r="BT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>
        <f>VLOOKUP(A90,'Données projet'!$A$113:$I$133,2,0)</f>
        <v>383.13846153846151</v>
      </c>
      <c r="BW90" s="13">
        <f>VLOOKUP(A90,'Données projet'!$A$113:$I$133,9,0)</f>
        <v>9.001923076923072</v>
      </c>
      <c r="BX90" s="13">
        <f t="array" ref="BX90">INDEX(BW:BW,MIN(IF(ISNUMBER(BW90:BW286),ROW(BW90:BW286),"")))</f>
        <v>9.001923076923072</v>
      </c>
      <c r="BY90" s="13">
        <f>IF('Données projet'!$A$114&gt;35,BY89+BX90-CG89,IF(A90&lt;'Données projet'!$A$114,$BV$205^A90,IF(A90='Données projet'!$A$114,'Données projet'!$B$114,BY89+BX90-CG89)))</f>
        <v>383.13846153846168</v>
      </c>
      <c r="BZ90" s="14">
        <f>BY90*VLOOKUP('Données projet'!$B$12,Paramètres!$A$1:$I$89,3,0)*VLOOKUP('Données projet'!$B$12,Paramètres!$A$1:$I$89,5,0)</f>
        <v>179.30880000000008</v>
      </c>
      <c r="CA90" s="14">
        <f t="shared" si="93"/>
        <v>45.168372484136597</v>
      </c>
      <c r="CB90" s="22">
        <f t="shared" si="64"/>
        <v>390.96440874320461</v>
      </c>
      <c r="CC90" s="60">
        <f t="shared" si="65"/>
        <v>684.29774207653793</v>
      </c>
      <c r="CD90" s="60">
        <f ca="1">AVERAGE(OFFSET($CC$3,0,0,'Données projet'!$E$12+1,1))-AVERAGE(OFFSET($H$3,0,0,'Données projet'!$E$12+1,1))</f>
        <v>246.72166704460847</v>
      </c>
      <c r="CE90" s="60">
        <f t="shared" si="94"/>
        <v>145.54897745089966</v>
      </c>
      <c r="CF90" s="16">
        <f>IF(ISNA(VLOOKUP(A90,'Données projet'!$A$113:$I$133,3,0)),0,VLOOKUP(A90,'Données projet'!$A$113:$I$133,3,0))</f>
        <v>4</v>
      </c>
      <c r="CG90" s="16">
        <f>IF(ISNA(VLOOKUP(A90,'Données projet'!$A$113:$I$133,4,0)),0,VLOOKUP(A90,'Données projet'!$A$113:$I$133,4,0))</f>
        <v>82.938461538461524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5.6</v>
      </c>
      <c r="CT90" s="13">
        <f>IF('Données projet'!$A$140&gt;35,CT89+CS90-DB89,IF(A90&lt;'Données projet'!$A$140,$CQ$205^A90,IF(A90='Données projet'!$A$140,'Données projet'!$B$140,CT89+CS90-DB89)))</f>
        <v>279.2</v>
      </c>
      <c r="CU90" s="18">
        <f>CT90*VLOOKUP('Données projet'!$B$13,Paramètres!$A$1:$I$89,3,0)*VLOOKUP('Données projet'!$B$13,Paramètres!$A$1:$I$89,5,0)</f>
        <v>252.62015999999997</v>
      </c>
      <c r="CV90" s="14">
        <f t="shared" si="95"/>
        <v>61.14666777229877</v>
      </c>
      <c r="CW90" s="22">
        <f t="shared" si="67"/>
        <v>546.47722503675357</v>
      </c>
      <c r="CX90" s="60">
        <f t="shared" si="68"/>
        <v>839.81055837008694</v>
      </c>
      <c r="CY90" s="60">
        <f ca="1">AVERAGE(OFFSET($CX$3,0,0,'Données projet'!$E$13+1,1))-AVERAGE(OFFSET($H$3,0,0,'Données projet'!$E$13+1,1))</f>
        <v>428.8489304403459</v>
      </c>
      <c r="CZ90" s="60">
        <f t="shared" si="96"/>
        <v>247.01165577562966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3.8461538461538454</v>
      </c>
      <c r="DO90" s="13">
        <f>IF('Données projet'!$A$166&gt;35,DO89+DN90-DW89,IF(A90&lt;'Données projet'!$A$166,$DL$205^A90,IF(A90='Données projet'!$A$166,'Données projet'!$B$166,DO89+DN90-DW89)))</f>
        <v>284.61538461538436</v>
      </c>
      <c r="DP90" s="18">
        <f>DO90*VLOOKUP('Données projet'!$B$14,Paramètres!$A$1:$I$89,3,0)*VLOOKUP('Données projet'!$B$14,Paramètres!$A$1:$I$89,5,0)</f>
        <v>297.47999999999979</v>
      </c>
      <c r="DQ90" s="14">
        <f t="shared" si="97"/>
        <v>70.647915600656845</v>
      </c>
      <c r="DR90" s="22">
        <f t="shared" si="70"/>
        <v>641.15611967114364</v>
      </c>
      <c r="DS90" s="60">
        <f t="shared" si="71"/>
        <v>934.4894530044769</v>
      </c>
      <c r="DT90" s="60">
        <f ca="1">AVERAGE(OFFSET($DS$3,0,0,'Données projet'!$E$14+1,1))-AVERAGE(OFFSET($H$3,0,0,'Données projet'!$E$14+1,1))</f>
        <v>493.70175665335978</v>
      </c>
      <c r="DU90" s="60">
        <f t="shared" si="98"/>
        <v>325.12357781685949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</v>
      </c>
      <c r="EJ90" s="13">
        <f>IF('Données projet'!$A$192&gt;35,EJ89+EI90-ER89,IF(A90&lt;'Données projet'!$A$192,$EG$205^A90,IF(A90='Données projet'!$A$192,'Données projet'!$B$192,EJ89+EI90-ER89)))</f>
        <v>192.9999999999998</v>
      </c>
      <c r="EK90" s="18">
        <f>EJ90*VLOOKUP('Données projet'!$B$15,Paramètres!$A$1:$I$89,3,0)*VLOOKUP('Données projet'!$B$15,Paramètres!$A$1:$I$89,5,0)</f>
        <v>156.56159999999986</v>
      </c>
      <c r="EL90" s="14">
        <f t="shared" si="99"/>
        <v>40.065996859746441</v>
      </c>
      <c r="EM90" s="22">
        <f t="shared" si="73"/>
        <v>342.45973119739142</v>
      </c>
      <c r="EN90" s="60">
        <f t="shared" si="74"/>
        <v>635.79306453072468</v>
      </c>
      <c r="EO90" s="60">
        <f ca="1">AVERAGE(OFFSET($EN$3,0,0,'Données projet'!$E$15+1,1))-AVERAGE(OFFSET($H$3,0,0,'Données projet'!$E$15+1,1))</f>
        <v>236.22643401787644</v>
      </c>
      <c r="EP90" s="60">
        <f t="shared" si="100"/>
        <v>188.80444043778022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3.2</v>
      </c>
      <c r="FE90" s="13">
        <f>IF('Données projet'!$A$218&gt;35,FE89+FD90-FM89,IF(A90&lt;'Données projet'!$A$218,$FB$205^A90,IF(A90='Données projet'!$A$218,'Données projet'!$B$218,FE89+FD90-FM89)))</f>
        <v>149.39999999999998</v>
      </c>
      <c r="FF90" s="18">
        <f>FE90*VLOOKUP('Données projet'!$B$16,Paramètres!$A$1:$I$89,3,0)*VLOOKUP('Données projet'!$B$16,Paramètres!$A$1:$I$89,5,0)</f>
        <v>144.49967999999998</v>
      </c>
      <c r="FG90" s="14">
        <f t="shared" si="101"/>
        <v>37.325913454134138</v>
      </c>
      <c r="FH90" s="22">
        <f t="shared" si="76"/>
        <v>316.67957526595023</v>
      </c>
      <c r="FI90" s="60">
        <f t="shared" si="77"/>
        <v>610.01290859928349</v>
      </c>
      <c r="FJ90" s="60">
        <f ca="1">AVERAGE(OFFSET($FI$3,0,0,'Données projet'!$E$16+1,1))-AVERAGE(OFFSET($H$3,0,0,'Données projet'!$E$16+1,1))</f>
        <v>255.59755832175625</v>
      </c>
      <c r="FK90" s="60">
        <f t="shared" si="102"/>
        <v>154.0840647586964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0" t="e">
        <f t="shared" si="80"/>
        <v>#N/A</v>
      </c>
      <c r="GE90" s="60" t="e">
        <f ca="1">AVERAGE(OFFSET($GD$3,0,0,'Données projet'!$E$17+1,1))-AVERAGE(OFFSET($H$3,0,0,'Données projet'!$E$17+1,1))</f>
        <v>#N/A</v>
      </c>
      <c r="GF90" s="60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7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0" t="e">
        <f t="shared" si="83"/>
        <v>#N/A</v>
      </c>
      <c r="GZ90" s="60" t="e">
        <f ca="1">AVERAGE(OFFSET($GY$3,0,0,'Données projet'!$E$18+1,1))-AVERAGE(OFFSET($H$3,0,0,'Données projet'!$E$18+1,1))</f>
        <v>#N/A</v>
      </c>
      <c r="HA90" s="60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5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68">
        <f t="shared" si="56"/>
        <v>256.66666666666669</v>
      </c>
      <c r="I91" s="7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0" t="e">
        <f t="shared" si="55"/>
        <v>#NUM!</v>
      </c>
      <c r="S91" s="60">
        <f ca="1">AVERAGE(OFFSET($R$3,0,0,'Données projet'!$E$9+1,1))-AVERAGE(OFFSET($H$3,0,0,'Données projet'!$E$9+1,1))</f>
        <v>64.775385872852041</v>
      </c>
      <c r="T91" s="60">
        <f t="shared" si="88"/>
        <v>201.69061202990468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10.188980128439681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1.1253144779183975E-10</v>
      </c>
      <c r="AC91" s="24">
        <f t="shared" si="57"/>
        <v>10.188980128552213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288.78720000000004</v>
      </c>
      <c r="AK91" s="14">
        <f t="shared" si="89"/>
        <v>68.820644053442436</v>
      </c>
      <c r="AL91" s="22">
        <f t="shared" si="58"/>
        <v>622.83366172641229</v>
      </c>
      <c r="AM91" s="60">
        <f t="shared" si="59"/>
        <v>916.16699505974566</v>
      </c>
      <c r="AN91" s="60">
        <f ca="1">AVERAGE(OFFSET($AM$3,0,0,'Données projet'!$E$10+1,1))-AVERAGE(OFFSET($H$3,0,0,'Données projet'!$E$10+1,1))</f>
        <v>475.47920969424894</v>
      </c>
      <c r="AO91" s="60">
        <f t="shared" si="90"/>
        <v>271.73544012419364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7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6.7984728957526396E-14</v>
      </c>
      <c r="BF91" s="14">
        <f t="shared" si="91"/>
        <v>1.0682447123141398E-12</v>
      </c>
      <c r="BG91" s="22">
        <f t="shared" si="61"/>
        <v>1.978932943548152E-12</v>
      </c>
      <c r="BH91" s="60">
        <f t="shared" si="62"/>
        <v>293.3333333333353</v>
      </c>
      <c r="BI91" s="60">
        <f ca="1">AVERAGE(OFFSET($BH$3,0,0,'Données projet'!$E$11+1,1))-AVERAGE(OFFSET($H$3,0,0,'Données projet'!$E$11+1,1))</f>
        <v>260.02504691866199</v>
      </c>
      <c r="BJ91" s="60">
        <f t="shared" si="92"/>
        <v>270.11268336406368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3.1732975560420567</v>
      </c>
      <c r="BQ91" s="23">
        <f>EXP(-LN(2)/25)*BQ90+(1-EXP(-LN(2)/25))/(LN(2)/25)*Calculateur!BL91*Calculateur!BN91*VLOOKUP('Données projet'!$B$11,Paramètres!$A$1:$I$89,3,0)*0.475*44/12</f>
        <v>3.2916036258740653</v>
      </c>
      <c r="BR91" s="23">
        <f>EXP(-LN(2)/2)*BR90+(1-EXP(-LN(2)/2))/(LN(2)/2)*BL91*BO91*VLOOKUP('Données projet'!$B$11,Paramètres!$A$1:$I$89,3,0)*0.475*44/12</f>
        <v>1.1809097502238757E-8</v>
      </c>
      <c r="BS91" s="24">
        <f t="shared" si="63"/>
        <v>6.4649011937252201</v>
      </c>
      <c r="BT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8.1391025641025667</v>
      </c>
      <c r="BY91" s="13">
        <f>IF('Données projet'!$A$114&gt;35,BY90+BX91-CG90,IF(A91&lt;'Données projet'!$A$114,$BV$205^A91,IF(A91='Données projet'!$A$114,'Données projet'!$B$114,BY90+BX91-CG90)))</f>
        <v>308.33910256410275</v>
      </c>
      <c r="BZ91" s="14">
        <f>BY91*VLOOKUP('Données projet'!$B$12,Paramètres!$A$1:$I$89,3,0)*VLOOKUP('Données projet'!$B$12,Paramètres!$A$1:$I$89,5,0)</f>
        <v>144.30270000000007</v>
      </c>
      <c r="CA91" s="14">
        <f t="shared" si="93"/>
        <v>37.280950392910917</v>
      </c>
      <c r="CB91" s="22">
        <f t="shared" si="64"/>
        <v>316.25819110098661</v>
      </c>
      <c r="CC91" s="60">
        <f t="shared" si="65"/>
        <v>609.59152443431992</v>
      </c>
      <c r="CD91" s="60">
        <f ca="1">AVERAGE(OFFSET($CC$3,0,0,'Données projet'!$E$12+1,1))-AVERAGE(OFFSET($H$3,0,0,'Données projet'!$E$12+1,1))</f>
        <v>246.72166704460847</v>
      </c>
      <c r="CE91" s="60">
        <f t="shared" si="94"/>
        <v>145.54897745089966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5.6</v>
      </c>
      <c r="CT91" s="13">
        <f>IF('Données projet'!$A$140&gt;35,CT90+CS91-DB90,IF(A91&lt;'Données projet'!$A$140,$CQ$205^A91,IF(A91='Données projet'!$A$140,'Données projet'!$B$140,CT90+CS91-DB90)))</f>
        <v>284.8</v>
      </c>
      <c r="CU91" s="18">
        <f>CT91*VLOOKUP('Données projet'!$B$13,Paramètres!$A$1:$I$89,3,0)*VLOOKUP('Données projet'!$B$13,Paramètres!$A$1:$I$89,5,0)</f>
        <v>257.68704000000002</v>
      </c>
      <c r="CV91" s="14">
        <f t="shared" si="95"/>
        <v>62.229092239243343</v>
      </c>
      <c r="CW91" s="22">
        <f t="shared" si="67"/>
        <v>557.18726365001555</v>
      </c>
      <c r="CX91" s="60">
        <f t="shared" si="68"/>
        <v>850.52059698334892</v>
      </c>
      <c r="CY91" s="60">
        <f ca="1">AVERAGE(OFFSET($CX$3,0,0,'Données projet'!$E$13+1,1))-AVERAGE(OFFSET($H$3,0,0,'Données projet'!$E$13+1,1))</f>
        <v>428.8489304403459</v>
      </c>
      <c r="CZ91" s="60">
        <f t="shared" si="96"/>
        <v>247.01165577562966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3.8461538461538454</v>
      </c>
      <c r="DO91" s="13">
        <f>IF('Données projet'!$A$166&gt;35,DO90+DN91-DW90,IF(A91&lt;'Données projet'!$A$166,$DL$205^A91,IF(A91='Données projet'!$A$166,'Données projet'!$B$166,DO90+DN91-DW90)))</f>
        <v>288.46153846153823</v>
      </c>
      <c r="DP91" s="18">
        <f>DO91*VLOOKUP('Données projet'!$B$14,Paramètres!$A$1:$I$89,3,0)*VLOOKUP('Données projet'!$B$14,Paramètres!$A$1:$I$89,5,0)</f>
        <v>301.49999999999977</v>
      </c>
      <c r="DQ91" s="14">
        <f t="shared" si="97"/>
        <v>71.490829753972974</v>
      </c>
      <c r="DR91" s="22">
        <f t="shared" si="70"/>
        <v>649.62569515483597</v>
      </c>
      <c r="DS91" s="60">
        <f t="shared" si="71"/>
        <v>942.95902848816922</v>
      </c>
      <c r="DT91" s="60">
        <f ca="1">AVERAGE(OFFSET($DS$3,0,0,'Données projet'!$E$14+1,1))-AVERAGE(OFFSET($H$3,0,0,'Données projet'!$E$14+1,1))</f>
        <v>493.70175665335978</v>
      </c>
      <c r="DU91" s="60">
        <f t="shared" si="98"/>
        <v>325.12357781685949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</v>
      </c>
      <c r="EJ91" s="13">
        <f>IF('Données projet'!$A$192&gt;35,EJ90+EI91-ER90,IF(A91&lt;'Données projet'!$A$192,$EG$205^A91,IF(A91='Données projet'!$A$192,'Données projet'!$B$192,EJ90+EI91-ER90)))</f>
        <v>195.9999999999998</v>
      </c>
      <c r="EK91" s="18">
        <f>EJ91*VLOOKUP('Données projet'!$B$15,Paramètres!$A$1:$I$89,3,0)*VLOOKUP('Données projet'!$B$15,Paramètres!$A$1:$I$89,5,0)</f>
        <v>158.99519999999984</v>
      </c>
      <c r="EL91" s="14">
        <f t="shared" si="99"/>
        <v>40.615796933386008</v>
      </c>
      <c r="EM91" s="22">
        <f t="shared" si="73"/>
        <v>347.65581965898036</v>
      </c>
      <c r="EN91" s="60">
        <f t="shared" si="74"/>
        <v>640.98915299231362</v>
      </c>
      <c r="EO91" s="60">
        <f ca="1">AVERAGE(OFFSET($EN$3,0,0,'Données projet'!$E$15+1,1))-AVERAGE(OFFSET($H$3,0,0,'Données projet'!$E$15+1,1))</f>
        <v>236.22643401787644</v>
      </c>
      <c r="EP91" s="60">
        <f t="shared" si="100"/>
        <v>188.80444043778022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3.2</v>
      </c>
      <c r="FE91" s="13">
        <f>IF('Données projet'!$A$218&gt;35,FE90+FD91-FM90,IF(A91&lt;'Données projet'!$A$218,$FB$205^A91,IF(A91='Données projet'!$A$218,'Données projet'!$B$218,FE90+FD91-FM90)))</f>
        <v>152.59999999999997</v>
      </c>
      <c r="FF91" s="18">
        <f>FE91*VLOOKUP('Données projet'!$B$16,Paramètres!$A$1:$I$89,3,0)*VLOOKUP('Données projet'!$B$16,Paramètres!$A$1:$I$89,5,0)</f>
        <v>147.59471999999997</v>
      </c>
      <c r="FG91" s="14">
        <f t="shared" si="101"/>
        <v>38.031463918082679</v>
      </c>
      <c r="FH91" s="22">
        <f t="shared" si="76"/>
        <v>323.29893699066059</v>
      </c>
      <c r="FI91" s="60">
        <f t="shared" si="77"/>
        <v>616.63227032399391</v>
      </c>
      <c r="FJ91" s="60">
        <f ca="1">AVERAGE(OFFSET($FI$3,0,0,'Données projet'!$E$16+1,1))-AVERAGE(OFFSET($H$3,0,0,'Données projet'!$E$16+1,1))</f>
        <v>255.59755832175625</v>
      </c>
      <c r="FK91" s="60">
        <f t="shared" si="102"/>
        <v>154.0840647586964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0" t="e">
        <f t="shared" si="80"/>
        <v>#N/A</v>
      </c>
      <c r="GE91" s="60" t="e">
        <f ca="1">AVERAGE(OFFSET($GD$3,0,0,'Données projet'!$E$17+1,1))-AVERAGE(OFFSET($H$3,0,0,'Données projet'!$E$17+1,1))</f>
        <v>#N/A</v>
      </c>
      <c r="GF91" s="60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7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0" t="e">
        <f t="shared" si="83"/>
        <v>#N/A</v>
      </c>
      <c r="GZ91" s="60" t="e">
        <f ca="1">AVERAGE(OFFSET($GY$3,0,0,'Données projet'!$E$18+1,1))-AVERAGE(OFFSET($H$3,0,0,'Données projet'!$E$18+1,1))</f>
        <v>#N/A</v>
      </c>
      <c r="HA91" s="60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5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68">
        <f t="shared" si="56"/>
        <v>256.66666666666669</v>
      </c>
      <c r="I92" s="7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0" t="e">
        <f t="shared" si="55"/>
        <v>#NUM!</v>
      </c>
      <c r="S92" s="60">
        <f ca="1">AVERAGE(OFFSET($R$3,0,0,'Données projet'!$E$9+1,1))-AVERAGE(OFFSET($H$3,0,0,'Données projet'!$E$9+1,1))</f>
        <v>64.775385872852041</v>
      </c>
      <c r="T92" s="60">
        <f t="shared" si="88"/>
        <v>201.69061202990468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9.9891804427852104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7.9571749830349824E-11</v>
      </c>
      <c r="AC92" s="24">
        <f t="shared" si="57"/>
        <v>9.9891804428647823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294.46560000000005</v>
      </c>
      <c r="AK92" s="14">
        <f t="shared" si="89"/>
        <v>70.014986320104285</v>
      </c>
      <c r="AL92" s="22">
        <f t="shared" si="58"/>
        <v>634.8036878408484</v>
      </c>
      <c r="AM92" s="60">
        <f t="shared" si="59"/>
        <v>928.13702117418165</v>
      </c>
      <c r="AN92" s="60">
        <f ca="1">AVERAGE(OFFSET($AM$3,0,0,'Données projet'!$E$10+1,1))-AVERAGE(OFFSET($H$3,0,0,'Données projet'!$E$10+1,1))</f>
        <v>475.47920969424894</v>
      </c>
      <c r="AO92" s="60">
        <f t="shared" si="90"/>
        <v>271.73544012419364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7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6.7984728957526396E-14</v>
      </c>
      <c r="BF92" s="14">
        <f t="shared" si="91"/>
        <v>1.0682447123141398E-12</v>
      </c>
      <c r="BG92" s="22">
        <f t="shared" si="61"/>
        <v>1.978932943548152E-12</v>
      </c>
      <c r="BH92" s="60">
        <f t="shared" si="62"/>
        <v>293.3333333333353</v>
      </c>
      <c r="BI92" s="60">
        <f ca="1">AVERAGE(OFFSET($BH$3,0,0,'Données projet'!$E$11+1,1))-AVERAGE(OFFSET($H$3,0,0,'Données projet'!$E$11+1,1))</f>
        <v>260.02504691866199</v>
      </c>
      <c r="BJ92" s="60">
        <f t="shared" si="92"/>
        <v>270.11268336406368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3.1110711264884645</v>
      </c>
      <c r="BQ92" s="23">
        <f>EXP(-LN(2)/25)*BQ91+(1-EXP(-LN(2)/25))/(LN(2)/25)*Calculateur!BL92*Calculateur!BN92*VLOOKUP('Données projet'!$B$11,Paramètres!$A$1:$I$89,3,0)*0.475*44/12</f>
        <v>3.2015945516266275</v>
      </c>
      <c r="BR92" s="23">
        <f>EXP(-LN(2)/2)*BR91+(1-EXP(-LN(2)/2))/(LN(2)/2)*BL92*BO92*VLOOKUP('Données projet'!$B$11,Paramètres!$A$1:$I$89,3,0)*0.475*44/12</f>
        <v>8.3502929235261459E-9</v>
      </c>
      <c r="BS92" s="24">
        <f t="shared" si="63"/>
        <v>6.312665686465385</v>
      </c>
      <c r="BT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8.1391025641025667</v>
      </c>
      <c r="BY92" s="13">
        <f>IF('Données projet'!$A$114&gt;35,BY91+BX92-CG91,IF(A92&lt;'Données projet'!$A$114,$BV$205^A92,IF(A92='Données projet'!$A$114,'Données projet'!$B$114,BY91+BX92-CG91)))</f>
        <v>316.47820512820533</v>
      </c>
      <c r="BZ92" s="14">
        <f>BY92*VLOOKUP('Données projet'!$B$12,Paramètres!$A$1:$I$89,3,0)*VLOOKUP('Données projet'!$B$12,Paramètres!$A$1:$I$89,5,0)</f>
        <v>148.11180000000007</v>
      </c>
      <c r="CA92" s="14">
        <f t="shared" si="93"/>
        <v>38.149169544694949</v>
      </c>
      <c r="CB92" s="22">
        <f t="shared" si="64"/>
        <v>324.4045219570105</v>
      </c>
      <c r="CC92" s="60">
        <f t="shared" si="65"/>
        <v>617.73785529034376</v>
      </c>
      <c r="CD92" s="60">
        <f ca="1">AVERAGE(OFFSET($CC$3,0,0,'Données projet'!$E$12+1,1))-AVERAGE(OFFSET($H$3,0,0,'Données projet'!$E$12+1,1))</f>
        <v>246.72166704460847</v>
      </c>
      <c r="CE92" s="60">
        <f t="shared" si="94"/>
        <v>145.54897745089966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5.6</v>
      </c>
      <c r="CT92" s="13">
        <f>IF('Données projet'!$A$140&gt;35,CT91+CS92-DB91,IF(A92&lt;'Données projet'!$A$140,$CQ$205^A92,IF(A92='Données projet'!$A$140,'Données projet'!$B$140,CT91+CS92-DB91)))</f>
        <v>290.40000000000003</v>
      </c>
      <c r="CU92" s="18">
        <f>CT92*VLOOKUP('Données projet'!$B$13,Paramètres!$A$1:$I$89,3,0)*VLOOKUP('Données projet'!$B$13,Paramètres!$A$1:$I$89,5,0)</f>
        <v>262.75392000000005</v>
      </c>
      <c r="CV92" s="14">
        <f t="shared" si="95"/>
        <v>63.309041956360382</v>
      </c>
      <c r="CW92" s="22">
        <f t="shared" si="67"/>
        <v>567.89299207399438</v>
      </c>
      <c r="CX92" s="60">
        <f t="shared" si="68"/>
        <v>861.22632540732775</v>
      </c>
      <c r="CY92" s="60">
        <f ca="1">AVERAGE(OFFSET($CX$3,0,0,'Données projet'!$E$13+1,1))-AVERAGE(OFFSET($H$3,0,0,'Données projet'!$E$13+1,1))</f>
        <v>428.8489304403459</v>
      </c>
      <c r="CZ92" s="60">
        <f t="shared" si="96"/>
        <v>247.01165577562966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3.8461538461538454</v>
      </c>
      <c r="DO92" s="13">
        <f>IF('Données projet'!$A$166&gt;35,DO91+DN92-DW91,IF(A92&lt;'Données projet'!$A$166,$DL$205^A92,IF(A92='Données projet'!$A$166,'Données projet'!$B$166,DO91+DN92-DW91)))</f>
        <v>292.30769230769209</v>
      </c>
      <c r="DP92" s="18">
        <f>DO92*VLOOKUP('Données projet'!$B$14,Paramètres!$A$1:$I$89,3,0)*VLOOKUP('Données projet'!$B$14,Paramètres!$A$1:$I$89,5,0)</f>
        <v>305.51999999999981</v>
      </c>
      <c r="DQ92" s="14">
        <f t="shared" si="97"/>
        <v>72.332436678206648</v>
      </c>
      <c r="DR92" s="22">
        <f t="shared" si="70"/>
        <v>658.09299388120962</v>
      </c>
      <c r="DS92" s="60">
        <f t="shared" si="71"/>
        <v>951.42632721454288</v>
      </c>
      <c r="DT92" s="60">
        <f ca="1">AVERAGE(OFFSET($DS$3,0,0,'Données projet'!$E$14+1,1))-AVERAGE(OFFSET($H$3,0,0,'Données projet'!$E$14+1,1))</f>
        <v>493.70175665335978</v>
      </c>
      <c r="DU92" s="60">
        <f t="shared" si="98"/>
        <v>325.12357781685949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</v>
      </c>
      <c r="EJ92" s="13">
        <f>IF('Données projet'!$A$192&gt;35,EJ91+EI92-ER91,IF(A92&lt;'Données projet'!$A$192,$EG$205^A92,IF(A92='Données projet'!$A$192,'Données projet'!$B$192,EJ91+EI92-ER91)))</f>
        <v>198.9999999999998</v>
      </c>
      <c r="EK92" s="18">
        <f>EJ92*VLOOKUP('Données projet'!$B$15,Paramètres!$A$1:$I$89,3,0)*VLOOKUP('Données projet'!$B$15,Paramètres!$A$1:$I$89,5,0)</f>
        <v>161.42879999999985</v>
      </c>
      <c r="EL92" s="14">
        <f t="shared" si="99"/>
        <v>41.164618296930165</v>
      </c>
      <c r="EM92" s="22">
        <f t="shared" si="73"/>
        <v>352.85020353381975</v>
      </c>
      <c r="EN92" s="60">
        <f t="shared" si="74"/>
        <v>646.18353686715307</v>
      </c>
      <c r="EO92" s="60">
        <f ca="1">AVERAGE(OFFSET($EN$3,0,0,'Données projet'!$E$15+1,1))-AVERAGE(OFFSET($H$3,0,0,'Données projet'!$E$15+1,1))</f>
        <v>236.22643401787644</v>
      </c>
      <c r="EP92" s="60">
        <f t="shared" si="100"/>
        <v>188.80444043778022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3.2</v>
      </c>
      <c r="FE92" s="13">
        <f>IF('Données projet'!$A$218&gt;35,FE91+FD92-FM91,IF(A92&lt;'Données projet'!$A$218,$FB$205^A92,IF(A92='Données projet'!$A$218,'Données projet'!$B$218,FE91+FD92-FM91)))</f>
        <v>155.79999999999995</v>
      </c>
      <c r="FF92" s="18">
        <f>FE92*VLOOKUP('Données projet'!$B$16,Paramètres!$A$1:$I$89,3,0)*VLOOKUP('Données projet'!$B$16,Paramètres!$A$1:$I$89,5,0)</f>
        <v>150.68975999999998</v>
      </c>
      <c r="FG92" s="14">
        <f t="shared" si="101"/>
        <v>38.735294176946205</v>
      </c>
      <c r="FH92" s="22">
        <f t="shared" si="76"/>
        <v>329.91530269151457</v>
      </c>
      <c r="FI92" s="60">
        <f t="shared" si="77"/>
        <v>623.24863602484788</v>
      </c>
      <c r="FJ92" s="60">
        <f ca="1">AVERAGE(OFFSET($FI$3,0,0,'Données projet'!$E$16+1,1))-AVERAGE(OFFSET($H$3,0,0,'Données projet'!$E$16+1,1))</f>
        <v>255.59755832175625</v>
      </c>
      <c r="FK92" s="60">
        <f t="shared" si="102"/>
        <v>154.0840647586964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0" t="e">
        <f t="shared" si="80"/>
        <v>#N/A</v>
      </c>
      <c r="GE92" s="60" t="e">
        <f ca="1">AVERAGE(OFFSET($GD$3,0,0,'Données projet'!$E$17+1,1))-AVERAGE(OFFSET($H$3,0,0,'Données projet'!$E$17+1,1))</f>
        <v>#N/A</v>
      </c>
      <c r="GF92" s="60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7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0" t="e">
        <f t="shared" si="83"/>
        <v>#N/A</v>
      </c>
      <c r="GZ92" s="60" t="e">
        <f ca="1">AVERAGE(OFFSET($GY$3,0,0,'Données projet'!$E$18+1,1))-AVERAGE(OFFSET($H$3,0,0,'Données projet'!$E$18+1,1))</f>
        <v>#N/A</v>
      </c>
      <c r="HA92" s="60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5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68">
        <f t="shared" si="56"/>
        <v>256.66666666666669</v>
      </c>
      <c r="I93" s="7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0" t="e">
        <f t="shared" si="55"/>
        <v>#NUM!</v>
      </c>
      <c r="S93" s="60">
        <f ca="1">AVERAGE(OFFSET($R$3,0,0,'Données projet'!$E$9+1,1))-AVERAGE(OFFSET($H$3,0,0,'Données projet'!$E$9+1,1))</f>
        <v>64.775385872852041</v>
      </c>
      <c r="T93" s="60">
        <f t="shared" si="88"/>
        <v>201.69061202990468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9.7932987071006483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5.6265723895919874E-11</v>
      </c>
      <c r="AC93" s="24">
        <f t="shared" si="57"/>
        <v>9.7932987071569144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300.14400000000006</v>
      </c>
      <c r="AK93" s="14">
        <f t="shared" si="89"/>
        <v>71.206650563609855</v>
      </c>
      <c r="AL93" s="22">
        <f t="shared" si="58"/>
        <v>646.76904973162061</v>
      </c>
      <c r="AM93" s="60">
        <f t="shared" si="59"/>
        <v>940.10238306495398</v>
      </c>
      <c r="AN93" s="60">
        <f ca="1">AVERAGE(OFFSET($AM$3,0,0,'Données projet'!$E$10+1,1))-AVERAGE(OFFSET($H$3,0,0,'Données projet'!$E$10+1,1))</f>
        <v>475.47920969424894</v>
      </c>
      <c r="AO93" s="60">
        <f t="shared" si="90"/>
        <v>271.73544012419364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7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6.7984728957526396E-14</v>
      </c>
      <c r="BF93" s="14">
        <f t="shared" si="91"/>
        <v>1.0682447123141398E-12</v>
      </c>
      <c r="BG93" s="22">
        <f t="shared" si="61"/>
        <v>1.978932943548152E-12</v>
      </c>
      <c r="BH93" s="60">
        <f t="shared" si="62"/>
        <v>293.3333333333353</v>
      </c>
      <c r="BI93" s="60">
        <f ca="1">AVERAGE(OFFSET($BH$3,0,0,'Données projet'!$E$11+1,1))-AVERAGE(OFFSET($H$3,0,0,'Données projet'!$E$11+1,1))</f>
        <v>260.02504691866199</v>
      </c>
      <c r="BJ93" s="60">
        <f t="shared" si="92"/>
        <v>270.11268336406368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3.0500649192640439</v>
      </c>
      <c r="BQ93" s="23">
        <f>EXP(-LN(2)/25)*BQ92+(1-EXP(-LN(2)/25))/(LN(2)/25)*Calculateur!BL93*Calculateur!BN93*VLOOKUP('Données projet'!$B$11,Paramètres!$A$1:$I$89,3,0)*0.475*44/12</f>
        <v>3.1140467802478571</v>
      </c>
      <c r="BR93" s="23">
        <f>EXP(-LN(2)/2)*BR92+(1-EXP(-LN(2)/2))/(LN(2)/2)*BL93*BO93*VLOOKUP('Données projet'!$B$11,Paramètres!$A$1:$I$89,3,0)*0.475*44/12</f>
        <v>5.9045487511193787E-9</v>
      </c>
      <c r="BS93" s="24">
        <f t="shared" si="63"/>
        <v>6.1641117054164498</v>
      </c>
      <c r="BT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8.1391025641025667</v>
      </c>
      <c r="BY93" s="13">
        <f>IF('Données projet'!$A$114&gt;35,BY92+BX93-CG92,IF(A93&lt;'Données projet'!$A$114,$BV$205^A93,IF(A93='Données projet'!$A$114,'Données projet'!$B$114,BY92+BX93-CG92)))</f>
        <v>324.61730769230792</v>
      </c>
      <c r="BZ93" s="14">
        <f>BY93*VLOOKUP('Données projet'!$B$12,Paramètres!$A$1:$I$89,3,0)*VLOOKUP('Données projet'!$B$12,Paramètres!$A$1:$I$89,5,0)</f>
        <v>151.9209000000001</v>
      </c>
      <c r="CA93" s="14">
        <f t="shared" si="93"/>
        <v>39.014793227910218</v>
      </c>
      <c r="CB93" s="22">
        <f t="shared" si="64"/>
        <v>332.54633237194383</v>
      </c>
      <c r="CC93" s="60">
        <f t="shared" si="65"/>
        <v>625.87966570527715</v>
      </c>
      <c r="CD93" s="60">
        <f ca="1">AVERAGE(OFFSET($CC$3,0,0,'Données projet'!$E$12+1,1))-AVERAGE(OFFSET($H$3,0,0,'Données projet'!$E$12+1,1))</f>
        <v>246.72166704460847</v>
      </c>
      <c r="CE93" s="60">
        <f t="shared" si="94"/>
        <v>145.54897745089966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296</v>
      </c>
      <c r="CR93" s="13">
        <f>VLOOKUP(A93,'Données projet'!$A$139:$I$159,9,0)</f>
        <v>5.6</v>
      </c>
      <c r="CS93" s="13">
        <f t="array" ref="CS93">INDEX(CR:CR,MIN(IF(ISNUMBER(CR93:CR289),ROW(CR93:CR289),"")))</f>
        <v>5.6</v>
      </c>
      <c r="CT93" s="13">
        <f>IF('Données projet'!$A$140&gt;35,CT92+CS93-DB92,IF(A93&lt;'Données projet'!$A$140,$CQ$205^A93,IF(A93='Données projet'!$A$140,'Données projet'!$B$140,CT92+CS93-DB92)))</f>
        <v>296.00000000000006</v>
      </c>
      <c r="CU93" s="18">
        <f>CT93*VLOOKUP('Données projet'!$B$13,Paramètres!$A$1:$I$89,3,0)*VLOOKUP('Données projet'!$B$13,Paramètres!$A$1:$I$89,5,0)</f>
        <v>267.82080000000008</v>
      </c>
      <c r="CV93" s="14">
        <f t="shared" si="95"/>
        <v>64.386570147897373</v>
      </c>
      <c r="CW93" s="22">
        <f t="shared" si="67"/>
        <v>578.59450300758806</v>
      </c>
      <c r="CX93" s="60">
        <f t="shared" si="68"/>
        <v>871.92783634092143</v>
      </c>
      <c r="CY93" s="60">
        <f ca="1">AVERAGE(OFFSET($CX$3,0,0,'Données projet'!$E$13+1,1))-AVERAGE(OFFSET($H$3,0,0,'Données projet'!$E$13+1,1))</f>
        <v>428.8489304403459</v>
      </c>
      <c r="CZ93" s="60">
        <f t="shared" si="96"/>
        <v>247.01165577562966</v>
      </c>
      <c r="DA93" s="16">
        <f>IF(ISNA(VLOOKUP(A93,'Données projet'!$A$139:$I$159,3,0)),0,VLOOKUP(A93,'Données projet'!$A$139:$I$159,3,0))</f>
        <v>7</v>
      </c>
      <c r="DB93" s="16">
        <f>IF(ISNA(VLOOKUP(A93,'Données projet'!$A$139:$I$159,4,0)),0,VLOOKUP(A93,'Données projet'!$A$139:$I$159,4,0))</f>
        <v>42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296.15384615384613</v>
      </c>
      <c r="DM93" s="13">
        <f>VLOOKUP(A93,'Données projet'!$A$165:$I$185,9,0)</f>
        <v>3.8461538461538454</v>
      </c>
      <c r="DN93" s="13">
        <f t="array" ref="DN93">INDEX(DM:DM,MIN(IF(ISNUMBER(DM93:DM289),ROW(DM93:DM289),"")))</f>
        <v>3.8461538461538454</v>
      </c>
      <c r="DO93" s="13">
        <f>IF('Données projet'!$A$166&gt;35,DO92+DN93-DW92,IF(A93&lt;'Données projet'!$A$166,$DL$205^A93,IF(A93='Données projet'!$A$166,'Données projet'!$B$166,DO92+DN93-DW92)))</f>
        <v>296.15384615384596</v>
      </c>
      <c r="DP93" s="18">
        <f>DO93*VLOOKUP('Données projet'!$B$14,Paramètres!$A$1:$I$89,3,0)*VLOOKUP('Données projet'!$B$14,Paramètres!$A$1:$I$89,5,0)</f>
        <v>309.53999999999979</v>
      </c>
      <c r="DQ93" s="14">
        <f t="shared" si="97"/>
        <v>73.172755562281282</v>
      </c>
      <c r="DR93" s="22">
        <f t="shared" si="70"/>
        <v>666.5580492709729</v>
      </c>
      <c r="DS93" s="60">
        <f t="shared" si="71"/>
        <v>959.89138260430627</v>
      </c>
      <c r="DT93" s="60">
        <f ca="1">AVERAGE(OFFSET($DS$3,0,0,'Données projet'!$E$14+1,1))-AVERAGE(OFFSET($H$3,0,0,'Données projet'!$E$14+1,1))</f>
        <v>493.70175665335978</v>
      </c>
      <c r="DU93" s="60">
        <f t="shared" si="98"/>
        <v>325.12357781685949</v>
      </c>
      <c r="DV93" s="16">
        <f>IF(ISNA(VLOOKUP(A93,'Données projet'!$A$165:$I$185,3,0)),0,VLOOKUP(A93,'Données projet'!$A$165:$I$185,3,0))</f>
        <v>7</v>
      </c>
      <c r="DW93" s="16">
        <f>IF(ISNA(VLOOKUP(A93,'Données projet'!$A$165:$I$185,4,0)),0,VLOOKUP(A93,'Données projet'!$A$165:$I$185,4,0))</f>
        <v>21.153846153846153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202</v>
      </c>
      <c r="EH93" s="13">
        <f>VLOOKUP(A93,'Données projet'!$A$191:$I$211,9,0)</f>
        <v>3</v>
      </c>
      <c r="EI93" s="13">
        <f t="array" ref="EI93">INDEX(EH:EH,MIN(IF(ISNUMBER(EH93:EH289),ROW(EH93:EH289),"")))</f>
        <v>3</v>
      </c>
      <c r="EJ93" s="13">
        <f>IF('Données projet'!$A$192&gt;35,EJ92+EI93-ER92,IF(A93&lt;'Données projet'!$A$192,$EG$205^A93,IF(A93='Données projet'!$A$192,'Données projet'!$B$192,EJ92+EI93-ER92)))</f>
        <v>201.9999999999998</v>
      </c>
      <c r="EK93" s="18">
        <f>EJ93*VLOOKUP('Données projet'!$B$15,Paramètres!$A$1:$I$89,3,0)*VLOOKUP('Données projet'!$B$15,Paramètres!$A$1:$I$89,5,0)</f>
        <v>163.86239999999987</v>
      </c>
      <c r="EL93" s="14">
        <f t="shared" si="99"/>
        <v>41.712477409029042</v>
      </c>
      <c r="EM93" s="22">
        <f t="shared" si="73"/>
        <v>358.04291148739202</v>
      </c>
      <c r="EN93" s="60">
        <f t="shared" si="74"/>
        <v>651.37624482072533</v>
      </c>
      <c r="EO93" s="60">
        <f ca="1">AVERAGE(OFFSET($EN$3,0,0,'Données projet'!$E$15+1,1))-AVERAGE(OFFSET($H$3,0,0,'Données projet'!$E$15+1,1))</f>
        <v>236.22643401787644</v>
      </c>
      <c r="EP93" s="60">
        <f t="shared" si="100"/>
        <v>188.80444043778022</v>
      </c>
      <c r="EQ93" s="16">
        <f>IF(ISNA(VLOOKUP(A93,'Données projet'!$A$191:$I$211,3,0)),0,VLOOKUP(A93,'Données projet'!$A$191:$I$211,3,0))</f>
        <v>8</v>
      </c>
      <c r="ER93" s="16">
        <f>IF(ISNA(VLOOKUP(A93,'Données projet'!$A$191:$I$211,4,0)),0,VLOOKUP(A93,'Données projet'!$A$191:$I$211,4,0))</f>
        <v>202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159</v>
      </c>
      <c r="FC93" s="13">
        <f>VLOOKUP(A93,'Données projet'!$A$217:$I$237,9,0)</f>
        <v>3.2</v>
      </c>
      <c r="FD93" s="13">
        <f t="array" ref="FD93">INDEX(FC:FC,MIN(IF(ISNUMBER(FC93:FC289),ROW(FC93:FC289),"")))</f>
        <v>3.2</v>
      </c>
      <c r="FE93" s="13">
        <f>IF('Données projet'!$A$218&gt;35,FE92+FD93-FM92,IF(A93&lt;'Données projet'!$A$218,$FB$205^A93,IF(A93='Données projet'!$A$218,'Données projet'!$B$218,FE92+FD93-FM92)))</f>
        <v>158.99999999999994</v>
      </c>
      <c r="FF93" s="18">
        <f>FE93*VLOOKUP('Données projet'!$B$16,Paramètres!$A$1:$I$89,3,0)*VLOOKUP('Données projet'!$B$16,Paramètres!$A$1:$I$89,5,0)</f>
        <v>153.78479999999996</v>
      </c>
      <c r="FG93" s="14">
        <f t="shared" si="101"/>
        <v>39.437443633352295</v>
      </c>
      <c r="FH93" s="22">
        <f t="shared" si="76"/>
        <v>336.5287409947552</v>
      </c>
      <c r="FI93" s="60">
        <f t="shared" si="77"/>
        <v>629.86207432808851</v>
      </c>
      <c r="FJ93" s="60">
        <f ca="1">AVERAGE(OFFSET($FI$3,0,0,'Données projet'!$E$16+1,1))-AVERAGE(OFFSET($H$3,0,0,'Données projet'!$E$16+1,1))</f>
        <v>255.59755832175625</v>
      </c>
      <c r="FK93" s="60">
        <f t="shared" si="102"/>
        <v>154.0840647586964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0" t="e">
        <f t="shared" si="80"/>
        <v>#N/A</v>
      </c>
      <c r="GE93" s="60" t="e">
        <f ca="1">AVERAGE(OFFSET($GD$3,0,0,'Données projet'!$E$17+1,1))-AVERAGE(OFFSET($H$3,0,0,'Données projet'!$E$17+1,1))</f>
        <v>#N/A</v>
      </c>
      <c r="GF93" s="60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7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0" t="e">
        <f t="shared" si="83"/>
        <v>#N/A</v>
      </c>
      <c r="GZ93" s="60" t="e">
        <f ca="1">AVERAGE(OFFSET($GY$3,0,0,'Données projet'!$E$18+1,1))-AVERAGE(OFFSET($H$3,0,0,'Données projet'!$E$18+1,1))</f>
        <v>#N/A</v>
      </c>
      <c r="HA93" s="60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5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68">
        <f t="shared" si="56"/>
        <v>256.66666666666669</v>
      </c>
      <c r="I94" s="7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0" t="e">
        <f t="shared" si="55"/>
        <v>#NUM!</v>
      </c>
      <c r="S94" s="60">
        <f ca="1">AVERAGE(OFFSET($R$3,0,0,'Données projet'!$E$9+1,1))-AVERAGE(OFFSET($H$3,0,0,'Données projet'!$E$9+1,1))</f>
        <v>64.775385872852041</v>
      </c>
      <c r="T94" s="60">
        <f t="shared" si="88"/>
        <v>201.69061202990468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9.6012580927767992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3.9785874915174912E-11</v>
      </c>
      <c r="AC94" s="24">
        <f t="shared" si="57"/>
        <v>9.6012580928165843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262.52460000000002</v>
      </c>
      <c r="AK94" s="14">
        <f t="shared" si="89"/>
        <v>63.260217631774687</v>
      </c>
      <c r="AL94" s="22">
        <f t="shared" si="58"/>
        <v>567.40855737534105</v>
      </c>
      <c r="AM94" s="60">
        <f t="shared" si="59"/>
        <v>860.74189070867442</v>
      </c>
      <c r="AN94" s="60">
        <f ca="1">AVERAGE(OFFSET($AM$3,0,0,'Données projet'!$E$10+1,1))-AVERAGE(OFFSET($H$3,0,0,'Données projet'!$E$10+1,1))</f>
        <v>475.47920969424894</v>
      </c>
      <c r="AO94" s="60">
        <f t="shared" si="90"/>
        <v>271.73544012419364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7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6.7984728957526396E-14</v>
      </c>
      <c r="BF94" s="14">
        <f t="shared" si="91"/>
        <v>1.0682447123141398E-12</v>
      </c>
      <c r="BG94" s="22">
        <f t="shared" si="61"/>
        <v>1.978932943548152E-12</v>
      </c>
      <c r="BH94" s="60">
        <f t="shared" si="62"/>
        <v>293.3333333333353</v>
      </c>
      <c r="BI94" s="60">
        <f ca="1">AVERAGE(OFFSET($BH$3,0,0,'Données projet'!$E$11+1,1))-AVERAGE(OFFSET($H$3,0,0,'Données projet'!$E$11+1,1))</f>
        <v>260.02504691866199</v>
      </c>
      <c r="BJ94" s="60">
        <f t="shared" si="92"/>
        <v>270.11268336406368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2.9902550065531819</v>
      </c>
      <c r="BQ94" s="23">
        <f>EXP(-LN(2)/25)*BQ93+(1-EXP(-LN(2)/25))/(LN(2)/25)*Calculateur!BL94*Calculateur!BN94*VLOOKUP('Données projet'!$B$11,Paramètres!$A$1:$I$89,3,0)*0.475*44/12</f>
        <v>3.0288930072813764</v>
      </c>
      <c r="BR94" s="23">
        <f>EXP(-LN(2)/2)*BR93+(1-EXP(-LN(2)/2))/(LN(2)/2)*BL94*BO94*VLOOKUP('Données projet'!$B$11,Paramètres!$A$1:$I$89,3,0)*0.475*44/12</f>
        <v>4.175146461763073E-9</v>
      </c>
      <c r="BS94" s="24">
        <f t="shared" si="63"/>
        <v>6.0191480180097043</v>
      </c>
      <c r="BT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8.1391025641025667</v>
      </c>
      <c r="BY94" s="13">
        <f>IF('Données projet'!$A$114&gt;35,BY93+BX94-CG93,IF(A94&lt;'Données projet'!$A$114,$BV$205^A94,IF(A94='Données projet'!$A$114,'Données projet'!$B$114,BY93+BX94-CG93)))</f>
        <v>332.7564102564105</v>
      </c>
      <c r="BZ94" s="14">
        <f>BY94*VLOOKUP('Données projet'!$B$12,Paramètres!$A$1:$I$89,3,0)*VLOOKUP('Données projet'!$B$12,Paramètres!$A$1:$I$89,5,0)</f>
        <v>155.7300000000001</v>
      </c>
      <c r="CA94" s="14">
        <f t="shared" si="93"/>
        <v>39.877894002833592</v>
      </c>
      <c r="CB94" s="22">
        <f t="shared" si="64"/>
        <v>340.68374872160194</v>
      </c>
      <c r="CC94" s="60">
        <f t="shared" si="65"/>
        <v>634.01708205493526</v>
      </c>
      <c r="CD94" s="60">
        <f ca="1">AVERAGE(OFFSET($CC$3,0,0,'Données projet'!$E$12+1,1))-AVERAGE(OFFSET($H$3,0,0,'Données projet'!$E$12+1,1))</f>
        <v>246.72166704460847</v>
      </c>
      <c r="CE94" s="60">
        <f t="shared" si="94"/>
        <v>145.54897745089966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4.9000000000000004</v>
      </c>
      <c r="CT94" s="13">
        <f>IF('Données projet'!$A$140&gt;35,CT93+CS94-DB93,IF(A94&lt;'Données projet'!$A$140,$CQ$205^A94,IF(A94='Données projet'!$A$140,'Données projet'!$B$140,CT93+CS94-DB93)))</f>
        <v>258.90000000000003</v>
      </c>
      <c r="CU94" s="18">
        <f>CT94*VLOOKUP('Données projet'!$B$13,Paramètres!$A$1:$I$89,3,0)*VLOOKUP('Données projet'!$B$13,Paramètres!$A$1:$I$89,5,0)</f>
        <v>234.25272000000001</v>
      </c>
      <c r="CV94" s="14">
        <f t="shared" si="95"/>
        <v>57.201236231171301</v>
      </c>
      <c r="CW94" s="22">
        <f t="shared" si="67"/>
        <v>507.61564043595672</v>
      </c>
      <c r="CX94" s="60">
        <f t="shared" si="68"/>
        <v>800.94897376928998</v>
      </c>
      <c r="CY94" s="60">
        <f ca="1">AVERAGE(OFFSET($CX$3,0,0,'Données projet'!$E$13+1,1))-AVERAGE(OFFSET($H$3,0,0,'Données projet'!$E$13+1,1))</f>
        <v>428.8489304403459</v>
      </c>
      <c r="CZ94" s="60">
        <f t="shared" si="96"/>
        <v>247.01165577562966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3.4615384615384586</v>
      </c>
      <c r="DO94" s="13">
        <f>IF('Données projet'!$A$166&gt;35,DO93+DN94-DW93,IF(A94&lt;'Données projet'!$A$166,$DL$205^A94,IF(A94='Données projet'!$A$166,'Données projet'!$B$166,DO93+DN94-DW93)))</f>
        <v>278.46153846153828</v>
      </c>
      <c r="DP94" s="18">
        <f>DO94*VLOOKUP('Données projet'!$B$14,Paramètres!$A$1:$I$89,3,0)*VLOOKUP('Données projet'!$B$14,Paramètres!$A$1:$I$89,5,0)</f>
        <v>291.04799999999983</v>
      </c>
      <c r="DQ94" s="14">
        <f t="shared" si="97"/>
        <v>69.296484438588436</v>
      </c>
      <c r="DR94" s="22">
        <f t="shared" si="70"/>
        <v>627.59997706387446</v>
      </c>
      <c r="DS94" s="60">
        <f t="shared" si="71"/>
        <v>920.93331039720783</v>
      </c>
      <c r="DT94" s="60">
        <f ca="1">AVERAGE(OFFSET($DS$3,0,0,'Données projet'!$E$14+1,1))-AVERAGE(OFFSET($H$3,0,0,'Données projet'!$E$14+1,1))</f>
        <v>493.70175665335978</v>
      </c>
      <c r="DU94" s="60">
        <f t="shared" si="98"/>
        <v>325.12357781685949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-1.9895196601282805E-13</v>
      </c>
      <c r="EK94" s="18">
        <f>EJ94*VLOOKUP('Données projet'!$B$15,Paramètres!$A$1:$I$89,3,0)*VLOOKUP('Données projet'!$B$15,Paramètres!$A$1:$I$89,5,0)</f>
        <v>-1.6138983482960614E-13</v>
      </c>
      <c r="EL94" s="14" t="e">
        <f t="shared" si="99"/>
        <v>#NUM!</v>
      </c>
      <c r="EM94" s="22" t="e">
        <f t="shared" si="73"/>
        <v>#NUM!</v>
      </c>
      <c r="EN94" s="60" t="e">
        <f t="shared" si="74"/>
        <v>#NUM!</v>
      </c>
      <c r="EO94" s="60">
        <f ca="1">AVERAGE(OFFSET($EN$3,0,0,'Données projet'!$E$15+1,1))-AVERAGE(OFFSET($H$3,0,0,'Données projet'!$E$15+1,1))</f>
        <v>236.22643401787644</v>
      </c>
      <c r="EP94" s="60">
        <f t="shared" si="100"/>
        <v>188.80444043778022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2.8</v>
      </c>
      <c r="FE94" s="13">
        <f>IF('Données projet'!$A$218&gt;35,FE93+FD94-FM93,IF(A94&lt;'Données projet'!$A$218,$FB$205^A94,IF(A94='Données projet'!$A$218,'Données projet'!$B$218,FE93+FD94-FM93)))</f>
        <v>161.79999999999995</v>
      </c>
      <c r="FF94" s="18">
        <f>FE94*VLOOKUP('Données projet'!$B$16,Paramètres!$A$1:$I$89,3,0)*VLOOKUP('Données projet'!$B$16,Paramètres!$A$1:$I$89,5,0)</f>
        <v>156.49295999999995</v>
      </c>
      <c r="FG94" s="14">
        <f t="shared" si="101"/>
        <v>40.050475321231751</v>
      </c>
      <c r="FH94" s="22">
        <f t="shared" si="76"/>
        <v>342.31314985114523</v>
      </c>
      <c r="FI94" s="60">
        <f t="shared" si="77"/>
        <v>635.64648318447848</v>
      </c>
      <c r="FJ94" s="60">
        <f ca="1">AVERAGE(OFFSET($FI$3,0,0,'Données projet'!$E$16+1,1))-AVERAGE(OFFSET($H$3,0,0,'Données projet'!$E$16+1,1))</f>
        <v>255.59755832175625</v>
      </c>
      <c r="FK94" s="60">
        <f t="shared" si="102"/>
        <v>154.0840647586964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0" t="e">
        <f t="shared" si="80"/>
        <v>#N/A</v>
      </c>
      <c r="GE94" s="60" t="e">
        <f ca="1">AVERAGE(OFFSET($GD$3,0,0,'Données projet'!$E$17+1,1))-AVERAGE(OFFSET($H$3,0,0,'Données projet'!$E$17+1,1))</f>
        <v>#N/A</v>
      </c>
      <c r="GF94" s="60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7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0" t="e">
        <f t="shared" si="83"/>
        <v>#N/A</v>
      </c>
      <c r="GZ94" s="60" t="e">
        <f ca="1">AVERAGE(OFFSET($GY$3,0,0,'Données projet'!$E$18+1,1))-AVERAGE(OFFSET($H$3,0,0,'Données projet'!$E$18+1,1))</f>
        <v>#N/A</v>
      </c>
      <c r="HA94" s="60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5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68">
        <f t="shared" si="56"/>
        <v>256.66666666666669</v>
      </c>
      <c r="I95" s="7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0" t="e">
        <f t="shared" si="55"/>
        <v>#NUM!</v>
      </c>
      <c r="S95" s="60">
        <f ca="1">AVERAGE(OFFSET($R$3,0,0,'Données projet'!$E$9+1,1))-AVERAGE(OFFSET($H$3,0,0,'Données projet'!$E$9+1,1))</f>
        <v>64.775385872852041</v>
      </c>
      <c r="T95" s="60">
        <f t="shared" si="88"/>
        <v>201.69061202990468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9.4129832777666316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2.8132861947959937E-11</v>
      </c>
      <c r="AC95" s="24">
        <f t="shared" si="57"/>
        <v>9.4129832777947637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267.49320000000006</v>
      </c>
      <c r="AK95" s="14">
        <f t="shared" si="89"/>
        <v>64.316974590266341</v>
      </c>
      <c r="AL95" s="22">
        <f t="shared" si="58"/>
        <v>577.90272074471397</v>
      </c>
      <c r="AM95" s="60">
        <f t="shared" si="59"/>
        <v>871.23605407804735</v>
      </c>
      <c r="AN95" s="60">
        <f ca="1">AVERAGE(OFFSET($AM$3,0,0,'Données projet'!$E$10+1,1))-AVERAGE(OFFSET($H$3,0,0,'Données projet'!$E$10+1,1))</f>
        <v>475.47920969424894</v>
      </c>
      <c r="AO95" s="60">
        <f t="shared" si="90"/>
        <v>271.73544012419364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7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6.7984728957526396E-14</v>
      </c>
      <c r="BF95" s="14">
        <f t="shared" si="91"/>
        <v>1.0682447123141398E-12</v>
      </c>
      <c r="BG95" s="22">
        <f t="shared" si="61"/>
        <v>1.978932943548152E-12</v>
      </c>
      <c r="BH95" s="60">
        <f t="shared" si="62"/>
        <v>293.3333333333353</v>
      </c>
      <c r="BI95" s="60">
        <f ca="1">AVERAGE(OFFSET($BH$3,0,0,'Données projet'!$E$11+1,1))-AVERAGE(OFFSET($H$3,0,0,'Données projet'!$E$11+1,1))</f>
        <v>260.02504691866199</v>
      </c>
      <c r="BJ95" s="60">
        <f t="shared" si="92"/>
        <v>270.11268336406368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2.9316179297501352</v>
      </c>
      <c r="BQ95" s="23">
        <f>EXP(-LN(2)/25)*BQ94+(1-EXP(-LN(2)/25))/(LN(2)/25)*Calculateur!BL95*Calculateur!BN95*VLOOKUP('Données projet'!$B$11,Paramètres!$A$1:$I$89,3,0)*0.475*44/12</f>
        <v>2.9460677687147068</v>
      </c>
      <c r="BR95" s="23">
        <f>EXP(-LN(2)/2)*BR94+(1-EXP(-LN(2)/2))/(LN(2)/2)*BL95*BO95*VLOOKUP('Données projet'!$B$11,Paramètres!$A$1:$I$89,3,0)*0.475*44/12</f>
        <v>2.9522743755596894E-9</v>
      </c>
      <c r="BS95" s="24">
        <f t="shared" si="63"/>
        <v>5.877685701417116</v>
      </c>
      <c r="BT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8.1391025641025667</v>
      </c>
      <c r="BY95" s="13">
        <f>IF('Données projet'!$A$114&gt;35,BY94+BX95-CG94,IF(A95&lt;'Données projet'!$A$114,$BV$205^A95,IF(A95='Données projet'!$A$114,'Données projet'!$B$114,BY94+BX95-CG94)))</f>
        <v>340.89551282051309</v>
      </c>
      <c r="BZ95" s="14">
        <f>BY95*VLOOKUP('Données projet'!$B$12,Paramètres!$A$1:$I$89,3,0)*VLOOKUP('Données projet'!$B$12,Paramètres!$A$1:$I$89,5,0)</f>
        <v>159.53910000000013</v>
      </c>
      <c r="CA95" s="14">
        <f t="shared" si="93"/>
        <v>40.73854067777345</v>
      </c>
      <c r="CB95" s="22">
        <f t="shared" si="64"/>
        <v>348.81689084712229</v>
      </c>
      <c r="CC95" s="60">
        <f t="shared" si="65"/>
        <v>642.15022418045555</v>
      </c>
      <c r="CD95" s="60">
        <f ca="1">AVERAGE(OFFSET($CC$3,0,0,'Données projet'!$E$12+1,1))-AVERAGE(OFFSET($H$3,0,0,'Données projet'!$E$12+1,1))</f>
        <v>246.72166704460847</v>
      </c>
      <c r="CE95" s="60">
        <f t="shared" si="94"/>
        <v>145.54897745089966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4.9000000000000004</v>
      </c>
      <c r="CT95" s="13">
        <f>IF('Données projet'!$A$140&gt;35,CT94+CS95-DB94,IF(A95&lt;'Données projet'!$A$140,$CQ$205^A95,IF(A95='Données projet'!$A$140,'Données projet'!$B$140,CT94+CS95-DB94)))</f>
        <v>263.8</v>
      </c>
      <c r="CU95" s="18">
        <f>CT95*VLOOKUP('Données projet'!$B$13,Paramètres!$A$1:$I$89,3,0)*VLOOKUP('Données projet'!$B$13,Paramètres!$A$1:$I$89,5,0)</f>
        <v>238.68624</v>
      </c>
      <c r="CV95" s="14">
        <f t="shared" si="95"/>
        <v>58.156778382060871</v>
      </c>
      <c r="CW95" s="22">
        <f t="shared" si="67"/>
        <v>517.00159034875594</v>
      </c>
      <c r="CX95" s="60">
        <f t="shared" si="68"/>
        <v>810.33492368208931</v>
      </c>
      <c r="CY95" s="60">
        <f ca="1">AVERAGE(OFFSET($CX$3,0,0,'Données projet'!$E$13+1,1))-AVERAGE(OFFSET($H$3,0,0,'Données projet'!$E$13+1,1))</f>
        <v>428.8489304403459</v>
      </c>
      <c r="CZ95" s="60">
        <f t="shared" si="96"/>
        <v>247.01165577562966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3.4615384615384586</v>
      </c>
      <c r="DO95" s="13">
        <f>IF('Données projet'!$A$166&gt;35,DO94+DN95-DW94,IF(A95&lt;'Données projet'!$A$166,$DL$205^A95,IF(A95='Données projet'!$A$166,'Données projet'!$B$166,DO94+DN95-DW94)))</f>
        <v>281.92307692307674</v>
      </c>
      <c r="DP95" s="18">
        <f>DO95*VLOOKUP('Données projet'!$B$14,Paramètres!$A$1:$I$89,3,0)*VLOOKUP('Données projet'!$B$14,Paramètres!$A$1:$I$89,5,0)</f>
        <v>294.66599999999983</v>
      </c>
      <c r="DQ95" s="14">
        <f t="shared" si="97"/>
        <v>70.057087344971222</v>
      </c>
      <c r="DR95" s="22">
        <f t="shared" si="70"/>
        <v>635.22604379249128</v>
      </c>
      <c r="DS95" s="60">
        <f t="shared" si="71"/>
        <v>928.55937712582454</v>
      </c>
      <c r="DT95" s="60">
        <f ca="1">AVERAGE(OFFSET($DS$3,0,0,'Données projet'!$E$14+1,1))-AVERAGE(OFFSET($H$3,0,0,'Données projet'!$E$14+1,1))</f>
        <v>493.70175665335978</v>
      </c>
      <c r="DU95" s="60">
        <f t="shared" si="98"/>
        <v>325.12357781685949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-1.9895196601282805E-13</v>
      </c>
      <c r="EK95" s="18">
        <f>EJ95*VLOOKUP('Données projet'!$B$15,Paramètres!$A$1:$I$89,3,0)*VLOOKUP('Données projet'!$B$15,Paramètres!$A$1:$I$89,5,0)</f>
        <v>-1.6138983482960614E-13</v>
      </c>
      <c r="EL95" s="14" t="e">
        <f t="shared" si="99"/>
        <v>#NUM!</v>
      </c>
      <c r="EM95" s="22" t="e">
        <f t="shared" si="73"/>
        <v>#NUM!</v>
      </c>
      <c r="EN95" s="60" t="e">
        <f t="shared" si="74"/>
        <v>#NUM!</v>
      </c>
      <c r="EO95" s="60">
        <f ca="1">AVERAGE(OFFSET($EN$3,0,0,'Données projet'!$E$15+1,1))-AVERAGE(OFFSET($H$3,0,0,'Données projet'!$E$15+1,1))</f>
        <v>236.22643401787644</v>
      </c>
      <c r="EP95" s="60">
        <f t="shared" si="100"/>
        <v>188.80444043778022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2.8</v>
      </c>
      <c r="FE95" s="13">
        <f>IF('Données projet'!$A$218&gt;35,FE94+FD95-FM94,IF(A95&lt;'Données projet'!$A$218,$FB$205^A95,IF(A95='Données projet'!$A$218,'Données projet'!$B$218,FE94+FD95-FM94)))</f>
        <v>164.59999999999997</v>
      </c>
      <c r="FF95" s="18">
        <f>FE95*VLOOKUP('Données projet'!$B$16,Paramètres!$A$1:$I$89,3,0)*VLOOKUP('Données projet'!$B$16,Paramètres!$A$1:$I$89,5,0)</f>
        <v>159.20111999999997</v>
      </c>
      <c r="FG95" s="14">
        <f t="shared" si="101"/>
        <v>40.662273333437703</v>
      </c>
      <c r="FH95" s="22">
        <f t="shared" si="76"/>
        <v>348.09541005573732</v>
      </c>
      <c r="FI95" s="60">
        <f t="shared" si="77"/>
        <v>641.42874338907063</v>
      </c>
      <c r="FJ95" s="60">
        <f ca="1">AVERAGE(OFFSET($FI$3,0,0,'Données projet'!$E$16+1,1))-AVERAGE(OFFSET($H$3,0,0,'Données projet'!$E$16+1,1))</f>
        <v>255.59755832175625</v>
      </c>
      <c r="FK95" s="60">
        <f t="shared" si="102"/>
        <v>154.0840647586964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0" t="e">
        <f t="shared" si="80"/>
        <v>#N/A</v>
      </c>
      <c r="GE95" s="60" t="e">
        <f ca="1">AVERAGE(OFFSET($GD$3,0,0,'Données projet'!$E$17+1,1))-AVERAGE(OFFSET($H$3,0,0,'Données projet'!$E$17+1,1))</f>
        <v>#N/A</v>
      </c>
      <c r="GF95" s="60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7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0" t="e">
        <f t="shared" si="83"/>
        <v>#N/A</v>
      </c>
      <c r="GZ95" s="60" t="e">
        <f ca="1">AVERAGE(OFFSET($GY$3,0,0,'Données projet'!$E$18+1,1))-AVERAGE(OFFSET($H$3,0,0,'Données projet'!$E$18+1,1))</f>
        <v>#N/A</v>
      </c>
      <c r="HA95" s="60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5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68">
        <f t="shared" si="56"/>
        <v>256.66666666666669</v>
      </c>
      <c r="I96" s="7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0" t="e">
        <f t="shared" si="55"/>
        <v>#NUM!</v>
      </c>
      <c r="S96" s="60">
        <f ca="1">AVERAGE(OFFSET($R$3,0,0,'Données projet'!$E$9+1,1))-AVERAGE(OFFSET($H$3,0,0,'Données projet'!$E$9+1,1))</f>
        <v>64.775385872852041</v>
      </c>
      <c r="T96" s="60">
        <f t="shared" si="88"/>
        <v>201.69061202990468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9.2284004170425167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1.9892937457587456E-11</v>
      </c>
      <c r="AC96" s="24">
        <f t="shared" si="57"/>
        <v>9.2284004170624101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272.46180000000004</v>
      </c>
      <c r="AK96" s="14">
        <f t="shared" si="89"/>
        <v>65.371449071921944</v>
      </c>
      <c r="AL96" s="22">
        <f t="shared" si="58"/>
        <v>588.39290880026408</v>
      </c>
      <c r="AM96" s="60">
        <f t="shared" si="59"/>
        <v>881.72624213359745</v>
      </c>
      <c r="AN96" s="60">
        <f ca="1">AVERAGE(OFFSET($AM$3,0,0,'Données projet'!$E$10+1,1))-AVERAGE(OFFSET($H$3,0,0,'Données projet'!$E$10+1,1))</f>
        <v>475.47920969424894</v>
      </c>
      <c r="AO96" s="60">
        <f t="shared" si="90"/>
        <v>271.73544012419364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7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6.7984728957526396E-14</v>
      </c>
      <c r="BF96" s="14">
        <f t="shared" si="91"/>
        <v>1.0682447123141398E-12</v>
      </c>
      <c r="BG96" s="22">
        <f t="shared" si="61"/>
        <v>1.978932943548152E-12</v>
      </c>
      <c r="BH96" s="60">
        <f t="shared" si="62"/>
        <v>293.3333333333353</v>
      </c>
      <c r="BI96" s="60">
        <f ca="1">AVERAGE(OFFSET($BH$3,0,0,'Données projet'!$E$11+1,1))-AVERAGE(OFFSET($H$3,0,0,'Données projet'!$E$11+1,1))</f>
        <v>260.02504691866199</v>
      </c>
      <c r="BJ96" s="60">
        <f t="shared" si="92"/>
        <v>270.11268336406368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2.8741306902581112</v>
      </c>
      <c r="BQ96" s="23">
        <f>EXP(-LN(2)/25)*BQ95+(1-EXP(-LN(2)/25))/(LN(2)/25)*Calculateur!BL96*Calculateur!BN96*VLOOKUP('Données projet'!$B$11,Paramètres!$A$1:$I$89,3,0)*0.475*44/12</f>
        <v>2.8655073906522324</v>
      </c>
      <c r="BR96" s="23">
        <f>EXP(-LN(2)/2)*BR95+(1-EXP(-LN(2)/2))/(LN(2)/2)*BL96*BO96*VLOOKUP('Données projet'!$B$11,Paramètres!$A$1:$I$89,3,0)*0.475*44/12</f>
        <v>2.0875732308815365E-9</v>
      </c>
      <c r="BS96" s="24">
        <f t="shared" si="63"/>
        <v>5.7396380829979172</v>
      </c>
      <c r="BT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8.1391025641025667</v>
      </c>
      <c r="BY96" s="13">
        <f>IF('Données projet'!$A$114&gt;35,BY95+BX96-CG95,IF(A96&lt;'Données projet'!$A$114,$BV$205^A96,IF(A96='Données projet'!$A$114,'Données projet'!$B$114,BY95+BX96-CG95)))</f>
        <v>349.03461538461568</v>
      </c>
      <c r="BZ96" s="14">
        <f>BY96*VLOOKUP('Données projet'!$B$12,Paramètres!$A$1:$I$89,3,0)*VLOOKUP('Données projet'!$B$12,Paramètres!$A$1:$I$89,5,0)</f>
        <v>163.34820000000013</v>
      </c>
      <c r="CA96" s="14">
        <f t="shared" si="93"/>
        <v>41.596798587958098</v>
      </c>
      <c r="CB96" s="22">
        <f t="shared" si="64"/>
        <v>356.94587254069387</v>
      </c>
      <c r="CC96" s="60">
        <f t="shared" si="65"/>
        <v>650.27920587402718</v>
      </c>
      <c r="CD96" s="60">
        <f ca="1">AVERAGE(OFFSET($CC$3,0,0,'Données projet'!$E$12+1,1))-AVERAGE(OFFSET($H$3,0,0,'Données projet'!$E$12+1,1))</f>
        <v>246.72166704460847</v>
      </c>
      <c r="CE96" s="60">
        <f t="shared" si="94"/>
        <v>145.54897745089966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4.9000000000000004</v>
      </c>
      <c r="CT96" s="13">
        <f>IF('Données projet'!$A$140&gt;35,CT95+CS96-DB95,IF(A96&lt;'Données projet'!$A$140,$CQ$205^A96,IF(A96='Données projet'!$A$140,'Données projet'!$B$140,CT95+CS96-DB95)))</f>
        <v>268.7</v>
      </c>
      <c r="CU96" s="18">
        <f>CT96*VLOOKUP('Données projet'!$B$13,Paramètres!$A$1:$I$89,3,0)*VLOOKUP('Données projet'!$B$13,Paramètres!$A$1:$I$89,5,0)</f>
        <v>243.11975999999996</v>
      </c>
      <c r="CV96" s="14">
        <f t="shared" si="95"/>
        <v>59.110256668778533</v>
      </c>
      <c r="CW96" s="22">
        <f t="shared" si="67"/>
        <v>526.3839456981226</v>
      </c>
      <c r="CX96" s="60">
        <f t="shared" si="68"/>
        <v>819.71727903145597</v>
      </c>
      <c r="CY96" s="60">
        <f ca="1">AVERAGE(OFFSET($CX$3,0,0,'Données projet'!$E$13+1,1))-AVERAGE(OFFSET($H$3,0,0,'Données projet'!$E$13+1,1))</f>
        <v>428.8489304403459</v>
      </c>
      <c r="CZ96" s="60">
        <f t="shared" si="96"/>
        <v>247.01165577562966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3.4615384615384586</v>
      </c>
      <c r="DO96" s="13">
        <f>IF('Données projet'!$A$166&gt;35,DO95+DN96-DW95,IF(A96&lt;'Données projet'!$A$166,$DL$205^A96,IF(A96='Données projet'!$A$166,'Données projet'!$B$166,DO95+DN96-DW95)))</f>
        <v>285.38461538461519</v>
      </c>
      <c r="DP96" s="18">
        <f>DO96*VLOOKUP('Données projet'!$B$14,Paramètres!$A$1:$I$89,3,0)*VLOOKUP('Données projet'!$B$14,Paramètres!$A$1:$I$89,5,0)</f>
        <v>298.28399999999982</v>
      </c>
      <c r="DQ96" s="14">
        <f t="shared" si="97"/>
        <v>70.816603948985517</v>
      </c>
      <c r="DR96" s="22">
        <f t="shared" si="70"/>
        <v>642.8502185444828</v>
      </c>
      <c r="DS96" s="60">
        <f t="shared" si="71"/>
        <v>936.18355187781617</v>
      </c>
      <c r="DT96" s="60">
        <f ca="1">AVERAGE(OFFSET($DS$3,0,0,'Données projet'!$E$14+1,1))-AVERAGE(OFFSET($H$3,0,0,'Données projet'!$E$14+1,1))</f>
        <v>493.70175665335978</v>
      </c>
      <c r="DU96" s="60">
        <f t="shared" si="98"/>
        <v>325.12357781685949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-1.9895196601282805E-13</v>
      </c>
      <c r="EK96" s="18">
        <f>EJ96*VLOOKUP('Données projet'!$B$15,Paramètres!$A$1:$I$89,3,0)*VLOOKUP('Données projet'!$B$15,Paramètres!$A$1:$I$89,5,0)</f>
        <v>-1.6138983482960614E-13</v>
      </c>
      <c r="EL96" s="14" t="e">
        <f t="shared" si="99"/>
        <v>#NUM!</v>
      </c>
      <c r="EM96" s="22" t="e">
        <f t="shared" si="73"/>
        <v>#NUM!</v>
      </c>
      <c r="EN96" s="60" t="e">
        <f t="shared" si="74"/>
        <v>#NUM!</v>
      </c>
      <c r="EO96" s="60">
        <f ca="1">AVERAGE(OFFSET($EN$3,0,0,'Données projet'!$E$15+1,1))-AVERAGE(OFFSET($H$3,0,0,'Données projet'!$E$15+1,1))</f>
        <v>236.22643401787644</v>
      </c>
      <c r="EP96" s="60">
        <f t="shared" si="100"/>
        <v>188.80444043778022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2.8</v>
      </c>
      <c r="FE96" s="13">
        <f>IF('Données projet'!$A$218&gt;35,FE95+FD96-FM95,IF(A96&lt;'Données projet'!$A$218,$FB$205^A96,IF(A96='Données projet'!$A$218,'Données projet'!$B$218,FE95+FD96-FM95)))</f>
        <v>167.39999999999998</v>
      </c>
      <c r="FF96" s="18">
        <f>FE96*VLOOKUP('Données projet'!$B$16,Paramètres!$A$1:$I$89,3,0)*VLOOKUP('Données projet'!$B$16,Paramètres!$A$1:$I$89,5,0)</f>
        <v>161.90927999999997</v>
      </c>
      <c r="FG96" s="14">
        <f t="shared" si="101"/>
        <v>41.272861077810653</v>
      </c>
      <c r="FH96" s="22">
        <f t="shared" si="76"/>
        <v>353.87556237718678</v>
      </c>
      <c r="FI96" s="60">
        <f t="shared" si="77"/>
        <v>647.2088957105201</v>
      </c>
      <c r="FJ96" s="60">
        <f ca="1">AVERAGE(OFFSET($FI$3,0,0,'Données projet'!$E$16+1,1))-AVERAGE(OFFSET($H$3,0,0,'Données projet'!$E$16+1,1))</f>
        <v>255.59755832175625</v>
      </c>
      <c r="FK96" s="60">
        <f t="shared" si="102"/>
        <v>154.0840647586964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0" t="e">
        <f t="shared" si="80"/>
        <v>#N/A</v>
      </c>
      <c r="GE96" s="60" t="e">
        <f ca="1">AVERAGE(OFFSET($GD$3,0,0,'Données projet'!$E$17+1,1))-AVERAGE(OFFSET($H$3,0,0,'Données projet'!$E$17+1,1))</f>
        <v>#N/A</v>
      </c>
      <c r="GF96" s="60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7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0" t="e">
        <f t="shared" si="83"/>
        <v>#N/A</v>
      </c>
      <c r="GZ96" s="60" t="e">
        <f ca="1">AVERAGE(OFFSET($GY$3,0,0,'Données projet'!$E$18+1,1))-AVERAGE(OFFSET($H$3,0,0,'Données projet'!$E$18+1,1))</f>
        <v>#N/A</v>
      </c>
      <c r="HA96" s="60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5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68">
        <f t="shared" si="56"/>
        <v>256.66666666666669</v>
      </c>
      <c r="I97" s="7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0" t="e">
        <f t="shared" si="55"/>
        <v>#NUM!</v>
      </c>
      <c r="S97" s="60">
        <f ca="1">AVERAGE(OFFSET($R$3,0,0,'Données projet'!$E$9+1,1))-AVERAGE(OFFSET($H$3,0,0,'Données projet'!$E$9+1,1))</f>
        <v>64.775385872852041</v>
      </c>
      <c r="T97" s="60">
        <f t="shared" si="88"/>
        <v>201.69061202990468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9.0474371136327729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1.4066430973979968E-11</v>
      </c>
      <c r="AC97" s="24">
        <f t="shared" si="57"/>
        <v>9.0474371136468399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277.43039999999996</v>
      </c>
      <c r="AK97" s="14">
        <f t="shared" si="89"/>
        <v>66.423687500715673</v>
      </c>
      <c r="AL97" s="22">
        <f t="shared" si="58"/>
        <v>598.87920239707967</v>
      </c>
      <c r="AM97" s="60">
        <f t="shared" si="59"/>
        <v>892.21253573041304</v>
      </c>
      <c r="AN97" s="60">
        <f ca="1">AVERAGE(OFFSET($AM$3,0,0,'Données projet'!$E$10+1,1))-AVERAGE(OFFSET($H$3,0,0,'Données projet'!$E$10+1,1))</f>
        <v>475.47920969424894</v>
      </c>
      <c r="AO97" s="60">
        <f t="shared" si="90"/>
        <v>271.73544012419364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7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6.7984728957526396E-14</v>
      </c>
      <c r="BF97" s="14">
        <f t="shared" si="91"/>
        <v>1.0682447123141398E-12</v>
      </c>
      <c r="BG97" s="22">
        <f t="shared" si="61"/>
        <v>1.978932943548152E-12</v>
      </c>
      <c r="BH97" s="60">
        <f t="shared" si="62"/>
        <v>293.3333333333353</v>
      </c>
      <c r="BI97" s="60">
        <f ca="1">AVERAGE(OFFSET($BH$3,0,0,'Données projet'!$E$11+1,1))-AVERAGE(OFFSET($H$3,0,0,'Données projet'!$E$11+1,1))</f>
        <v>260.02504691866199</v>
      </c>
      <c r="BJ97" s="60">
        <f t="shared" si="92"/>
        <v>270.11268336406368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2.8177707404687715</v>
      </c>
      <c r="BQ97" s="23">
        <f>EXP(-LN(2)/25)*BQ96+(1-EXP(-LN(2)/25))/(LN(2)/25)*Calculateur!BL97*Calculateur!BN97*VLOOKUP('Données projet'!$B$11,Paramètres!$A$1:$I$89,3,0)*0.475*44/12</f>
        <v>2.7871499403643627</v>
      </c>
      <c r="BR97" s="23">
        <f>EXP(-LN(2)/2)*BR96+(1-EXP(-LN(2)/2))/(LN(2)/2)*BL97*BO97*VLOOKUP('Données projet'!$B$11,Paramètres!$A$1:$I$89,3,0)*0.475*44/12</f>
        <v>1.4761371877798447E-9</v>
      </c>
      <c r="BS97" s="24">
        <f t="shared" si="63"/>
        <v>5.6049206823092712</v>
      </c>
      <c r="BT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8.1391025641025667</v>
      </c>
      <c r="BY97" s="13">
        <f>IF('Données projet'!$A$114&gt;35,BY96+BX97-CG96,IF(A97&lt;'Données projet'!$A$114,$BV$205^A97,IF(A97='Données projet'!$A$114,'Données projet'!$B$114,BY96+BX97-CG96)))</f>
        <v>357.17371794871826</v>
      </c>
      <c r="BZ97" s="14">
        <f>BY97*VLOOKUP('Données projet'!$B$12,Paramètres!$A$1:$I$89,3,0)*VLOOKUP('Données projet'!$B$12,Paramètres!$A$1:$I$89,5,0)</f>
        <v>167.15730000000016</v>
      </c>
      <c r="CA97" s="14">
        <f t="shared" si="93"/>
        <v>42.452729847677681</v>
      </c>
      <c r="CB97" s="22">
        <f t="shared" si="64"/>
        <v>365.07080198470561</v>
      </c>
      <c r="CC97" s="60">
        <f t="shared" si="65"/>
        <v>658.40413531803893</v>
      </c>
      <c r="CD97" s="60">
        <f ca="1">AVERAGE(OFFSET($CC$3,0,0,'Données projet'!$E$12+1,1))-AVERAGE(OFFSET($H$3,0,0,'Données projet'!$E$12+1,1))</f>
        <v>246.72166704460847</v>
      </c>
      <c r="CE97" s="60">
        <f t="shared" si="94"/>
        <v>145.54897745089966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4.9000000000000004</v>
      </c>
      <c r="CT97" s="13">
        <f>IF('Données projet'!$A$140&gt;35,CT96+CS97-DB96,IF(A97&lt;'Données projet'!$A$140,$CQ$205^A97,IF(A97='Données projet'!$A$140,'Données projet'!$B$140,CT96+CS97-DB96)))</f>
        <v>273.59999999999997</v>
      </c>
      <c r="CU97" s="18">
        <f>CT97*VLOOKUP('Données projet'!$B$13,Paramètres!$A$1:$I$89,3,0)*VLOOKUP('Données projet'!$B$13,Paramètres!$A$1:$I$89,5,0)</f>
        <v>247.55327999999994</v>
      </c>
      <c r="CV97" s="14">
        <f t="shared" si="95"/>
        <v>60.061713068870255</v>
      </c>
      <c r="CW97" s="22">
        <f t="shared" si="67"/>
        <v>535.76277959494894</v>
      </c>
      <c r="CX97" s="60">
        <f t="shared" si="68"/>
        <v>829.09611292828231</v>
      </c>
      <c r="CY97" s="60">
        <f ca="1">AVERAGE(OFFSET($CX$3,0,0,'Données projet'!$E$13+1,1))-AVERAGE(OFFSET($H$3,0,0,'Données projet'!$E$13+1,1))</f>
        <v>428.8489304403459</v>
      </c>
      <c r="CZ97" s="60">
        <f t="shared" si="96"/>
        <v>247.01165577562966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3.4615384615384586</v>
      </c>
      <c r="DO97" s="13">
        <f>IF('Données projet'!$A$166&gt;35,DO96+DN97-DW96,IF(A97&lt;'Données projet'!$A$166,$DL$205^A97,IF(A97='Données projet'!$A$166,'Données projet'!$B$166,DO96+DN97-DW96)))</f>
        <v>288.84615384615364</v>
      </c>
      <c r="DP97" s="18">
        <f>DO97*VLOOKUP('Données projet'!$B$14,Paramètres!$A$1:$I$89,3,0)*VLOOKUP('Données projet'!$B$14,Paramètres!$A$1:$I$89,5,0)</f>
        <v>301.90199999999982</v>
      </c>
      <c r="DQ97" s="14">
        <f t="shared" si="97"/>
        <v>71.575048950857877</v>
      </c>
      <c r="DR97" s="22">
        <f t="shared" si="70"/>
        <v>650.47252692274378</v>
      </c>
      <c r="DS97" s="60">
        <f t="shared" si="71"/>
        <v>943.80586025607704</v>
      </c>
      <c r="DT97" s="60">
        <f ca="1">AVERAGE(OFFSET($DS$3,0,0,'Données projet'!$E$14+1,1))-AVERAGE(OFFSET($H$3,0,0,'Données projet'!$E$14+1,1))</f>
        <v>493.70175665335978</v>
      </c>
      <c r="DU97" s="60">
        <f t="shared" si="98"/>
        <v>325.12357781685949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-1.9895196601282805E-13</v>
      </c>
      <c r="EK97" s="18">
        <f>EJ97*VLOOKUP('Données projet'!$B$15,Paramètres!$A$1:$I$89,3,0)*VLOOKUP('Données projet'!$B$15,Paramètres!$A$1:$I$89,5,0)</f>
        <v>-1.6138983482960614E-13</v>
      </c>
      <c r="EL97" s="14" t="e">
        <f t="shared" si="99"/>
        <v>#NUM!</v>
      </c>
      <c r="EM97" s="22" t="e">
        <f t="shared" si="73"/>
        <v>#NUM!</v>
      </c>
      <c r="EN97" s="60" t="e">
        <f t="shared" si="74"/>
        <v>#NUM!</v>
      </c>
      <c r="EO97" s="60">
        <f ca="1">AVERAGE(OFFSET($EN$3,0,0,'Données projet'!$E$15+1,1))-AVERAGE(OFFSET($H$3,0,0,'Données projet'!$E$15+1,1))</f>
        <v>236.22643401787644</v>
      </c>
      <c r="EP97" s="60">
        <f t="shared" si="100"/>
        <v>188.80444043778022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2.8</v>
      </c>
      <c r="FE97" s="13">
        <f>IF('Données projet'!$A$218&gt;35,FE96+FD97-FM96,IF(A97&lt;'Données projet'!$A$218,$FB$205^A97,IF(A97='Données projet'!$A$218,'Données projet'!$B$218,FE96+FD97-FM96)))</f>
        <v>170.2</v>
      </c>
      <c r="FF97" s="18">
        <f>FE97*VLOOKUP('Données projet'!$B$16,Paramètres!$A$1:$I$89,3,0)*VLOOKUP('Données projet'!$B$16,Paramètres!$A$1:$I$89,5,0)</f>
        <v>164.61743999999999</v>
      </c>
      <c r="FG97" s="14">
        <f t="shared" si="101"/>
        <v>41.882261134249809</v>
      </c>
      <c r="FH97" s="22">
        <f t="shared" si="76"/>
        <v>359.65364614215167</v>
      </c>
      <c r="FI97" s="60">
        <f t="shared" si="77"/>
        <v>652.98697947548499</v>
      </c>
      <c r="FJ97" s="60">
        <f ca="1">AVERAGE(OFFSET($FI$3,0,0,'Données projet'!$E$16+1,1))-AVERAGE(OFFSET($H$3,0,0,'Données projet'!$E$16+1,1))</f>
        <v>255.59755832175625</v>
      </c>
      <c r="FK97" s="60">
        <f t="shared" si="102"/>
        <v>154.0840647586964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0" t="e">
        <f t="shared" si="80"/>
        <v>#N/A</v>
      </c>
      <c r="GE97" s="60" t="e">
        <f ca="1">AVERAGE(OFFSET($GD$3,0,0,'Données projet'!$E$17+1,1))-AVERAGE(OFFSET($H$3,0,0,'Données projet'!$E$17+1,1))</f>
        <v>#N/A</v>
      </c>
      <c r="GF97" s="60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7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0" t="e">
        <f t="shared" si="83"/>
        <v>#N/A</v>
      </c>
      <c r="GZ97" s="60" t="e">
        <f ca="1">AVERAGE(OFFSET($GY$3,0,0,'Données projet'!$E$18+1,1))-AVERAGE(OFFSET($H$3,0,0,'Données projet'!$E$18+1,1))</f>
        <v>#N/A</v>
      </c>
      <c r="HA97" s="60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5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68">
        <f t="shared" si="56"/>
        <v>256.66666666666669</v>
      </c>
      <c r="I98" s="7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0" t="e">
        <f t="shared" si="55"/>
        <v>#NUM!</v>
      </c>
      <c r="S98" s="60">
        <f ca="1">AVERAGE(OFFSET($R$3,0,0,'Données projet'!$E$9+1,1))-AVERAGE(OFFSET($H$3,0,0,'Données projet'!$E$9+1,1))</f>
        <v>64.775385872852041</v>
      </c>
      <c r="T98" s="60">
        <f t="shared" si="88"/>
        <v>201.69061202990468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8.8700223902261772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9.946468728793728E-12</v>
      </c>
      <c r="AC98" s="24">
        <f t="shared" si="57"/>
        <v>8.870022390236123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282.399</v>
      </c>
      <c r="AK98" s="14">
        <f t="shared" si="89"/>
        <v>67.473734542548371</v>
      </c>
      <c r="AL98" s="22">
        <f t="shared" si="58"/>
        <v>609.36167932827175</v>
      </c>
      <c r="AM98" s="60">
        <f t="shared" si="59"/>
        <v>902.69501266160501</v>
      </c>
      <c r="AN98" s="60">
        <f ca="1">AVERAGE(OFFSET($AM$3,0,0,'Données projet'!$E$10+1,1))-AVERAGE(OFFSET($H$3,0,0,'Données projet'!$E$10+1,1))</f>
        <v>475.47920969424894</v>
      </c>
      <c r="AO98" s="60">
        <f t="shared" si="90"/>
        <v>271.73544012419364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7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6.7984728957526396E-14</v>
      </c>
      <c r="BF98" s="14">
        <f t="shared" si="91"/>
        <v>1.0682447123141398E-12</v>
      </c>
      <c r="BG98" s="22">
        <f t="shared" si="61"/>
        <v>1.978932943548152E-12</v>
      </c>
      <c r="BH98" s="60">
        <f t="shared" si="62"/>
        <v>293.3333333333353</v>
      </c>
      <c r="BI98" s="60">
        <f ca="1">AVERAGE(OFFSET($BH$3,0,0,'Données projet'!$E$11+1,1))-AVERAGE(OFFSET($H$3,0,0,'Données projet'!$E$11+1,1))</f>
        <v>260.02504691866199</v>
      </c>
      <c r="BJ98" s="60">
        <f t="shared" si="92"/>
        <v>270.11268336406368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2.7625159749186259</v>
      </c>
      <c r="BQ98" s="23">
        <f>EXP(-LN(2)/25)*BQ97+(1-EXP(-LN(2)/25))/(LN(2)/25)*Calculateur!BL98*Calculateur!BN98*VLOOKUP('Données projet'!$B$11,Paramètres!$A$1:$I$89,3,0)*0.475*44/12</f>
        <v>2.7109351786752538</v>
      </c>
      <c r="BR98" s="23">
        <f>EXP(-LN(2)/2)*BR97+(1-EXP(-LN(2)/2))/(LN(2)/2)*BL98*BO98*VLOOKUP('Données projet'!$B$11,Paramètres!$A$1:$I$89,3,0)*0.475*44/12</f>
        <v>1.0437866154407682E-9</v>
      </c>
      <c r="BS98" s="24">
        <f t="shared" si="63"/>
        <v>5.4734511546376661</v>
      </c>
      <c r="BT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8.1391025641025667</v>
      </c>
      <c r="BY98" s="13">
        <f>IF('Données projet'!$A$114&gt;35,BY97+BX98-CG97,IF(A98&lt;'Données projet'!$A$114,$BV$205^A98,IF(A98='Données projet'!$A$114,'Données projet'!$B$114,BY97+BX98-CG97)))</f>
        <v>365.31282051282085</v>
      </c>
      <c r="BZ98" s="14">
        <f>BY98*VLOOKUP('Données projet'!$B$12,Paramètres!$A$1:$I$89,3,0)*VLOOKUP('Données projet'!$B$12,Paramètres!$A$1:$I$89,5,0)</f>
        <v>170.96640000000016</v>
      </c>
      <c r="CA98" s="14">
        <f t="shared" si="93"/>
        <v>43.306393578795678</v>
      </c>
      <c r="CB98" s="22">
        <f t="shared" si="64"/>
        <v>373.19178214973607</v>
      </c>
      <c r="CC98" s="60">
        <f t="shared" si="65"/>
        <v>666.52511548306938</v>
      </c>
      <c r="CD98" s="60">
        <f ca="1">AVERAGE(OFFSET($CC$3,0,0,'Données projet'!$E$12+1,1))-AVERAGE(OFFSET($H$3,0,0,'Données projet'!$E$12+1,1))</f>
        <v>246.72166704460847</v>
      </c>
      <c r="CE98" s="60">
        <f t="shared" si="94"/>
        <v>145.54897745089966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4.9000000000000004</v>
      </c>
      <c r="CT98" s="13">
        <f>IF('Données projet'!$A$140&gt;35,CT97+CS98-DB97,IF(A98&lt;'Données projet'!$A$140,$CQ$205^A98,IF(A98='Données projet'!$A$140,'Données projet'!$B$140,CT97+CS98-DB97)))</f>
        <v>278.49999999999994</v>
      </c>
      <c r="CU98" s="18">
        <f>CT98*VLOOKUP('Données projet'!$B$13,Paramètres!$A$1:$I$89,3,0)*VLOOKUP('Données projet'!$B$13,Paramètres!$A$1:$I$89,5,0)</f>
        <v>251.98679999999993</v>
      </c>
      <c r="CV98" s="14">
        <f t="shared" si="95"/>
        <v>61.011187970195053</v>
      </c>
      <c r="CW98" s="22">
        <f t="shared" si="67"/>
        <v>545.13816238142283</v>
      </c>
      <c r="CX98" s="60">
        <f t="shared" si="68"/>
        <v>838.4714957147562</v>
      </c>
      <c r="CY98" s="60">
        <f ca="1">AVERAGE(OFFSET($CX$3,0,0,'Données projet'!$E$13+1,1))-AVERAGE(OFFSET($H$3,0,0,'Données projet'!$E$13+1,1))</f>
        <v>428.8489304403459</v>
      </c>
      <c r="CZ98" s="60">
        <f t="shared" si="96"/>
        <v>247.01165577562966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3.4615384615384586</v>
      </c>
      <c r="DO98" s="13">
        <f>IF('Données projet'!$A$166&gt;35,DO97+DN98-DW97,IF(A98&lt;'Données projet'!$A$166,$DL$205^A98,IF(A98='Données projet'!$A$166,'Données projet'!$B$166,DO97+DN98-DW97)))</f>
        <v>292.30769230769209</v>
      </c>
      <c r="DP98" s="18">
        <f>DO98*VLOOKUP('Données projet'!$B$14,Paramètres!$A$1:$I$89,3,0)*VLOOKUP('Données projet'!$B$14,Paramètres!$A$1:$I$89,5,0)</f>
        <v>305.51999999999981</v>
      </c>
      <c r="DQ98" s="14">
        <f t="shared" si="97"/>
        <v>72.332436678206648</v>
      </c>
      <c r="DR98" s="22">
        <f t="shared" si="70"/>
        <v>658.09299388120962</v>
      </c>
      <c r="DS98" s="60">
        <f t="shared" si="71"/>
        <v>951.42632721454288</v>
      </c>
      <c r="DT98" s="60">
        <f ca="1">AVERAGE(OFFSET($DS$3,0,0,'Données projet'!$E$14+1,1))-AVERAGE(OFFSET($H$3,0,0,'Données projet'!$E$14+1,1))</f>
        <v>493.70175665335978</v>
      </c>
      <c r="DU98" s="60">
        <f t="shared" si="98"/>
        <v>325.12357781685949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-1.9895196601282805E-13</v>
      </c>
      <c r="EK98" s="18">
        <f>EJ98*VLOOKUP('Données projet'!$B$15,Paramètres!$A$1:$I$89,3,0)*VLOOKUP('Données projet'!$B$15,Paramètres!$A$1:$I$89,5,0)</f>
        <v>-1.6138983482960614E-13</v>
      </c>
      <c r="EL98" s="14" t="e">
        <f t="shared" si="99"/>
        <v>#NUM!</v>
      </c>
      <c r="EM98" s="22" t="e">
        <f t="shared" si="73"/>
        <v>#NUM!</v>
      </c>
      <c r="EN98" s="60" t="e">
        <f t="shared" si="74"/>
        <v>#NUM!</v>
      </c>
      <c r="EO98" s="60">
        <f ca="1">AVERAGE(OFFSET($EN$3,0,0,'Données projet'!$E$15+1,1))-AVERAGE(OFFSET($H$3,0,0,'Données projet'!$E$15+1,1))</f>
        <v>236.22643401787644</v>
      </c>
      <c r="EP98" s="60">
        <f t="shared" si="100"/>
        <v>188.80444043778022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173</v>
      </c>
      <c r="FC98" s="13">
        <f>VLOOKUP(A98,'Données projet'!$A$217:$I$237,9,0)</f>
        <v>2.8</v>
      </c>
      <c r="FD98" s="13">
        <f t="array" ref="FD98">INDEX(FC:FC,MIN(IF(ISNUMBER(FC98:FC294),ROW(FC98:FC294),"")))</f>
        <v>2.8</v>
      </c>
      <c r="FE98" s="13">
        <f>IF('Données projet'!$A$218&gt;35,FE97+FD98-FM97,IF(A98&lt;'Données projet'!$A$218,$FB$205^A98,IF(A98='Données projet'!$A$218,'Données projet'!$B$218,FE97+FD98-FM97)))</f>
        <v>173</v>
      </c>
      <c r="FF98" s="18">
        <f>FE98*VLOOKUP('Données projet'!$B$16,Paramètres!$A$1:$I$89,3,0)*VLOOKUP('Données projet'!$B$16,Paramètres!$A$1:$I$89,5,0)</f>
        <v>167.32560000000001</v>
      </c>
      <c r="FG98" s="14">
        <f t="shared" si="101"/>
        <v>42.490495297127609</v>
      </c>
      <c r="FH98" s="22">
        <f t="shared" si="76"/>
        <v>365.42969930916388</v>
      </c>
      <c r="FI98" s="60">
        <f t="shared" si="77"/>
        <v>658.76303264249714</v>
      </c>
      <c r="FJ98" s="60">
        <f ca="1">AVERAGE(OFFSET($FI$3,0,0,'Données projet'!$E$16+1,1))-AVERAGE(OFFSET($H$3,0,0,'Données projet'!$E$16+1,1))</f>
        <v>255.59755832175625</v>
      </c>
      <c r="FK98" s="60">
        <f t="shared" si="102"/>
        <v>154.0840647586964</v>
      </c>
      <c r="FL98" s="16">
        <f>IF(ISNA(VLOOKUP(A98,'Données projet'!$A$217:$I$237,3,0)),0,VLOOKUP(A98,'Données projet'!$A$217:$I$237,3,0))</f>
        <v>7</v>
      </c>
      <c r="FM98" s="16">
        <f>IF(ISNA(VLOOKUP(A98,'Données projet'!$A$217:$I$237,4,0)),0,VLOOKUP(A98,'Données projet'!$A$217:$I$237,4,0))</f>
        <v>18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0" t="e">
        <f t="shared" si="80"/>
        <v>#N/A</v>
      </c>
      <c r="GE98" s="60" t="e">
        <f ca="1">AVERAGE(OFFSET($GD$3,0,0,'Données projet'!$E$17+1,1))-AVERAGE(OFFSET($H$3,0,0,'Données projet'!$E$17+1,1))</f>
        <v>#N/A</v>
      </c>
      <c r="GF98" s="60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7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0" t="e">
        <f t="shared" si="83"/>
        <v>#N/A</v>
      </c>
      <c r="GZ98" s="60" t="e">
        <f ca="1">AVERAGE(OFFSET($GY$3,0,0,'Données projet'!$E$18+1,1))-AVERAGE(OFFSET($H$3,0,0,'Données projet'!$E$18+1,1))</f>
        <v>#N/A</v>
      </c>
      <c r="HA98" s="60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5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68">
        <f t="shared" si="56"/>
        <v>256.66666666666669</v>
      </c>
      <c r="I99" s="7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0" t="e">
        <f t="shared" si="55"/>
        <v>#NUM!</v>
      </c>
      <c r="S99" s="60">
        <f ca="1">AVERAGE(OFFSET($R$3,0,0,'Données projet'!$E$9+1,1))-AVERAGE(OFFSET($H$3,0,0,'Données projet'!$E$9+1,1))</f>
        <v>64.775385872852041</v>
      </c>
      <c r="T99" s="60">
        <f t="shared" si="88"/>
        <v>201.69061202990468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8.6960866613332897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7.0332154869899842E-12</v>
      </c>
      <c r="AC99" s="24">
        <f t="shared" si="57"/>
        <v>8.6960866613403223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287.36759999999992</v>
      </c>
      <c r="AK99" s="14">
        <f t="shared" si="89"/>
        <v>68.521633201565123</v>
      </c>
      <c r="AL99" s="22">
        <f t="shared" si="58"/>
        <v>619.84041449272581</v>
      </c>
      <c r="AM99" s="60">
        <f t="shared" si="59"/>
        <v>913.17374782605907</v>
      </c>
      <c r="AN99" s="60">
        <f ca="1">AVERAGE(OFFSET($AM$3,0,0,'Données projet'!$E$10+1,1))-AVERAGE(OFFSET($H$3,0,0,'Données projet'!$E$10+1,1))</f>
        <v>475.47920969424894</v>
      </c>
      <c r="AO99" s="60">
        <f t="shared" si="90"/>
        <v>271.73544012419364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7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6.7984728957526396E-14</v>
      </c>
      <c r="BF99" s="14">
        <f t="shared" si="91"/>
        <v>1.0682447123141398E-12</v>
      </c>
      <c r="BG99" s="22">
        <f t="shared" si="61"/>
        <v>1.978932943548152E-12</v>
      </c>
      <c r="BH99" s="60">
        <f t="shared" si="62"/>
        <v>293.3333333333353</v>
      </c>
      <c r="BI99" s="60">
        <f ca="1">AVERAGE(OFFSET($BH$3,0,0,'Données projet'!$E$11+1,1))-AVERAGE(OFFSET($H$3,0,0,'Données projet'!$E$11+1,1))</f>
        <v>260.02504691866199</v>
      </c>
      <c r="BJ99" s="60">
        <f t="shared" si="92"/>
        <v>270.11268336406368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2.7083447216188397</v>
      </c>
      <c r="BQ99" s="23">
        <f>EXP(-LN(2)/25)*BQ98+(1-EXP(-LN(2)/25))/(LN(2)/25)*Calculateur!BL99*Calculateur!BN99*VLOOKUP('Données projet'!$B$11,Paramètres!$A$1:$I$89,3,0)*0.475*44/12</f>
        <v>2.636804513652494</v>
      </c>
      <c r="BR99" s="23">
        <f>EXP(-LN(2)/2)*BR98+(1-EXP(-LN(2)/2))/(LN(2)/2)*BL99*BO99*VLOOKUP('Données projet'!$B$11,Paramètres!$A$1:$I$89,3,0)*0.475*44/12</f>
        <v>7.3806859388992234E-10</v>
      </c>
      <c r="BS99" s="24">
        <f t="shared" si="63"/>
        <v>5.3451492360094024</v>
      </c>
      <c r="BT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8.1391025641025667</v>
      </c>
      <c r="BY99" s="13">
        <f>IF('Données projet'!$A$114&gt;35,BY98+BX99-CG98,IF(A99&lt;'Données projet'!$A$114,$BV$205^A99,IF(A99='Données projet'!$A$114,'Données projet'!$B$114,BY98+BX99-CG98)))</f>
        <v>373.45192307692344</v>
      </c>
      <c r="BZ99" s="14">
        <f>BY99*VLOOKUP('Données projet'!$B$12,Paramètres!$A$1:$I$89,3,0)*VLOOKUP('Données projet'!$B$12,Paramètres!$A$1:$I$89,5,0)</f>
        <v>174.77550000000016</v>
      </c>
      <c r="CA99" s="14">
        <f t="shared" si="93"/>
        <v>44.157846118321132</v>
      </c>
      <c r="CB99" s="22">
        <f t="shared" si="64"/>
        <v>381.30891115607625</v>
      </c>
      <c r="CC99" s="60">
        <f t="shared" si="65"/>
        <v>674.64224448940956</v>
      </c>
      <c r="CD99" s="60">
        <f ca="1">AVERAGE(OFFSET($CC$3,0,0,'Données projet'!$E$12+1,1))-AVERAGE(OFFSET($H$3,0,0,'Données projet'!$E$12+1,1))</f>
        <v>246.72166704460847</v>
      </c>
      <c r="CE99" s="60">
        <f t="shared" si="94"/>
        <v>145.54897745089966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4.9000000000000004</v>
      </c>
      <c r="CT99" s="13">
        <f>IF('Données projet'!$A$140&gt;35,CT98+CS99-DB98,IF(A99&lt;'Données projet'!$A$140,$CQ$205^A99,IF(A99='Données projet'!$A$140,'Données projet'!$B$140,CT98+CS99-DB98)))</f>
        <v>283.39999999999992</v>
      </c>
      <c r="CU99" s="18">
        <f>CT99*VLOOKUP('Données projet'!$B$13,Paramètres!$A$1:$I$89,3,0)*VLOOKUP('Données projet'!$B$13,Paramètres!$A$1:$I$89,5,0)</f>
        <v>256.42031999999989</v>
      </c>
      <c r="CV99" s="14">
        <f t="shared" si="95"/>
        <v>61.958720258016918</v>
      </c>
      <c r="CW99" s="22">
        <f t="shared" si="67"/>
        <v>554.51016178271254</v>
      </c>
      <c r="CX99" s="60">
        <f t="shared" si="68"/>
        <v>847.84349511604591</v>
      </c>
      <c r="CY99" s="60">
        <f ca="1">AVERAGE(OFFSET($CX$3,0,0,'Données projet'!$E$13+1,1))-AVERAGE(OFFSET($H$3,0,0,'Données projet'!$E$13+1,1))</f>
        <v>428.8489304403459</v>
      </c>
      <c r="CZ99" s="60">
        <f t="shared" si="96"/>
        <v>247.01165577562966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3.4615384615384586</v>
      </c>
      <c r="DO99" s="13">
        <f>IF('Données projet'!$A$166&gt;35,DO98+DN99-DW98,IF(A99&lt;'Données projet'!$A$166,$DL$205^A99,IF(A99='Données projet'!$A$166,'Données projet'!$B$166,DO98+DN99-DW98)))</f>
        <v>295.76923076923055</v>
      </c>
      <c r="DP99" s="18">
        <f>DO99*VLOOKUP('Données projet'!$B$14,Paramètres!$A$1:$I$89,3,0)*VLOOKUP('Données projet'!$B$14,Paramètres!$A$1:$I$89,5,0)</f>
        <v>309.13799999999981</v>
      </c>
      <c r="DQ99" s="14">
        <f t="shared" si="97"/>
        <v>73.088781099784711</v>
      </c>
      <c r="DR99" s="22">
        <f t="shared" si="70"/>
        <v>665.71164374879129</v>
      </c>
      <c r="DS99" s="60">
        <f t="shared" si="71"/>
        <v>959.04497708212466</v>
      </c>
      <c r="DT99" s="60">
        <f ca="1">AVERAGE(OFFSET($DS$3,0,0,'Données projet'!$E$14+1,1))-AVERAGE(OFFSET($H$3,0,0,'Données projet'!$E$14+1,1))</f>
        <v>493.70175665335978</v>
      </c>
      <c r="DU99" s="60">
        <f t="shared" si="98"/>
        <v>325.12357781685949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-1.9895196601282805E-13</v>
      </c>
      <c r="EK99" s="18">
        <f>EJ99*VLOOKUP('Données projet'!$B$15,Paramètres!$A$1:$I$89,3,0)*VLOOKUP('Données projet'!$B$15,Paramètres!$A$1:$I$89,5,0)</f>
        <v>-1.6138983482960614E-13</v>
      </c>
      <c r="EL99" s="14" t="e">
        <f t="shared" si="99"/>
        <v>#NUM!</v>
      </c>
      <c r="EM99" s="22" t="e">
        <f t="shared" si="73"/>
        <v>#NUM!</v>
      </c>
      <c r="EN99" s="60" t="e">
        <f t="shared" si="74"/>
        <v>#NUM!</v>
      </c>
      <c r="EO99" s="60">
        <f ca="1">AVERAGE(OFFSET($EN$3,0,0,'Données projet'!$E$15+1,1))-AVERAGE(OFFSET($H$3,0,0,'Données projet'!$E$15+1,1))</f>
        <v>236.22643401787644</v>
      </c>
      <c r="EP99" s="60">
        <f t="shared" si="100"/>
        <v>188.80444043778022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</v>
      </c>
      <c r="FE99" s="13">
        <f>IF('Données projet'!$A$218&gt;35,FE98+FD99-FM98,IF(A99&lt;'Données projet'!$A$218,$FB$205^A99,IF(A99='Données projet'!$A$218,'Données projet'!$B$218,FE98+FD99-FM98)))</f>
        <v>158</v>
      </c>
      <c r="FF99" s="18">
        <f>FE99*VLOOKUP('Données projet'!$B$16,Paramètres!$A$1:$I$89,3,0)*VLOOKUP('Données projet'!$B$16,Paramètres!$A$1:$I$89,5,0)</f>
        <v>152.8176</v>
      </c>
      <c r="FG99" s="14">
        <f t="shared" si="101"/>
        <v>39.218200171484227</v>
      </c>
      <c r="FH99" s="22">
        <f t="shared" si="76"/>
        <v>334.46235196533502</v>
      </c>
      <c r="FI99" s="60">
        <f t="shared" si="77"/>
        <v>627.79568529866833</v>
      </c>
      <c r="FJ99" s="60">
        <f ca="1">AVERAGE(OFFSET($FI$3,0,0,'Données projet'!$E$16+1,1))-AVERAGE(OFFSET($H$3,0,0,'Données projet'!$E$16+1,1))</f>
        <v>255.59755832175625</v>
      </c>
      <c r="FK99" s="60">
        <f t="shared" si="102"/>
        <v>154.0840647586964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0" t="e">
        <f t="shared" si="80"/>
        <v>#N/A</v>
      </c>
      <c r="GE99" s="60" t="e">
        <f ca="1">AVERAGE(OFFSET($GD$3,0,0,'Données projet'!$E$17+1,1))-AVERAGE(OFFSET($H$3,0,0,'Données projet'!$E$17+1,1))</f>
        <v>#N/A</v>
      </c>
      <c r="GF99" s="60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7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0" t="e">
        <f t="shared" si="83"/>
        <v>#N/A</v>
      </c>
      <c r="GZ99" s="60" t="e">
        <f ca="1">AVERAGE(OFFSET($GY$3,0,0,'Données projet'!$E$18+1,1))-AVERAGE(OFFSET($H$3,0,0,'Données projet'!$E$18+1,1))</f>
        <v>#N/A</v>
      </c>
      <c r="HA99" s="60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5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68">
        <f t="shared" si="56"/>
        <v>256.66666666666669</v>
      </c>
      <c r="I100" s="7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0" t="e">
        <f t="shared" si="55"/>
        <v>#NUM!</v>
      </c>
      <c r="S100" s="60">
        <f ca="1">AVERAGE(OFFSET($R$3,0,0,'Données projet'!$E$9+1,1))-AVERAGE(OFFSET($H$3,0,0,'Données projet'!$E$9+1,1))</f>
        <v>64.775385872852041</v>
      </c>
      <c r="T100" s="60">
        <f t="shared" si="88"/>
        <v>201.69061202990468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8.5255617059936721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4.973234364396864E-12</v>
      </c>
      <c r="AC100" s="24">
        <f t="shared" si="57"/>
        <v>8.5255617059986459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292.33619999999996</v>
      </c>
      <c r="AK100" s="14">
        <f t="shared" si="89"/>
        <v>69.56742490962327</v>
      </c>
      <c r="AL100" s="22">
        <f t="shared" si="58"/>
        <v>630.31548005092702</v>
      </c>
      <c r="AM100" s="60">
        <f t="shared" si="59"/>
        <v>923.64881338426039</v>
      </c>
      <c r="AN100" s="60">
        <f ca="1">AVERAGE(OFFSET($AM$3,0,0,'Données projet'!$E$10+1,1))-AVERAGE(OFFSET($H$3,0,0,'Données projet'!$E$10+1,1))</f>
        <v>475.47920969424894</v>
      </c>
      <c r="AO100" s="60">
        <f t="shared" si="90"/>
        <v>271.73544012419364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7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6.7984728957526396E-14</v>
      </c>
      <c r="BF100" s="14">
        <f t="shared" si="91"/>
        <v>1.0682447123141398E-12</v>
      </c>
      <c r="BG100" s="22">
        <f t="shared" si="61"/>
        <v>1.978932943548152E-12</v>
      </c>
      <c r="BH100" s="60">
        <f t="shared" si="62"/>
        <v>293.3333333333353</v>
      </c>
      <c r="BI100" s="60">
        <f ca="1">AVERAGE(OFFSET($BH$3,0,0,'Données projet'!$E$11+1,1))-AVERAGE(OFFSET($H$3,0,0,'Données projet'!$E$11+1,1))</f>
        <v>260.02504691866199</v>
      </c>
      <c r="BJ100" s="60">
        <f t="shared" si="92"/>
        <v>270.11268336406368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2.65523573355506</v>
      </c>
      <c r="BQ100" s="23">
        <f>EXP(-LN(2)/25)*BQ99+(1-EXP(-LN(2)/25))/(LN(2)/25)*Calculateur!BL100*Calculateur!BN100*VLOOKUP('Données projet'!$B$11,Paramètres!$A$1:$I$89,3,0)*0.475*44/12</f>
        <v>2.5647009555631435</v>
      </c>
      <c r="BR100" s="23">
        <f>EXP(-LN(2)/2)*BR99+(1-EXP(-LN(2)/2))/(LN(2)/2)*BL100*BO100*VLOOKUP('Données projet'!$B$11,Paramètres!$A$1:$I$89,3,0)*0.475*44/12</f>
        <v>5.2189330772038412E-10</v>
      </c>
      <c r="BS100" s="24">
        <f t="shared" si="63"/>
        <v>5.2199366896400967</v>
      </c>
      <c r="BT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8.1391025641025667</v>
      </c>
      <c r="BY100" s="13">
        <f>IF('Données projet'!$A$114&gt;35,BY99+BX100-CG99,IF(A100&lt;'Données projet'!$A$114,$BV$205^A100,IF(A100='Données projet'!$A$114,'Données projet'!$B$114,BY99+BX100-CG99)))</f>
        <v>381.59102564102602</v>
      </c>
      <c r="BZ100" s="14">
        <f>BY100*VLOOKUP('Données projet'!$B$12,Paramètres!$A$1:$I$89,3,0)*VLOOKUP('Données projet'!$B$12,Paramètres!$A$1:$I$89,5,0)</f>
        <v>178.58460000000019</v>
      </c>
      <c r="CA100" s="14">
        <f t="shared" si="93"/>
        <v>45.007141207375291</v>
      </c>
      <c r="CB100" s="22">
        <f t="shared" si="64"/>
        <v>389.4222826028456</v>
      </c>
      <c r="CC100" s="60">
        <f t="shared" si="65"/>
        <v>682.75561593617886</v>
      </c>
      <c r="CD100" s="60">
        <f ca="1">AVERAGE(OFFSET($CC$3,0,0,'Données projet'!$E$12+1,1))-AVERAGE(OFFSET($H$3,0,0,'Données projet'!$E$12+1,1))</f>
        <v>246.72166704460847</v>
      </c>
      <c r="CE100" s="60">
        <f t="shared" si="94"/>
        <v>145.54897745089966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4.9000000000000004</v>
      </c>
      <c r="CT100" s="13">
        <f>IF('Données projet'!$A$140&gt;35,CT99+CS100-DB99,IF(A100&lt;'Données projet'!$A$140,$CQ$205^A100,IF(A100='Données projet'!$A$140,'Données projet'!$B$140,CT99+CS100-DB99)))</f>
        <v>288.2999999999999</v>
      </c>
      <c r="CU100" s="18">
        <f>CT100*VLOOKUP('Données projet'!$B$13,Paramètres!$A$1:$I$89,3,0)*VLOOKUP('Données projet'!$B$13,Paramètres!$A$1:$I$89,5,0)</f>
        <v>260.85383999999993</v>
      </c>
      <c r="CV100" s="14">
        <f t="shared" si="95"/>
        <v>62.904347395903763</v>
      </c>
      <c r="CW100" s="22">
        <f t="shared" si="67"/>
        <v>563.87884304786564</v>
      </c>
      <c r="CX100" s="60">
        <f t="shared" si="68"/>
        <v>857.21217638119901</v>
      </c>
      <c r="CY100" s="60">
        <f ca="1">AVERAGE(OFFSET($CX$3,0,0,'Données projet'!$E$13+1,1))-AVERAGE(OFFSET($H$3,0,0,'Données projet'!$E$13+1,1))</f>
        <v>428.8489304403459</v>
      </c>
      <c r="CZ100" s="60">
        <f t="shared" si="96"/>
        <v>247.01165577562966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3.4615384615384586</v>
      </c>
      <c r="DO100" s="13">
        <f>IF('Données projet'!$A$166&gt;35,DO99+DN100-DW99,IF(A100&lt;'Données projet'!$A$166,$DL$205^A100,IF(A100='Données projet'!$A$166,'Données projet'!$B$166,DO99+DN100-DW99)))</f>
        <v>299.230769230769</v>
      </c>
      <c r="DP100" s="18">
        <f>DO100*VLOOKUP('Données projet'!$B$14,Paramètres!$A$1:$I$89,3,0)*VLOOKUP('Données projet'!$B$14,Paramètres!$A$1:$I$89,5,0)</f>
        <v>312.7559999999998</v>
      </c>
      <c r="DQ100" s="14">
        <f t="shared" si="97"/>
        <v>73.844095838560634</v>
      </c>
      <c r="DR100" s="22">
        <f t="shared" si="70"/>
        <v>673.32850025215942</v>
      </c>
      <c r="DS100" s="60">
        <f t="shared" si="71"/>
        <v>966.66183358549279</v>
      </c>
      <c r="DT100" s="60">
        <f ca="1">AVERAGE(OFFSET($DS$3,0,0,'Données projet'!$E$14+1,1))-AVERAGE(OFFSET($H$3,0,0,'Données projet'!$E$14+1,1))</f>
        <v>493.70175665335978</v>
      </c>
      <c r="DU100" s="60">
        <f t="shared" si="98"/>
        <v>325.12357781685949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-1.9895196601282805E-13</v>
      </c>
      <c r="EK100" s="18">
        <f>EJ100*VLOOKUP('Données projet'!$B$15,Paramètres!$A$1:$I$89,3,0)*VLOOKUP('Données projet'!$B$15,Paramètres!$A$1:$I$89,5,0)</f>
        <v>-1.6138983482960614E-13</v>
      </c>
      <c r="EL100" s="14" t="e">
        <f t="shared" si="99"/>
        <v>#NUM!</v>
      </c>
      <c r="EM100" s="22" t="e">
        <f t="shared" si="73"/>
        <v>#NUM!</v>
      </c>
      <c r="EN100" s="60" t="e">
        <f t="shared" si="74"/>
        <v>#NUM!</v>
      </c>
      <c r="EO100" s="60">
        <f ca="1">AVERAGE(OFFSET($EN$3,0,0,'Données projet'!$E$15+1,1))-AVERAGE(OFFSET($H$3,0,0,'Données projet'!$E$15+1,1))</f>
        <v>236.22643401787644</v>
      </c>
      <c r="EP100" s="60">
        <f t="shared" si="100"/>
        <v>188.80444043778022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</v>
      </c>
      <c r="FE100" s="13">
        <f>IF('Données projet'!$A$218&gt;35,FE99+FD100-FM99,IF(A100&lt;'Données projet'!$A$218,$FB$205^A100,IF(A100='Données projet'!$A$218,'Données projet'!$B$218,FE99+FD100-FM99)))</f>
        <v>161</v>
      </c>
      <c r="FF100" s="18">
        <f>FE100*VLOOKUP('Données projet'!$B$16,Paramètres!$A$1:$I$89,3,0)*VLOOKUP('Données projet'!$B$16,Paramètres!$A$1:$I$89,5,0)</f>
        <v>155.7192</v>
      </c>
      <c r="FG100" s="14">
        <f t="shared" si="101"/>
        <v>39.875450340770094</v>
      </c>
      <c r="FH100" s="22">
        <f t="shared" si="76"/>
        <v>340.66068267684119</v>
      </c>
      <c r="FI100" s="60">
        <f t="shared" si="77"/>
        <v>633.99401601017451</v>
      </c>
      <c r="FJ100" s="60">
        <f ca="1">AVERAGE(OFFSET($FI$3,0,0,'Données projet'!$E$16+1,1))-AVERAGE(OFFSET($H$3,0,0,'Données projet'!$E$16+1,1))</f>
        <v>255.59755832175625</v>
      </c>
      <c r="FK100" s="60">
        <f t="shared" si="102"/>
        <v>154.0840647586964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0" t="e">
        <f t="shared" si="80"/>
        <v>#N/A</v>
      </c>
      <c r="GE100" s="60" t="e">
        <f ca="1">AVERAGE(OFFSET($GD$3,0,0,'Données projet'!$E$17+1,1))-AVERAGE(OFFSET($H$3,0,0,'Données projet'!$E$17+1,1))</f>
        <v>#N/A</v>
      </c>
      <c r="GF100" s="60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7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0" t="e">
        <f t="shared" si="83"/>
        <v>#N/A</v>
      </c>
      <c r="GZ100" s="60" t="e">
        <f ca="1">AVERAGE(OFFSET($GY$3,0,0,'Données projet'!$E$18+1,1))-AVERAGE(OFFSET($H$3,0,0,'Données projet'!$E$18+1,1))</f>
        <v>#N/A</v>
      </c>
      <c r="HA100" s="60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5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68">
        <f t="shared" si="56"/>
        <v>256.66666666666669</v>
      </c>
      <c r="I101" s="7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0" t="e">
        <f t="shared" si="55"/>
        <v>#NUM!</v>
      </c>
      <c r="S101" s="60">
        <f ca="1">AVERAGE(OFFSET($R$3,0,0,'Données projet'!$E$9+1,1))-AVERAGE(OFFSET($H$3,0,0,'Données projet'!$E$9+1,1))</f>
        <v>64.775385872852041</v>
      </c>
      <c r="T101" s="60">
        <f t="shared" si="88"/>
        <v>201.69061202990468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8.3583806410183126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3.5166077434949921E-12</v>
      </c>
      <c r="AC101" s="24">
        <f t="shared" si="57"/>
        <v>8.3583806410218298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297.30479999999989</v>
      </c>
      <c r="AK101" s="14">
        <f t="shared" si="89"/>
        <v>70.611149609504906</v>
      </c>
      <c r="AL101" s="22">
        <f t="shared" si="58"/>
        <v>640.78694556988739</v>
      </c>
      <c r="AM101" s="60">
        <f t="shared" si="59"/>
        <v>934.12027890322065</v>
      </c>
      <c r="AN101" s="60">
        <f ca="1">AVERAGE(OFFSET($AM$3,0,0,'Données projet'!$E$10+1,1))-AVERAGE(OFFSET($H$3,0,0,'Données projet'!$E$10+1,1))</f>
        <v>475.47920969424894</v>
      </c>
      <c r="AO101" s="60">
        <f t="shared" si="90"/>
        <v>271.73544012419364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7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6.7984728957526396E-14</v>
      </c>
      <c r="BF101" s="14">
        <f t="shared" si="91"/>
        <v>1.0682447123141398E-12</v>
      </c>
      <c r="BG101" s="22">
        <f t="shared" si="61"/>
        <v>1.978932943548152E-12</v>
      </c>
      <c r="BH101" s="60">
        <f t="shared" si="62"/>
        <v>293.3333333333353</v>
      </c>
      <c r="BI101" s="60">
        <f ca="1">AVERAGE(OFFSET($BH$3,0,0,'Données projet'!$E$11+1,1))-AVERAGE(OFFSET($H$3,0,0,'Données projet'!$E$11+1,1))</f>
        <v>260.02504691866199</v>
      </c>
      <c r="BJ101" s="60">
        <f t="shared" si="92"/>
        <v>270.11268336406368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2.6031681803539271</v>
      </c>
      <c r="BQ101" s="23">
        <f>EXP(-LN(2)/25)*BQ100+(1-EXP(-LN(2)/25))/(LN(2)/25)*Calculateur!BL101*Calculateur!BN101*VLOOKUP('Données projet'!$B$11,Paramètres!$A$1:$I$89,3,0)*0.475*44/12</f>
        <v>2.4945690730615078</v>
      </c>
      <c r="BR101" s="23">
        <f>EXP(-LN(2)/2)*BR100+(1-EXP(-LN(2)/2))/(LN(2)/2)*BL101*BO101*VLOOKUP('Données projet'!$B$11,Paramètres!$A$1:$I$89,3,0)*0.475*44/12</f>
        <v>3.6903429694496117E-10</v>
      </c>
      <c r="BS101" s="24">
        <f t="shared" si="63"/>
        <v>5.0977372537844694</v>
      </c>
      <c r="BT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8.1391025641025667</v>
      </c>
      <c r="BY101" s="13">
        <f>IF('Données projet'!$A$114&gt;35,BY100+BX101-CG100,IF(A101&lt;'Données projet'!$A$114,$BV$205^A101,IF(A101='Données projet'!$A$114,'Données projet'!$B$114,BY100+BX101-CG100)))</f>
        <v>389.73012820512861</v>
      </c>
      <c r="BZ101" s="14">
        <f>BY101*VLOOKUP('Données projet'!$B$12,Paramètres!$A$1:$I$89,3,0)*VLOOKUP('Données projet'!$B$12,Paramètres!$A$1:$I$89,5,0)</f>
        <v>182.39370000000019</v>
      </c>
      <c r="CA101" s="14">
        <f t="shared" si="93"/>
        <v>45.854330163580819</v>
      </c>
      <c r="CB101" s="22">
        <f t="shared" si="64"/>
        <v>397.53198586823692</v>
      </c>
      <c r="CC101" s="60">
        <f t="shared" si="65"/>
        <v>690.86531920157017</v>
      </c>
      <c r="CD101" s="60">
        <f ca="1">AVERAGE(OFFSET($CC$3,0,0,'Données projet'!$E$12+1,1))-AVERAGE(OFFSET($H$3,0,0,'Données projet'!$E$12+1,1))</f>
        <v>246.72166704460847</v>
      </c>
      <c r="CE101" s="60">
        <f t="shared" si="94"/>
        <v>145.54897745089966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4.9000000000000004</v>
      </c>
      <c r="CT101" s="13">
        <f>IF('Données projet'!$A$140&gt;35,CT100+CS101-DB100,IF(A101&lt;'Données projet'!$A$140,$CQ$205^A101,IF(A101='Données projet'!$A$140,'Données projet'!$B$140,CT100+CS101-DB100)))</f>
        <v>293.19999999999987</v>
      </c>
      <c r="CU101" s="18">
        <f>CT101*VLOOKUP('Données projet'!$B$13,Paramètres!$A$1:$I$89,3,0)*VLOOKUP('Données projet'!$B$13,Paramètres!$A$1:$I$89,5,0)</f>
        <v>265.28735999999992</v>
      </c>
      <c r="CV101" s="14">
        <f t="shared" si="95"/>
        <v>63.84810550096995</v>
      </c>
      <c r="CW101" s="22">
        <f t="shared" si="67"/>
        <v>573.24426908085582</v>
      </c>
      <c r="CX101" s="60">
        <f t="shared" si="68"/>
        <v>866.57760241418919</v>
      </c>
      <c r="CY101" s="60">
        <f ca="1">AVERAGE(OFFSET($CX$3,0,0,'Données projet'!$E$13+1,1))-AVERAGE(OFFSET($H$3,0,0,'Données projet'!$E$13+1,1))</f>
        <v>428.8489304403459</v>
      </c>
      <c r="CZ101" s="60">
        <f t="shared" si="96"/>
        <v>247.01165577562966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3.4615384615384586</v>
      </c>
      <c r="DO101" s="13">
        <f>IF('Données projet'!$A$166&gt;35,DO100+DN101-DW100,IF(A101&lt;'Données projet'!$A$166,$DL$205^A101,IF(A101='Données projet'!$A$166,'Données projet'!$B$166,DO100+DN101-DW100)))</f>
        <v>302.69230769230745</v>
      </c>
      <c r="DP101" s="18">
        <f>DO101*VLOOKUP('Données projet'!$B$14,Paramètres!$A$1:$I$89,3,0)*VLOOKUP('Données projet'!$B$14,Paramètres!$A$1:$I$89,5,0)</f>
        <v>316.37399999999974</v>
      </c>
      <c r="DQ101" s="14">
        <f t="shared" si="97"/>
        <v>74.598394184177479</v>
      </c>
      <c r="DR101" s="22">
        <f t="shared" si="70"/>
        <v>680.943586537442</v>
      </c>
      <c r="DS101" s="60">
        <f t="shared" si="71"/>
        <v>974.27691987077537</v>
      </c>
      <c r="DT101" s="60">
        <f ca="1">AVERAGE(OFFSET($DS$3,0,0,'Données projet'!$E$14+1,1))-AVERAGE(OFFSET($H$3,0,0,'Données projet'!$E$14+1,1))</f>
        <v>493.70175665335978</v>
      </c>
      <c r="DU101" s="60">
        <f t="shared" si="98"/>
        <v>325.12357781685949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-1.9895196601282805E-13</v>
      </c>
      <c r="EK101" s="18">
        <f>EJ101*VLOOKUP('Données projet'!$B$15,Paramètres!$A$1:$I$89,3,0)*VLOOKUP('Données projet'!$B$15,Paramètres!$A$1:$I$89,5,0)</f>
        <v>-1.6138983482960614E-13</v>
      </c>
      <c r="EL101" s="14" t="e">
        <f t="shared" si="99"/>
        <v>#NUM!</v>
      </c>
      <c r="EM101" s="22" t="e">
        <f t="shared" si="73"/>
        <v>#NUM!</v>
      </c>
      <c r="EN101" s="60" t="e">
        <f t="shared" si="74"/>
        <v>#NUM!</v>
      </c>
      <c r="EO101" s="60">
        <f ca="1">AVERAGE(OFFSET($EN$3,0,0,'Données projet'!$E$15+1,1))-AVERAGE(OFFSET($H$3,0,0,'Données projet'!$E$15+1,1))</f>
        <v>236.22643401787644</v>
      </c>
      <c r="EP101" s="60">
        <f t="shared" si="100"/>
        <v>188.80444043778022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</v>
      </c>
      <c r="FE101" s="13">
        <f>IF('Données projet'!$A$218&gt;35,FE100+FD101-FM100,IF(A101&lt;'Données projet'!$A$218,$FB$205^A101,IF(A101='Données projet'!$A$218,'Données projet'!$B$218,FE100+FD101-FM100)))</f>
        <v>164</v>
      </c>
      <c r="FF101" s="18">
        <f>FE101*VLOOKUP('Données projet'!$B$16,Paramètres!$A$1:$I$89,3,0)*VLOOKUP('Données projet'!$B$16,Paramètres!$A$1:$I$89,5,0)</f>
        <v>158.6208</v>
      </c>
      <c r="FG101" s="14">
        <f t="shared" si="101"/>
        <v>40.531276428901542</v>
      </c>
      <c r="FH101" s="22">
        <f t="shared" si="76"/>
        <v>346.8565331136702</v>
      </c>
      <c r="FI101" s="60">
        <f t="shared" si="77"/>
        <v>640.18986644700351</v>
      </c>
      <c r="FJ101" s="60">
        <f ca="1">AVERAGE(OFFSET($FI$3,0,0,'Données projet'!$E$16+1,1))-AVERAGE(OFFSET($H$3,0,0,'Données projet'!$E$16+1,1))</f>
        <v>255.59755832175625</v>
      </c>
      <c r="FK101" s="60">
        <f t="shared" si="102"/>
        <v>154.0840647586964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0" t="e">
        <f t="shared" si="80"/>
        <v>#N/A</v>
      </c>
      <c r="GE101" s="60" t="e">
        <f ca="1">AVERAGE(OFFSET($GD$3,0,0,'Données projet'!$E$17+1,1))-AVERAGE(OFFSET($H$3,0,0,'Données projet'!$E$17+1,1))</f>
        <v>#N/A</v>
      </c>
      <c r="GF101" s="60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7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0" t="e">
        <f t="shared" si="83"/>
        <v>#N/A</v>
      </c>
      <c r="GZ101" s="60" t="e">
        <f ca="1">AVERAGE(OFFSET($GY$3,0,0,'Données projet'!$E$18+1,1))-AVERAGE(OFFSET($H$3,0,0,'Données projet'!$E$18+1,1))</f>
        <v>#N/A</v>
      </c>
      <c r="HA101" s="60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5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68">
        <f t="shared" si="56"/>
        <v>256.66666666666669</v>
      </c>
      <c r="I102" s="7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0" t="e">
        <f t="shared" si="55"/>
        <v>#NUM!</v>
      </c>
      <c r="S102" s="60">
        <f ca="1">AVERAGE(OFFSET($R$3,0,0,'Données projet'!$E$9+1,1))-AVERAGE(OFFSET($H$3,0,0,'Données projet'!$E$9+1,1))</f>
        <v>64.775385872852041</v>
      </c>
      <c r="T102" s="60">
        <f t="shared" si="88"/>
        <v>201.69061202990468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8.1944778947567389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2.486617182198432E-12</v>
      </c>
      <c r="AC102" s="24">
        <f t="shared" si="57"/>
        <v>8.1944778947592258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302.27339999999987</v>
      </c>
      <c r="AK102" s="14">
        <f t="shared" si="89"/>
        <v>71.652845832409739</v>
      </c>
      <c r="AL102" s="22">
        <f t="shared" si="58"/>
        <v>651.25487815811346</v>
      </c>
      <c r="AM102" s="60">
        <f t="shared" si="59"/>
        <v>944.58821149144683</v>
      </c>
      <c r="AN102" s="60">
        <f ca="1">AVERAGE(OFFSET($AM$3,0,0,'Données projet'!$E$10+1,1))-AVERAGE(OFFSET($H$3,0,0,'Données projet'!$E$10+1,1))</f>
        <v>475.47920969424894</v>
      </c>
      <c r="AO102" s="60">
        <f t="shared" si="90"/>
        <v>271.73544012419364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7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6.7984728957526396E-14</v>
      </c>
      <c r="BF102" s="14">
        <f t="shared" si="91"/>
        <v>1.0682447123141398E-12</v>
      </c>
      <c r="BG102" s="22">
        <f t="shared" si="61"/>
        <v>1.978932943548152E-12</v>
      </c>
      <c r="BH102" s="60">
        <f t="shared" si="62"/>
        <v>293.3333333333353</v>
      </c>
      <c r="BI102" s="60">
        <f ca="1">AVERAGE(OFFSET($BH$3,0,0,'Données projet'!$E$11+1,1))-AVERAGE(OFFSET($H$3,0,0,'Données projet'!$E$11+1,1))</f>
        <v>260.02504691866199</v>
      </c>
      <c r="BJ102" s="60">
        <f t="shared" si="92"/>
        <v>270.11268336406368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2.5521216401129969</v>
      </c>
      <c r="BQ102" s="23">
        <f>EXP(-LN(2)/25)*BQ101+(1-EXP(-LN(2)/25))/(LN(2)/25)*Calculateur!BL102*Calculateur!BN102*VLOOKUP('Données projet'!$B$11,Paramètres!$A$1:$I$89,3,0)*0.475*44/12</f>
        <v>2.4263549505749546</v>
      </c>
      <c r="BR102" s="23">
        <f>EXP(-LN(2)/2)*BR101+(1-EXP(-LN(2)/2))/(LN(2)/2)*BL102*BO102*VLOOKUP('Données projet'!$B$11,Paramètres!$A$1:$I$89,3,0)*0.475*44/12</f>
        <v>2.6094665386019206E-10</v>
      </c>
      <c r="BS102" s="24">
        <f t="shared" si="63"/>
        <v>4.9784765909488984</v>
      </c>
      <c r="BT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>
        <f>VLOOKUP(A102,'Données projet'!$A$113:$I$133,2,0)</f>
        <v>397.8692307692308</v>
      </c>
      <c r="BW102" s="13">
        <f>VLOOKUP(A102,'Données projet'!$A$113:$I$133,9,0)</f>
        <v>8.1391025641025667</v>
      </c>
      <c r="BX102" s="13">
        <f t="array" ref="BX102">INDEX(BW:BW,MIN(IF(ISNUMBER(BW102:BW298),ROW(BW102:BW298),"")))</f>
        <v>8.1391025641025667</v>
      </c>
      <c r="BY102" s="13">
        <f>IF('Données projet'!$A$114&gt;35,BY101+BX102-CG101,IF(A102&lt;'Données projet'!$A$114,$BV$205^A102,IF(A102='Données projet'!$A$114,'Données projet'!$B$114,BY101+BX102-CG101)))</f>
        <v>397.86923076923119</v>
      </c>
      <c r="BZ102" s="14">
        <f>BY102*VLOOKUP('Données projet'!$B$12,Paramètres!$A$1:$I$89,3,0)*VLOOKUP('Données projet'!$B$12,Paramètres!$A$1:$I$89,5,0)</f>
        <v>186.2028000000002</v>
      </c>
      <c r="CA102" s="14">
        <f t="shared" si="93"/>
        <v>46.699462038644228</v>
      </c>
      <c r="CB102" s="22">
        <f t="shared" si="64"/>
        <v>405.6381063839724</v>
      </c>
      <c r="CC102" s="60">
        <f t="shared" si="65"/>
        <v>698.97143971730566</v>
      </c>
      <c r="CD102" s="60">
        <f ca="1">AVERAGE(OFFSET($CC$3,0,0,'Données projet'!$E$12+1,1))-AVERAGE(OFFSET($H$3,0,0,'Données projet'!$E$12+1,1))</f>
        <v>246.72166704460847</v>
      </c>
      <c r="CE102" s="60">
        <f t="shared" si="94"/>
        <v>145.54897745089966</v>
      </c>
      <c r="CF102" s="16">
        <f>IF(ISNA(VLOOKUP(A102,'Données projet'!$A$113:$I$133,3,0)),0,VLOOKUP(A102,'Données projet'!$A$113:$I$133,3,0))</f>
        <v>5</v>
      </c>
      <c r="CG102" s="16">
        <f>IF(ISNA(VLOOKUP(A102,'Données projet'!$A$113:$I$133,4,0)),0,VLOOKUP(A102,'Données projet'!$A$113:$I$133,4,0))</f>
        <v>198.32307692307691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4.9000000000000004</v>
      </c>
      <c r="CT102" s="13">
        <f>IF('Données projet'!$A$140&gt;35,CT101+CS102-DB101,IF(A102&lt;'Données projet'!$A$140,$CQ$205^A102,IF(A102='Données projet'!$A$140,'Données projet'!$B$140,CT101+CS102-DB101)))</f>
        <v>298.09999999999985</v>
      </c>
      <c r="CU102" s="18">
        <f>CT102*VLOOKUP('Données projet'!$B$13,Paramètres!$A$1:$I$89,3,0)*VLOOKUP('Données projet'!$B$13,Paramètres!$A$1:$I$89,5,0)</f>
        <v>269.72087999999985</v>
      </c>
      <c r="CV102" s="14">
        <f t="shared" si="95"/>
        <v>64.790029413946939</v>
      </c>
      <c r="CW102" s="22">
        <f t="shared" si="67"/>
        <v>582.60650056262409</v>
      </c>
      <c r="CX102" s="60">
        <f t="shared" si="68"/>
        <v>875.93983389595746</v>
      </c>
      <c r="CY102" s="60">
        <f ca="1">AVERAGE(OFFSET($CX$3,0,0,'Données projet'!$E$13+1,1))-AVERAGE(OFFSET($H$3,0,0,'Données projet'!$E$13+1,1))</f>
        <v>428.8489304403459</v>
      </c>
      <c r="CZ102" s="60">
        <f t="shared" si="96"/>
        <v>247.01165577562966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3.4615384615384586</v>
      </c>
      <c r="DO102" s="13">
        <f>IF('Données projet'!$A$166&gt;35,DO101+DN102-DW101,IF(A102&lt;'Données projet'!$A$166,$DL$205^A102,IF(A102='Données projet'!$A$166,'Données projet'!$B$166,DO101+DN102-DW101)))</f>
        <v>306.1538461538459</v>
      </c>
      <c r="DP102" s="18">
        <f>DO102*VLOOKUP('Données projet'!$B$14,Paramètres!$A$1:$I$89,3,0)*VLOOKUP('Données projet'!$B$14,Paramètres!$A$1:$I$89,5,0)</f>
        <v>319.99199999999979</v>
      </c>
      <c r="DQ102" s="14">
        <f t="shared" si="97"/>
        <v>75.351689104824757</v>
      </c>
      <c r="DR102" s="22">
        <f t="shared" si="70"/>
        <v>688.55692519090269</v>
      </c>
      <c r="DS102" s="60">
        <f t="shared" si="71"/>
        <v>981.89025852423606</v>
      </c>
      <c r="DT102" s="60">
        <f ca="1">AVERAGE(OFFSET($DS$3,0,0,'Données projet'!$E$14+1,1))-AVERAGE(OFFSET($H$3,0,0,'Données projet'!$E$14+1,1))</f>
        <v>493.70175665335978</v>
      </c>
      <c r="DU102" s="60">
        <f t="shared" si="98"/>
        <v>325.12357781685949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-1.9895196601282805E-13</v>
      </c>
      <c r="EK102" s="18">
        <f>EJ102*VLOOKUP('Données projet'!$B$15,Paramètres!$A$1:$I$89,3,0)*VLOOKUP('Données projet'!$B$15,Paramètres!$A$1:$I$89,5,0)</f>
        <v>-1.6138983482960614E-13</v>
      </c>
      <c r="EL102" s="14" t="e">
        <f t="shared" si="99"/>
        <v>#NUM!</v>
      </c>
      <c r="EM102" s="22" t="e">
        <f t="shared" si="73"/>
        <v>#NUM!</v>
      </c>
      <c r="EN102" s="60" t="e">
        <f t="shared" si="74"/>
        <v>#NUM!</v>
      </c>
      <c r="EO102" s="60">
        <f ca="1">AVERAGE(OFFSET($EN$3,0,0,'Données projet'!$E$15+1,1))-AVERAGE(OFFSET($H$3,0,0,'Données projet'!$E$15+1,1))</f>
        <v>236.22643401787644</v>
      </c>
      <c r="EP102" s="60">
        <f t="shared" si="100"/>
        <v>188.80444043778022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</v>
      </c>
      <c r="FE102" s="13">
        <f>IF('Données projet'!$A$218&gt;35,FE101+FD102-FM101,IF(A102&lt;'Données projet'!$A$218,$FB$205^A102,IF(A102='Données projet'!$A$218,'Données projet'!$B$218,FE101+FD102-FM101)))</f>
        <v>167</v>
      </c>
      <c r="FF102" s="18">
        <f>FE102*VLOOKUP('Données projet'!$B$16,Paramètres!$A$1:$I$89,3,0)*VLOOKUP('Données projet'!$B$16,Paramètres!$A$1:$I$89,5,0)</f>
        <v>161.5224</v>
      </c>
      <c r="FG102" s="14">
        <f t="shared" si="101"/>
        <v>41.185707490721896</v>
      </c>
      <c r="FH102" s="22">
        <f t="shared" si="76"/>
        <v>353.04995387967392</v>
      </c>
      <c r="FI102" s="60">
        <f t="shared" si="77"/>
        <v>646.38328721300718</v>
      </c>
      <c r="FJ102" s="60">
        <f ca="1">AVERAGE(OFFSET($FI$3,0,0,'Données projet'!$E$16+1,1))-AVERAGE(OFFSET($H$3,0,0,'Données projet'!$E$16+1,1))</f>
        <v>255.59755832175625</v>
      </c>
      <c r="FK102" s="60">
        <f t="shared" si="102"/>
        <v>154.0840647586964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0" t="e">
        <f t="shared" si="80"/>
        <v>#N/A</v>
      </c>
      <c r="GE102" s="60" t="e">
        <f ca="1">AVERAGE(OFFSET($GD$3,0,0,'Données projet'!$E$17+1,1))-AVERAGE(OFFSET($H$3,0,0,'Données projet'!$E$17+1,1))</f>
        <v>#N/A</v>
      </c>
      <c r="GF102" s="60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7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0" t="e">
        <f t="shared" si="83"/>
        <v>#N/A</v>
      </c>
      <c r="GZ102" s="60" t="e">
        <f ca="1">AVERAGE(OFFSET($GY$3,0,0,'Données projet'!$E$18+1,1))-AVERAGE(OFFSET($H$3,0,0,'Données projet'!$E$18+1,1))</f>
        <v>#N/A</v>
      </c>
      <c r="HA102" s="60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5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68">
        <f t="shared" si="56"/>
        <v>256.66666666666669</v>
      </c>
      <c r="I103" s="7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0" t="e">
        <f t="shared" si="55"/>
        <v>#NUM!</v>
      </c>
      <c r="S103" s="60">
        <f ca="1">AVERAGE(OFFSET($R$3,0,0,'Données projet'!$E$9+1,1))-AVERAGE(OFFSET($H$3,0,0,'Données projet'!$E$9+1,1))</f>
        <v>64.775385872852041</v>
      </c>
      <c r="T103" s="60">
        <f t="shared" si="88"/>
        <v>201.69061202990468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8.03378918137855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1.758303871747496E-12</v>
      </c>
      <c r="AC103" s="24">
        <f t="shared" si="57"/>
        <v>8.0337891813803086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307.24199999999985</v>
      </c>
      <c r="AK103" s="14">
        <f t="shared" si="89"/>
        <v>72.692550770207774</v>
      </c>
      <c r="AL103" s="22">
        <f t="shared" si="58"/>
        <v>661.71934259144484</v>
      </c>
      <c r="AM103" s="60">
        <f t="shared" si="59"/>
        <v>955.05267592477821</v>
      </c>
      <c r="AN103" s="60">
        <f ca="1">AVERAGE(OFFSET($AM$3,0,0,'Données projet'!$E$10+1,1))-AVERAGE(OFFSET($H$3,0,0,'Données projet'!$E$10+1,1))</f>
        <v>475.47920969424894</v>
      </c>
      <c r="AO103" s="60">
        <f t="shared" si="90"/>
        <v>271.73544012419364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7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6.7984728957526396E-14</v>
      </c>
      <c r="BF103" s="14">
        <f t="shared" si="91"/>
        <v>1.0682447123141398E-12</v>
      </c>
      <c r="BG103" s="22">
        <f t="shared" si="61"/>
        <v>1.978932943548152E-12</v>
      </c>
      <c r="BH103" s="60">
        <f t="shared" si="62"/>
        <v>293.3333333333353</v>
      </c>
      <c r="BI103" s="60">
        <f ca="1">AVERAGE(OFFSET($BH$3,0,0,'Données projet'!$E$11+1,1))-AVERAGE(OFFSET($H$3,0,0,'Données projet'!$E$11+1,1))</f>
        <v>260.02504691866199</v>
      </c>
      <c r="BJ103" s="60">
        <f t="shared" si="92"/>
        <v>270.11268336406368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2.5020760913908759</v>
      </c>
      <c r="BQ103" s="23">
        <f>EXP(-LN(2)/25)*BQ102+(1-EXP(-LN(2)/25))/(LN(2)/25)*Calculateur!BL103*Calculateur!BN103*VLOOKUP('Données projet'!$B$11,Paramètres!$A$1:$I$89,3,0)*0.475*44/12</f>
        <v>2.3600061468550213</v>
      </c>
      <c r="BR103" s="23">
        <f>EXP(-LN(2)/2)*BR102+(1-EXP(-LN(2)/2))/(LN(2)/2)*BL103*BO103*VLOOKUP('Données projet'!$B$11,Paramètres!$A$1:$I$89,3,0)*0.475*44/12</f>
        <v>1.8451714847248058E-10</v>
      </c>
      <c r="BS103" s="24">
        <f t="shared" si="63"/>
        <v>4.8620822384304141</v>
      </c>
      <c r="BT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5.6546153846153828</v>
      </c>
      <c r="BY103" s="13">
        <f>IF('Données projet'!$A$114&gt;35,BY102+BX103-CG102,IF(A103&lt;'Données projet'!$A$114,$BV$205^A103,IF(A103='Données projet'!$A$114,'Données projet'!$B$114,BY102+BX103-CG102)))</f>
        <v>205.20076923076968</v>
      </c>
      <c r="BZ103" s="14">
        <f>BY103*VLOOKUP('Données projet'!$B$12,Paramètres!$A$1:$I$89,3,0)*VLOOKUP('Données projet'!$B$12,Paramètres!$A$1:$I$89,5,0)</f>
        <v>96.033960000000206</v>
      </c>
      <c r="CA103" s="14">
        <f t="shared" si="93"/>
        <v>26.014929381475952</v>
      </c>
      <c r="CB103" s="22">
        <f t="shared" si="64"/>
        <v>212.56848233940431</v>
      </c>
      <c r="CC103" s="60">
        <f t="shared" si="65"/>
        <v>505.9018156727376</v>
      </c>
      <c r="CD103" s="60">
        <f ca="1">AVERAGE(OFFSET($CC$3,0,0,'Données projet'!$E$12+1,1))-AVERAGE(OFFSET($H$3,0,0,'Données projet'!$E$12+1,1))</f>
        <v>246.72166704460847</v>
      </c>
      <c r="CE103" s="60">
        <f t="shared" si="94"/>
        <v>145.54897745089966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303</v>
      </c>
      <c r="CR103" s="13">
        <f>VLOOKUP(A103,'Données projet'!$A$139:$I$159,9,0)</f>
        <v>4.9000000000000004</v>
      </c>
      <c r="CS103" s="13">
        <f t="array" ref="CS103">INDEX(CR:CR,MIN(IF(ISNUMBER(CR103:CR299),ROW(CR103:CR299),"")))</f>
        <v>4.9000000000000004</v>
      </c>
      <c r="CT103" s="13">
        <f>IF('Données projet'!$A$140&gt;35,CT102+CS103-DB102,IF(A103&lt;'Données projet'!$A$140,$CQ$205^A103,IF(A103='Données projet'!$A$140,'Données projet'!$B$140,CT102+CS103-DB102)))</f>
        <v>302.99999999999983</v>
      </c>
      <c r="CU103" s="18">
        <f>CT103*VLOOKUP('Données projet'!$B$13,Paramètres!$A$1:$I$89,3,0)*VLOOKUP('Données projet'!$B$13,Paramètres!$A$1:$I$89,5,0)</f>
        <v>274.15439999999984</v>
      </c>
      <c r="CV103" s="14">
        <f t="shared" si="95"/>
        <v>65.730152764515779</v>
      </c>
      <c r="CW103" s="22">
        <f t="shared" si="67"/>
        <v>591.9655960648646</v>
      </c>
      <c r="CX103" s="60">
        <f t="shared" si="68"/>
        <v>885.29892939819797</v>
      </c>
      <c r="CY103" s="60">
        <f ca="1">AVERAGE(OFFSET($CX$3,0,0,'Données projet'!$E$13+1,1))-AVERAGE(OFFSET($H$3,0,0,'Données projet'!$E$13+1,1))</f>
        <v>428.8489304403459</v>
      </c>
      <c r="CZ103" s="60">
        <f t="shared" si="96"/>
        <v>247.01165577562966</v>
      </c>
      <c r="DA103" s="16">
        <f>IF(ISNA(VLOOKUP(A103,'Données projet'!$A$139:$I$159,3,0)),0,VLOOKUP(A103,'Données projet'!$A$139:$I$159,3,0))</f>
        <v>8</v>
      </c>
      <c r="DB103" s="16">
        <f>IF(ISNA(VLOOKUP(A103,'Données projet'!$A$139:$I$159,4,0)),0,VLOOKUP(A103,'Données projet'!$A$139:$I$159,4,0))</f>
        <v>42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309.61538461538458</v>
      </c>
      <c r="DM103" s="13">
        <f>VLOOKUP(A103,'Données projet'!$A$165:$I$185,9,0)</f>
        <v>3.4615384615384586</v>
      </c>
      <c r="DN103" s="13">
        <f t="array" ref="DN103">INDEX(DM:DM,MIN(IF(ISNUMBER(DM103:DM299),ROW(DM103:DM299),"")))</f>
        <v>3.4615384615384586</v>
      </c>
      <c r="DO103" s="13">
        <f>IF('Données projet'!$A$166&gt;35,DO102+DN103-DW102,IF(A103&lt;'Données projet'!$A$166,$DL$205^A103,IF(A103='Données projet'!$A$166,'Données projet'!$B$166,DO102+DN103-DW102)))</f>
        <v>309.61538461538436</v>
      </c>
      <c r="DP103" s="18">
        <f>DO103*VLOOKUP('Données projet'!$B$14,Paramètres!$A$1:$I$89,3,0)*VLOOKUP('Données projet'!$B$14,Paramètres!$A$1:$I$89,5,0)</f>
        <v>323.60999999999979</v>
      </c>
      <c r="DQ103" s="14">
        <f t="shared" si="97"/>
        <v>76.103993258558603</v>
      </c>
      <c r="DR103" s="22">
        <f t="shared" si="70"/>
        <v>696.16853825865599</v>
      </c>
      <c r="DS103" s="60">
        <f t="shared" si="71"/>
        <v>989.50187159198936</v>
      </c>
      <c r="DT103" s="60">
        <f ca="1">AVERAGE(OFFSET($DS$3,0,0,'Données projet'!$E$14+1,1))-AVERAGE(OFFSET($H$3,0,0,'Données projet'!$E$14+1,1))</f>
        <v>493.70175665335978</v>
      </c>
      <c r="DU103" s="60">
        <f t="shared" si="98"/>
        <v>325.12357781685949</v>
      </c>
      <c r="DV103" s="16">
        <f>IF(ISNA(VLOOKUP(A103,'Données projet'!$A$165:$I$185,3,0)),0,VLOOKUP(A103,'Données projet'!$A$165:$I$185,3,0))</f>
        <v>8</v>
      </c>
      <c r="DW103" s="16">
        <f>IF(ISNA(VLOOKUP(A103,'Données projet'!$A$165:$I$185,4,0)),0,VLOOKUP(A103,'Données projet'!$A$165:$I$185,4,0))</f>
        <v>20.512820512820511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-1.9895196601282805E-13</v>
      </c>
      <c r="EK103" s="18">
        <f>EJ103*VLOOKUP('Données projet'!$B$15,Paramètres!$A$1:$I$89,3,0)*VLOOKUP('Données projet'!$B$15,Paramètres!$A$1:$I$89,5,0)</f>
        <v>-1.6138983482960614E-13</v>
      </c>
      <c r="EL103" s="14" t="e">
        <f t="shared" si="99"/>
        <v>#NUM!</v>
      </c>
      <c r="EM103" s="22" t="e">
        <f t="shared" si="73"/>
        <v>#NUM!</v>
      </c>
      <c r="EN103" s="60" t="e">
        <f t="shared" si="74"/>
        <v>#NUM!</v>
      </c>
      <c r="EO103" s="60">
        <f ca="1">AVERAGE(OFFSET($EN$3,0,0,'Données projet'!$E$15+1,1))-AVERAGE(OFFSET($H$3,0,0,'Données projet'!$E$15+1,1))</f>
        <v>236.22643401787644</v>
      </c>
      <c r="EP103" s="60">
        <f t="shared" si="100"/>
        <v>188.80444043778022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170</v>
      </c>
      <c r="FC103" s="13">
        <f>VLOOKUP(A103,'Données projet'!$A$217:$I$237,9,0)</f>
        <v>3</v>
      </c>
      <c r="FD103" s="13">
        <f t="array" ref="FD103">INDEX(FC:FC,MIN(IF(ISNUMBER(FC103:FC299),ROW(FC103:FC299),"")))</f>
        <v>3</v>
      </c>
      <c r="FE103" s="13">
        <f>IF('Données projet'!$A$218&gt;35,FE102+FD103-FM102,IF(A103&lt;'Données projet'!$A$218,$FB$205^A103,IF(A103='Données projet'!$A$218,'Données projet'!$B$218,FE102+FD103-FM102)))</f>
        <v>170</v>
      </c>
      <c r="FF103" s="18">
        <f>FE103*VLOOKUP('Données projet'!$B$16,Paramètres!$A$1:$I$89,3,0)*VLOOKUP('Données projet'!$B$16,Paramètres!$A$1:$I$89,5,0)</f>
        <v>164.42400000000001</v>
      </c>
      <c r="FG103" s="14">
        <f t="shared" si="101"/>
        <v>41.838771477410226</v>
      </c>
      <c r="FH103" s="22">
        <f t="shared" si="76"/>
        <v>359.24099365648948</v>
      </c>
      <c r="FI103" s="60">
        <f t="shared" si="77"/>
        <v>652.57432698982279</v>
      </c>
      <c r="FJ103" s="60">
        <f ca="1">AVERAGE(OFFSET($FI$3,0,0,'Données projet'!$E$16+1,1))-AVERAGE(OFFSET($H$3,0,0,'Données projet'!$E$16+1,1))</f>
        <v>255.59755832175625</v>
      </c>
      <c r="FK103" s="60">
        <f t="shared" si="102"/>
        <v>154.0840647586964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0" t="e">
        <f t="shared" si="80"/>
        <v>#N/A</v>
      </c>
      <c r="GE103" s="60" t="e">
        <f ca="1">AVERAGE(OFFSET($GD$3,0,0,'Données projet'!$E$17+1,1))-AVERAGE(OFFSET($H$3,0,0,'Données projet'!$E$17+1,1))</f>
        <v>#N/A</v>
      </c>
      <c r="GF103" s="60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7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0" t="e">
        <f t="shared" si="83"/>
        <v>#N/A</v>
      </c>
      <c r="GZ103" s="60" t="e">
        <f ca="1">AVERAGE(OFFSET($GY$3,0,0,'Données projet'!$E$18+1,1))-AVERAGE(OFFSET($H$3,0,0,'Données projet'!$E$18+1,1))</f>
        <v>#N/A</v>
      </c>
      <c r="HA103" s="60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5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68">
        <f t="shared" si="56"/>
        <v>256.66666666666669</v>
      </c>
      <c r="I104" s="7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0" t="e">
        <f t="shared" si="55"/>
        <v>#NUM!</v>
      </c>
      <c r="S104" s="60">
        <f ca="1">AVERAGE(OFFSET($R$3,0,0,'Données projet'!$E$9+1,1))-AVERAGE(OFFSET($H$3,0,0,'Données projet'!$E$9+1,1))</f>
        <v>64.775385872852041</v>
      </c>
      <c r="T104" s="60">
        <f t="shared" si="88"/>
        <v>201.69061202990468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7.8762514756592701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1.243308591099216E-12</v>
      </c>
      <c r="AC104" s="24">
        <f t="shared" si="57"/>
        <v>7.8762514756605135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269.1155999999998</v>
      </c>
      <c r="AK104" s="14">
        <f t="shared" si="89"/>
        <v>64.661541462287076</v>
      </c>
      <c r="AL104" s="22">
        <f t="shared" si="58"/>
        <v>581.3285213801496</v>
      </c>
      <c r="AM104" s="60">
        <f t="shared" si="59"/>
        <v>874.66185471348285</v>
      </c>
      <c r="AN104" s="60">
        <f ca="1">AVERAGE(OFFSET($AM$3,0,0,'Données projet'!$E$10+1,1))-AVERAGE(OFFSET($H$3,0,0,'Données projet'!$E$10+1,1))</f>
        <v>475.47920969424894</v>
      </c>
      <c r="AO104" s="60">
        <f t="shared" si="90"/>
        <v>271.73544012419364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7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6.7984728957526396E-14</v>
      </c>
      <c r="BF104" s="14">
        <f t="shared" si="91"/>
        <v>1.0682447123141398E-12</v>
      </c>
      <c r="BG104" s="22">
        <f t="shared" si="61"/>
        <v>1.978932943548152E-12</v>
      </c>
      <c r="BH104" s="60">
        <f t="shared" si="62"/>
        <v>293.3333333333353</v>
      </c>
      <c r="BI104" s="60">
        <f ca="1">AVERAGE(OFFSET($BH$3,0,0,'Données projet'!$E$11+1,1))-AVERAGE(OFFSET($H$3,0,0,'Données projet'!$E$11+1,1))</f>
        <v>260.02504691866199</v>
      </c>
      <c r="BJ104" s="60">
        <f t="shared" si="92"/>
        <v>270.11268336406368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2.4530119053544253</v>
      </c>
      <c r="BQ104" s="23">
        <f>EXP(-LN(2)/25)*BQ103+(1-EXP(-LN(2)/25))/(LN(2)/25)*Calculateur!BL104*Calculateur!BN104*VLOOKUP('Données projet'!$B$11,Paramètres!$A$1:$I$89,3,0)*0.475*44/12</f>
        <v>2.2954716546619411</v>
      </c>
      <c r="BR104" s="23">
        <f>EXP(-LN(2)/2)*BR103+(1-EXP(-LN(2)/2))/(LN(2)/2)*BL104*BO104*VLOOKUP('Données projet'!$B$11,Paramètres!$A$1:$I$89,3,0)*0.475*44/12</f>
        <v>1.3047332693009603E-10</v>
      </c>
      <c r="BS104" s="24">
        <f t="shared" si="63"/>
        <v>4.7484835601468394</v>
      </c>
      <c r="BT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5.6546153846153828</v>
      </c>
      <c r="BY104" s="13">
        <f>IF('Données projet'!$A$114&gt;35,BY103+BX104-CG103,IF(A104&lt;'Données projet'!$A$114,$BV$205^A104,IF(A104='Données projet'!$A$114,'Données projet'!$B$114,BY103+BX104-CG103)))</f>
        <v>210.85538461538505</v>
      </c>
      <c r="BZ104" s="14">
        <f>BY104*VLOOKUP('Données projet'!$B$12,Paramètres!$A$1:$I$89,3,0)*VLOOKUP('Données projet'!$B$12,Paramètres!$A$1:$I$89,5,0)</f>
        <v>98.680320000000208</v>
      </c>
      <c r="CA104" s="14">
        <f t="shared" si="93"/>
        <v>26.647359319385743</v>
      </c>
      <c r="CB104" s="22">
        <f t="shared" si="64"/>
        <v>218.27904148126387</v>
      </c>
      <c r="CC104" s="60">
        <f t="shared" si="65"/>
        <v>511.61237481459716</v>
      </c>
      <c r="CD104" s="60">
        <f ca="1">AVERAGE(OFFSET($CC$3,0,0,'Données projet'!$E$12+1,1))-AVERAGE(OFFSET($H$3,0,0,'Données projet'!$E$12+1,1))</f>
        <v>246.72166704460847</v>
      </c>
      <c r="CE104" s="60">
        <f t="shared" si="94"/>
        <v>145.54897745089966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265.39999999999981</v>
      </c>
      <c r="CU104" s="18">
        <f>CT104*VLOOKUP('Données projet'!$B$13,Paramètres!$A$1:$I$89,3,0)*VLOOKUP('Données projet'!$B$13,Paramètres!$A$1:$I$89,5,0)</f>
        <v>240.13391999999982</v>
      </c>
      <c r="CV104" s="14">
        <f t="shared" si="95"/>
        <v>58.468343087048559</v>
      </c>
      <c r="CW104" s="22">
        <f t="shared" si="67"/>
        <v>520.06560820994252</v>
      </c>
      <c r="CX104" s="60">
        <f t="shared" si="68"/>
        <v>813.3989415432759</v>
      </c>
      <c r="CY104" s="60">
        <f ca="1">AVERAGE(OFFSET($CX$3,0,0,'Données projet'!$E$13+1,1))-AVERAGE(OFFSET($H$3,0,0,'Données projet'!$E$13+1,1))</f>
        <v>428.8489304403459</v>
      </c>
      <c r="CZ104" s="60">
        <f t="shared" si="96"/>
        <v>247.01165577562966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3.2051282051282044</v>
      </c>
      <c r="DO104" s="13">
        <f>IF('Données projet'!$A$166&gt;35,DO103+DN104-DW103,IF(A104&lt;'Données projet'!$A$166,$DL$205^A104,IF(A104='Données projet'!$A$166,'Données projet'!$B$166,DO103+DN104-DW103)))</f>
        <v>292.30769230769209</v>
      </c>
      <c r="DP104" s="18">
        <f>DO104*VLOOKUP('Données projet'!$B$14,Paramètres!$A$1:$I$89,3,0)*VLOOKUP('Données projet'!$B$14,Paramètres!$A$1:$I$89,5,0)</f>
        <v>305.51999999999981</v>
      </c>
      <c r="DQ104" s="14">
        <f t="shared" si="97"/>
        <v>72.332436678206648</v>
      </c>
      <c r="DR104" s="22">
        <f t="shared" si="70"/>
        <v>658.09299388120962</v>
      </c>
      <c r="DS104" s="60">
        <f t="shared" si="71"/>
        <v>951.42632721454288</v>
      </c>
      <c r="DT104" s="60">
        <f ca="1">AVERAGE(OFFSET($DS$3,0,0,'Données projet'!$E$14+1,1))-AVERAGE(OFFSET($H$3,0,0,'Données projet'!$E$14+1,1))</f>
        <v>493.70175665335978</v>
      </c>
      <c r="DU104" s="60">
        <f t="shared" si="98"/>
        <v>325.12357781685949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-1.9895196601282805E-13</v>
      </c>
      <c r="EK104" s="18">
        <f>EJ104*VLOOKUP('Données projet'!$B$15,Paramètres!$A$1:$I$89,3,0)*VLOOKUP('Données projet'!$B$15,Paramètres!$A$1:$I$89,5,0)</f>
        <v>-1.6138983482960614E-13</v>
      </c>
      <c r="EL104" s="14" t="e">
        <f t="shared" si="99"/>
        <v>#NUM!</v>
      </c>
      <c r="EM104" s="22" t="e">
        <f t="shared" si="73"/>
        <v>#NUM!</v>
      </c>
      <c r="EN104" s="60" t="e">
        <f t="shared" si="74"/>
        <v>#NUM!</v>
      </c>
      <c r="EO104" s="60">
        <f ca="1">AVERAGE(OFFSET($EN$3,0,0,'Données projet'!$E$15+1,1))-AVERAGE(OFFSET($H$3,0,0,'Données projet'!$E$15+1,1))</f>
        <v>236.22643401787644</v>
      </c>
      <c r="EP104" s="60">
        <f t="shared" si="100"/>
        <v>188.80444043778022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2.8</v>
      </c>
      <c r="FE104" s="13">
        <f>IF('Données projet'!$A$218&gt;35,FE103+FD104-FM103,IF(A104&lt;'Données projet'!$A$218,$FB$205^A104,IF(A104='Données projet'!$A$218,'Données projet'!$B$218,FE103+FD104-FM103)))</f>
        <v>172.8</v>
      </c>
      <c r="FF104" s="18">
        <f>FE104*VLOOKUP('Données projet'!$B$16,Paramètres!$A$1:$I$89,3,0)*VLOOKUP('Données projet'!$B$16,Paramètres!$A$1:$I$89,5,0)</f>
        <v>167.13216000000003</v>
      </c>
      <c r="FG104" s="14">
        <f t="shared" si="101"/>
        <v>42.447088211746923</v>
      </c>
      <c r="FH104" s="22">
        <f t="shared" si="76"/>
        <v>365.01719063545926</v>
      </c>
      <c r="FI104" s="60">
        <f t="shared" si="77"/>
        <v>658.35052396879257</v>
      </c>
      <c r="FJ104" s="60">
        <f ca="1">AVERAGE(OFFSET($FI$3,0,0,'Données projet'!$E$16+1,1))-AVERAGE(OFFSET($H$3,0,0,'Données projet'!$E$16+1,1))</f>
        <v>255.59755832175625</v>
      </c>
      <c r="FK104" s="60">
        <f t="shared" si="102"/>
        <v>154.0840647586964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0" t="e">
        <f t="shared" si="80"/>
        <v>#N/A</v>
      </c>
      <c r="GE104" s="60" t="e">
        <f ca="1">AVERAGE(OFFSET($GD$3,0,0,'Données projet'!$E$17+1,1))-AVERAGE(OFFSET($H$3,0,0,'Données projet'!$E$17+1,1))</f>
        <v>#N/A</v>
      </c>
      <c r="GF104" s="60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7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0" t="e">
        <f t="shared" si="83"/>
        <v>#N/A</v>
      </c>
      <c r="GZ104" s="60" t="e">
        <f ca="1">AVERAGE(OFFSET($GY$3,0,0,'Données projet'!$E$18+1,1))-AVERAGE(OFFSET($H$3,0,0,'Données projet'!$E$18+1,1))</f>
        <v>#N/A</v>
      </c>
      <c r="HA104" s="60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5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68">
        <f t="shared" si="56"/>
        <v>256.66666666666669</v>
      </c>
      <c r="I105" s="7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0" t="e">
        <f t="shared" si="55"/>
        <v>#NUM!</v>
      </c>
      <c r="S105" s="60">
        <f ca="1">AVERAGE(OFFSET($R$3,0,0,'Données projet'!$E$9+1,1))-AVERAGE(OFFSET($H$3,0,0,'Données projet'!$E$9+1,1))</f>
        <v>64.775385872852041</v>
      </c>
      <c r="T105" s="60">
        <f t="shared" si="88"/>
        <v>201.69061202990468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7.7218029882606327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8.7915193587374802E-13</v>
      </c>
      <c r="AC105" s="24">
        <f t="shared" si="57"/>
        <v>7.721802988261512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273.57719999999978</v>
      </c>
      <c r="AK105" s="14">
        <f t="shared" si="89"/>
        <v>65.60785888991505</v>
      </c>
      <c r="AL105" s="22">
        <f t="shared" si="58"/>
        <v>590.74731089993509</v>
      </c>
      <c r="AM105" s="60">
        <f t="shared" si="59"/>
        <v>884.08064423326846</v>
      </c>
      <c r="AN105" s="60">
        <f ca="1">AVERAGE(OFFSET($AM$3,0,0,'Données projet'!$E$10+1,1))-AVERAGE(OFFSET($H$3,0,0,'Données projet'!$E$10+1,1))</f>
        <v>475.47920969424894</v>
      </c>
      <c r="AO105" s="60">
        <f t="shared" si="90"/>
        <v>271.73544012419364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7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6.7984728957526396E-14</v>
      </c>
      <c r="BF105" s="14">
        <f t="shared" si="91"/>
        <v>1.0682447123141398E-12</v>
      </c>
      <c r="BG105" s="22">
        <f t="shared" si="61"/>
        <v>1.978932943548152E-12</v>
      </c>
      <c r="BH105" s="60">
        <f t="shared" si="62"/>
        <v>293.3333333333353</v>
      </c>
      <c r="BI105" s="60">
        <f ca="1">AVERAGE(OFFSET($BH$3,0,0,'Données projet'!$E$11+1,1))-AVERAGE(OFFSET($H$3,0,0,'Données projet'!$E$11+1,1))</f>
        <v>260.02504691866199</v>
      </c>
      <c r="BJ105" s="60">
        <f t="shared" si="92"/>
        <v>270.11268336406368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2.4049098380799507</v>
      </c>
      <c r="BQ105" s="23">
        <f>EXP(-LN(2)/25)*BQ104+(1-EXP(-LN(2)/25))/(LN(2)/25)*Calculateur!BL105*Calculateur!BN105*VLOOKUP('Données projet'!$B$11,Paramètres!$A$1:$I$89,3,0)*0.475*44/12</f>
        <v>2.2327018615516026</v>
      </c>
      <c r="BR105" s="23">
        <f>EXP(-LN(2)/2)*BR104+(1-EXP(-LN(2)/2))/(LN(2)/2)*BL105*BO105*VLOOKUP('Données projet'!$B$11,Paramètres!$A$1:$I$89,3,0)*0.475*44/12</f>
        <v>9.2258574236240292E-11</v>
      </c>
      <c r="BS105" s="24">
        <f t="shared" si="63"/>
        <v>4.6376116997238119</v>
      </c>
      <c r="BT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5.6546153846153828</v>
      </c>
      <c r="BY105" s="13">
        <f>IF('Données projet'!$A$114&gt;35,BY104+BX105-CG104,IF(A105&lt;'Données projet'!$A$114,$BV$205^A105,IF(A105='Données projet'!$A$114,'Données projet'!$B$114,BY104+BX105-CG104)))</f>
        <v>216.51000000000045</v>
      </c>
      <c r="BZ105" s="14">
        <f>BY105*VLOOKUP('Données projet'!$B$12,Paramètres!$A$1:$I$89,3,0)*VLOOKUP('Données projet'!$B$12,Paramètres!$A$1:$I$89,5,0)</f>
        <v>101.32668000000021</v>
      </c>
      <c r="CA105" s="14">
        <f t="shared" si="93"/>
        <v>27.277817919146429</v>
      </c>
      <c r="CB105" s="22">
        <f t="shared" si="64"/>
        <v>223.98616720918039</v>
      </c>
      <c r="CC105" s="60">
        <f t="shared" si="65"/>
        <v>517.31950054251365</v>
      </c>
      <c r="CD105" s="60">
        <f ca="1">AVERAGE(OFFSET($CC$3,0,0,'Données projet'!$E$12+1,1))-AVERAGE(OFFSET($H$3,0,0,'Données projet'!$E$12+1,1))</f>
        <v>246.72166704460847</v>
      </c>
      <c r="CE105" s="60">
        <f t="shared" si="94"/>
        <v>145.54897745089966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269.79999999999978</v>
      </c>
      <c r="CU105" s="18">
        <f>CT105*VLOOKUP('Données projet'!$B$13,Paramètres!$A$1:$I$89,3,0)*VLOOKUP('Données projet'!$B$13,Paramètres!$A$1:$I$89,5,0)</f>
        <v>244.11503999999979</v>
      </c>
      <c r="CV105" s="14">
        <f t="shared" si="95"/>
        <v>59.324023461759012</v>
      </c>
      <c r="CW105" s="22">
        <f t="shared" si="67"/>
        <v>528.48970219589648</v>
      </c>
      <c r="CX105" s="60">
        <f t="shared" si="68"/>
        <v>821.82303552922986</v>
      </c>
      <c r="CY105" s="60">
        <f ca="1">AVERAGE(OFFSET($CX$3,0,0,'Données projet'!$E$13+1,1))-AVERAGE(OFFSET($H$3,0,0,'Données projet'!$E$13+1,1))</f>
        <v>428.8489304403459</v>
      </c>
      <c r="CZ105" s="60">
        <f t="shared" si="96"/>
        <v>247.01165577562966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3.2051282051282044</v>
      </c>
      <c r="DO105" s="13">
        <f>IF('Données projet'!$A$166&gt;35,DO104+DN105-DW104,IF(A105&lt;'Données projet'!$A$166,$DL$205^A105,IF(A105='Données projet'!$A$166,'Données projet'!$B$166,DO104+DN105-DW104)))</f>
        <v>295.51282051282033</v>
      </c>
      <c r="DP105" s="18">
        <f>DO105*VLOOKUP('Données projet'!$B$14,Paramètres!$A$1:$I$89,3,0)*VLOOKUP('Données projet'!$B$14,Paramètres!$A$1:$I$89,5,0)</f>
        <v>308.86999999999983</v>
      </c>
      <c r="DQ105" s="14">
        <f t="shared" si="97"/>
        <v>73.032791063818379</v>
      </c>
      <c r="DR105" s="22">
        <f t="shared" si="70"/>
        <v>665.14736110281672</v>
      </c>
      <c r="DS105" s="60">
        <f t="shared" si="71"/>
        <v>958.48069443615009</v>
      </c>
      <c r="DT105" s="60">
        <f ca="1">AVERAGE(OFFSET($DS$3,0,0,'Données projet'!$E$14+1,1))-AVERAGE(OFFSET($H$3,0,0,'Données projet'!$E$14+1,1))</f>
        <v>493.70175665335978</v>
      </c>
      <c r="DU105" s="60">
        <f t="shared" si="98"/>
        <v>325.12357781685949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-1.9895196601282805E-13</v>
      </c>
      <c r="EK105" s="18">
        <f>EJ105*VLOOKUP('Données projet'!$B$15,Paramètres!$A$1:$I$89,3,0)*VLOOKUP('Données projet'!$B$15,Paramètres!$A$1:$I$89,5,0)</f>
        <v>-1.6138983482960614E-13</v>
      </c>
      <c r="EL105" s="14" t="e">
        <f t="shared" si="99"/>
        <v>#NUM!</v>
      </c>
      <c r="EM105" s="22" t="e">
        <f t="shared" si="73"/>
        <v>#NUM!</v>
      </c>
      <c r="EN105" s="60" t="e">
        <f t="shared" si="74"/>
        <v>#NUM!</v>
      </c>
      <c r="EO105" s="60">
        <f ca="1">AVERAGE(OFFSET($EN$3,0,0,'Données projet'!$E$15+1,1))-AVERAGE(OFFSET($H$3,0,0,'Données projet'!$E$15+1,1))</f>
        <v>236.22643401787644</v>
      </c>
      <c r="EP105" s="60">
        <f t="shared" si="100"/>
        <v>188.80444043778022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2.8</v>
      </c>
      <c r="FE105" s="13">
        <f>IF('Données projet'!$A$218&gt;35,FE104+FD105-FM104,IF(A105&lt;'Données projet'!$A$218,$FB$205^A105,IF(A105='Données projet'!$A$218,'Données projet'!$B$218,FE104+FD105-FM104)))</f>
        <v>175.60000000000002</v>
      </c>
      <c r="FF105" s="18">
        <f>FE105*VLOOKUP('Données projet'!$B$16,Paramètres!$A$1:$I$89,3,0)*VLOOKUP('Données projet'!$B$16,Paramètres!$A$1:$I$89,5,0)</f>
        <v>169.84032000000002</v>
      </c>
      <c r="FG105" s="14">
        <f t="shared" si="101"/>
        <v>43.054258621433533</v>
      </c>
      <c r="FH105" s="22">
        <f t="shared" si="76"/>
        <v>370.79139109899671</v>
      </c>
      <c r="FI105" s="60">
        <f t="shared" si="77"/>
        <v>664.12472443233003</v>
      </c>
      <c r="FJ105" s="60">
        <f ca="1">AVERAGE(OFFSET($FI$3,0,0,'Données projet'!$E$16+1,1))-AVERAGE(OFFSET($H$3,0,0,'Données projet'!$E$16+1,1))</f>
        <v>255.59755832175625</v>
      </c>
      <c r="FK105" s="60">
        <f t="shared" si="102"/>
        <v>154.0840647586964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0" t="e">
        <f t="shared" si="80"/>
        <v>#N/A</v>
      </c>
      <c r="GE105" s="60" t="e">
        <f ca="1">AVERAGE(OFFSET($GD$3,0,0,'Données projet'!$E$17+1,1))-AVERAGE(OFFSET($H$3,0,0,'Données projet'!$E$17+1,1))</f>
        <v>#N/A</v>
      </c>
      <c r="GF105" s="60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7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0" t="e">
        <f t="shared" si="83"/>
        <v>#N/A</v>
      </c>
      <c r="GZ105" s="60" t="e">
        <f ca="1">AVERAGE(OFFSET($GY$3,0,0,'Données projet'!$E$18+1,1))-AVERAGE(OFFSET($H$3,0,0,'Données projet'!$E$18+1,1))</f>
        <v>#N/A</v>
      </c>
      <c r="HA105" s="60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5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68">
        <f t="shared" si="56"/>
        <v>256.66666666666669</v>
      </c>
      <c r="I106" s="7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0" t="e">
        <f t="shared" si="55"/>
        <v>#NUM!</v>
      </c>
      <c r="S106" s="60">
        <f ca="1">AVERAGE(OFFSET($R$3,0,0,'Données projet'!$E$9+1,1))-AVERAGE(OFFSET($H$3,0,0,'Données projet'!$E$9+1,1))</f>
        <v>64.775385872852041</v>
      </c>
      <c r="T106" s="60">
        <f t="shared" si="88"/>
        <v>201.69061202990468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7.5703831414956069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6.21654295549608E-13</v>
      </c>
      <c r="AC106" s="24">
        <f t="shared" si="57"/>
        <v>7.5703831414962286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278.03879999999975</v>
      </c>
      <c r="AK106" s="14">
        <f t="shared" si="89"/>
        <v>66.552381547717744</v>
      </c>
      <c r="AL106" s="22">
        <f t="shared" si="58"/>
        <v>600.16297452894128</v>
      </c>
      <c r="AM106" s="60">
        <f t="shared" si="59"/>
        <v>893.49630786227453</v>
      </c>
      <c r="AN106" s="60">
        <f ca="1">AVERAGE(OFFSET($AM$3,0,0,'Données projet'!$E$10+1,1))-AVERAGE(OFFSET($H$3,0,0,'Données projet'!$E$10+1,1))</f>
        <v>475.47920969424894</v>
      </c>
      <c r="AO106" s="60">
        <f t="shared" si="90"/>
        <v>271.73544012419364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7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6.7984728957526396E-14</v>
      </c>
      <c r="BF106" s="14">
        <f t="shared" si="91"/>
        <v>1.0682447123141398E-12</v>
      </c>
      <c r="BG106" s="22">
        <f t="shared" si="61"/>
        <v>1.978932943548152E-12</v>
      </c>
      <c r="BH106" s="60">
        <f t="shared" si="62"/>
        <v>293.3333333333353</v>
      </c>
      <c r="BI106" s="60">
        <f ca="1">AVERAGE(OFFSET($BH$3,0,0,'Données projet'!$E$11+1,1))-AVERAGE(OFFSET($H$3,0,0,'Données projet'!$E$11+1,1))</f>
        <v>260.02504691866199</v>
      </c>
      <c r="BJ106" s="60">
        <f t="shared" si="92"/>
        <v>270.11268336406368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2.3577510230053647</v>
      </c>
      <c r="BQ106" s="23">
        <f>EXP(-LN(2)/25)*BQ105+(1-EXP(-LN(2)/25))/(LN(2)/25)*Calculateur!BL106*Calculateur!BN106*VLOOKUP('Données projet'!$B$11,Paramètres!$A$1:$I$89,3,0)*0.475*44/12</f>
        <v>2.1716485117347859</v>
      </c>
      <c r="BR106" s="23">
        <f>EXP(-LN(2)/2)*BR105+(1-EXP(-LN(2)/2))/(LN(2)/2)*BL106*BO106*VLOOKUP('Données projet'!$B$11,Paramètres!$A$1:$I$89,3,0)*0.475*44/12</f>
        <v>6.5236663465048015E-11</v>
      </c>
      <c r="BS106" s="24">
        <f t="shared" si="63"/>
        <v>4.5293995348053873</v>
      </c>
      <c r="BT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5.6546153846153828</v>
      </c>
      <c r="BY106" s="13">
        <f>IF('Données projet'!$A$114&gt;35,BY105+BX106-CG105,IF(A106&lt;'Données projet'!$A$114,$BV$205^A106,IF(A106='Données projet'!$A$114,'Données projet'!$B$114,BY105+BX106-CG105)))</f>
        <v>222.16461538461584</v>
      </c>
      <c r="BZ106" s="14">
        <f>BY106*VLOOKUP('Données projet'!$B$12,Paramètres!$A$1:$I$89,3,0)*VLOOKUP('Données projet'!$B$12,Paramètres!$A$1:$I$89,5,0)</f>
        <v>103.97304000000021</v>
      </c>
      <c r="CA106" s="14">
        <f t="shared" si="93"/>
        <v>27.906362585271903</v>
      </c>
      <c r="CB106" s="22">
        <f t="shared" si="64"/>
        <v>229.68995950268229</v>
      </c>
      <c r="CC106" s="60">
        <f t="shared" si="65"/>
        <v>523.02329283601557</v>
      </c>
      <c r="CD106" s="60">
        <f ca="1">AVERAGE(OFFSET($CC$3,0,0,'Données projet'!$E$12+1,1))-AVERAGE(OFFSET($H$3,0,0,'Données projet'!$E$12+1,1))</f>
        <v>246.72166704460847</v>
      </c>
      <c r="CE106" s="60">
        <f t="shared" si="94"/>
        <v>145.54897745089966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274.19999999999976</v>
      </c>
      <c r="CU106" s="18">
        <f>CT106*VLOOKUP('Données projet'!$B$13,Paramètres!$A$1:$I$89,3,0)*VLOOKUP('Données projet'!$B$13,Paramètres!$A$1:$I$89,5,0)</f>
        <v>248.0961599999998</v>
      </c>
      <c r="CV106" s="14">
        <f t="shared" si="95"/>
        <v>60.178080967364686</v>
      </c>
      <c r="CW106" s="22">
        <f t="shared" si="67"/>
        <v>536.91096968482657</v>
      </c>
      <c r="CX106" s="60">
        <f t="shared" si="68"/>
        <v>830.24430301815983</v>
      </c>
      <c r="CY106" s="60">
        <f ca="1">AVERAGE(OFFSET($CX$3,0,0,'Données projet'!$E$13+1,1))-AVERAGE(OFFSET($H$3,0,0,'Données projet'!$E$13+1,1))</f>
        <v>428.8489304403459</v>
      </c>
      <c r="CZ106" s="60">
        <f t="shared" si="96"/>
        <v>247.01165577562966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3.2051282051282044</v>
      </c>
      <c r="DO106" s="13">
        <f>IF('Données projet'!$A$166&gt;35,DO105+DN106-DW105,IF(A106&lt;'Données projet'!$A$166,$DL$205^A106,IF(A106='Données projet'!$A$166,'Données projet'!$B$166,DO105+DN106-DW105)))</f>
        <v>298.7179487179485</v>
      </c>
      <c r="DP106" s="18">
        <f>DO106*VLOOKUP('Données projet'!$B$14,Paramètres!$A$1:$I$89,3,0)*VLOOKUP('Données projet'!$B$14,Paramètres!$A$1:$I$89,5,0)</f>
        <v>312.2199999999998</v>
      </c>
      <c r="DQ106" s="14">
        <f t="shared" si="97"/>
        <v>73.732261810577455</v>
      </c>
      <c r="DR106" s="22">
        <f t="shared" si="70"/>
        <v>672.20018932008873</v>
      </c>
      <c r="DS106" s="60">
        <f t="shared" si="71"/>
        <v>965.5335226534221</v>
      </c>
      <c r="DT106" s="60">
        <f ca="1">AVERAGE(OFFSET($DS$3,0,0,'Données projet'!$E$14+1,1))-AVERAGE(OFFSET($H$3,0,0,'Données projet'!$E$14+1,1))</f>
        <v>493.70175665335978</v>
      </c>
      <c r="DU106" s="60">
        <f t="shared" si="98"/>
        <v>325.12357781685949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-1.9895196601282805E-13</v>
      </c>
      <c r="EK106" s="18">
        <f>EJ106*VLOOKUP('Données projet'!$B$15,Paramètres!$A$1:$I$89,3,0)*VLOOKUP('Données projet'!$B$15,Paramètres!$A$1:$I$89,5,0)</f>
        <v>-1.6138983482960614E-13</v>
      </c>
      <c r="EL106" s="14" t="e">
        <f t="shared" si="99"/>
        <v>#NUM!</v>
      </c>
      <c r="EM106" s="22" t="e">
        <f t="shared" si="73"/>
        <v>#NUM!</v>
      </c>
      <c r="EN106" s="60" t="e">
        <f t="shared" si="74"/>
        <v>#NUM!</v>
      </c>
      <c r="EO106" s="60">
        <f ca="1">AVERAGE(OFFSET($EN$3,0,0,'Données projet'!$E$15+1,1))-AVERAGE(OFFSET($H$3,0,0,'Données projet'!$E$15+1,1))</f>
        <v>236.22643401787644</v>
      </c>
      <c r="EP106" s="60">
        <f t="shared" si="100"/>
        <v>188.80444043778022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2.8</v>
      </c>
      <c r="FE106" s="13">
        <f>IF('Données projet'!$A$218&gt;35,FE105+FD106-FM105,IF(A106&lt;'Données projet'!$A$218,$FB$205^A106,IF(A106='Données projet'!$A$218,'Données projet'!$B$218,FE105+FD106-FM105)))</f>
        <v>178.40000000000003</v>
      </c>
      <c r="FF106" s="18">
        <f>FE106*VLOOKUP('Données projet'!$B$16,Paramètres!$A$1:$I$89,3,0)*VLOOKUP('Données projet'!$B$16,Paramètres!$A$1:$I$89,5,0)</f>
        <v>172.54848000000004</v>
      </c>
      <c r="FG106" s="14">
        <f t="shared" si="101"/>
        <v>43.6603030954305</v>
      </c>
      <c r="FH106" s="22">
        <f t="shared" si="76"/>
        <v>376.56363055787483</v>
      </c>
      <c r="FI106" s="60">
        <f t="shared" si="77"/>
        <v>669.89696389120809</v>
      </c>
      <c r="FJ106" s="60">
        <f ca="1">AVERAGE(OFFSET($FI$3,0,0,'Données projet'!$E$16+1,1))-AVERAGE(OFFSET($H$3,0,0,'Données projet'!$E$16+1,1))</f>
        <v>255.59755832175625</v>
      </c>
      <c r="FK106" s="60">
        <f t="shared" si="102"/>
        <v>154.0840647586964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0" t="e">
        <f t="shared" si="80"/>
        <v>#N/A</v>
      </c>
      <c r="GE106" s="60" t="e">
        <f ca="1">AVERAGE(OFFSET($GD$3,0,0,'Données projet'!$E$17+1,1))-AVERAGE(OFFSET($H$3,0,0,'Données projet'!$E$17+1,1))</f>
        <v>#N/A</v>
      </c>
      <c r="GF106" s="60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7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0" t="e">
        <f t="shared" si="83"/>
        <v>#N/A</v>
      </c>
      <c r="GZ106" s="60" t="e">
        <f ca="1">AVERAGE(OFFSET($GY$3,0,0,'Données projet'!$E$18+1,1))-AVERAGE(OFFSET($H$3,0,0,'Données projet'!$E$18+1,1))</f>
        <v>#N/A</v>
      </c>
      <c r="HA106" s="60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5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68">
        <f t="shared" si="56"/>
        <v>256.66666666666669</v>
      </c>
      <c r="I107" s="7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0" t="e">
        <f t="shared" si="55"/>
        <v>#NUM!</v>
      </c>
      <c r="S107" s="60">
        <f ca="1">AVERAGE(OFFSET($R$3,0,0,'Données projet'!$E$9+1,1))-AVERAGE(OFFSET($H$3,0,0,'Données projet'!$E$9+1,1))</f>
        <v>64.775385872852041</v>
      </c>
      <c r="T107" s="60">
        <f t="shared" si="88"/>
        <v>201.69061202990468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7.421932545568656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4.3957596793687401E-13</v>
      </c>
      <c r="AC107" s="24">
        <f t="shared" si="57"/>
        <v>7.4219325455690957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282.50039999999973</v>
      </c>
      <c r="AK107" s="14">
        <f t="shared" si="89"/>
        <v>67.495141560894311</v>
      </c>
      <c r="AL107" s="22">
        <f t="shared" si="58"/>
        <v>609.57556821855712</v>
      </c>
      <c r="AM107" s="60">
        <f t="shared" si="59"/>
        <v>902.90890155189049</v>
      </c>
      <c r="AN107" s="60">
        <f ca="1">AVERAGE(OFFSET($AM$3,0,0,'Données projet'!$E$10+1,1))-AVERAGE(OFFSET($H$3,0,0,'Données projet'!$E$10+1,1))</f>
        <v>475.47920969424894</v>
      </c>
      <c r="AO107" s="60">
        <f t="shared" si="90"/>
        <v>271.73544012419364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7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6.7984728957526396E-14</v>
      </c>
      <c r="BF107" s="14">
        <f t="shared" si="91"/>
        <v>1.0682447123141398E-12</v>
      </c>
      <c r="BG107" s="22">
        <f t="shared" si="61"/>
        <v>1.978932943548152E-12</v>
      </c>
      <c r="BH107" s="60">
        <f t="shared" si="62"/>
        <v>293.3333333333353</v>
      </c>
      <c r="BI107" s="60">
        <f ca="1">AVERAGE(OFFSET($BH$3,0,0,'Données projet'!$E$11+1,1))-AVERAGE(OFFSET($H$3,0,0,'Données projet'!$E$11+1,1))</f>
        <v>260.02504691866199</v>
      </c>
      <c r="BJ107" s="60">
        <f t="shared" si="92"/>
        <v>270.11268336406368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2.3115169635303543</v>
      </c>
      <c r="BQ107" s="23">
        <f>EXP(-LN(2)/25)*BQ106+(1-EXP(-LN(2)/25))/(LN(2)/25)*Calculateur!BL107*Calculateur!BN107*VLOOKUP('Données projet'!$B$11,Paramètres!$A$1:$I$89,3,0)*0.475*44/12</f>
        <v>2.1122646689793663</v>
      </c>
      <c r="BR107" s="23">
        <f>EXP(-LN(2)/2)*BR106+(1-EXP(-LN(2)/2))/(LN(2)/2)*BL107*BO107*VLOOKUP('Données projet'!$B$11,Paramètres!$A$1:$I$89,3,0)*0.475*44/12</f>
        <v>4.6129287118120146E-11</v>
      </c>
      <c r="BS107" s="24">
        <f t="shared" si="63"/>
        <v>4.4237816325558503</v>
      </c>
      <c r="BT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5.6546153846153828</v>
      </c>
      <c r="BY107" s="13">
        <f>IF('Données projet'!$A$114&gt;35,BY106+BX107-CG106,IF(A107&lt;'Données projet'!$A$114,$BV$205^A107,IF(A107='Données projet'!$A$114,'Données projet'!$B$114,BY106+BX107-CG106)))</f>
        <v>227.81923076923124</v>
      </c>
      <c r="BZ107" s="14">
        <f>BY107*VLOOKUP('Données projet'!$B$12,Paramètres!$A$1:$I$89,3,0)*VLOOKUP('Données projet'!$B$12,Paramètres!$A$1:$I$89,5,0)</f>
        <v>106.61940000000021</v>
      </c>
      <c r="CA107" s="14">
        <f t="shared" si="93"/>
        <v>28.533047633614832</v>
      </c>
      <c r="CB107" s="22">
        <f t="shared" si="64"/>
        <v>235.39051296187952</v>
      </c>
      <c r="CC107" s="60">
        <f t="shared" si="65"/>
        <v>528.72384629521287</v>
      </c>
      <c r="CD107" s="60">
        <f ca="1">AVERAGE(OFFSET($CC$3,0,0,'Données projet'!$E$12+1,1))-AVERAGE(OFFSET($H$3,0,0,'Données projet'!$E$12+1,1))</f>
        <v>246.72166704460847</v>
      </c>
      <c r="CE107" s="60">
        <f t="shared" si="94"/>
        <v>145.54897745089966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278.59999999999974</v>
      </c>
      <c r="CU107" s="18">
        <f>CT107*VLOOKUP('Données projet'!$B$13,Paramètres!$A$1:$I$89,3,0)*VLOOKUP('Données projet'!$B$13,Paramètres!$A$1:$I$89,5,0)</f>
        <v>252.07727999999975</v>
      </c>
      <c r="CV107" s="14">
        <f t="shared" si="95"/>
        <v>61.03054465215493</v>
      </c>
      <c r="CW107" s="22">
        <f t="shared" si="67"/>
        <v>545.32946126916943</v>
      </c>
      <c r="CX107" s="60">
        <f t="shared" si="68"/>
        <v>838.6627946025028</v>
      </c>
      <c r="CY107" s="60">
        <f ca="1">AVERAGE(OFFSET($CX$3,0,0,'Données projet'!$E$13+1,1))-AVERAGE(OFFSET($H$3,0,0,'Données projet'!$E$13+1,1))</f>
        <v>428.8489304403459</v>
      </c>
      <c r="CZ107" s="60">
        <f t="shared" si="96"/>
        <v>247.01165577562966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3.2051282051282044</v>
      </c>
      <c r="DO107" s="13">
        <f>IF('Données projet'!$A$166&gt;35,DO106+DN107-DW106,IF(A107&lt;'Données projet'!$A$166,$DL$205^A107,IF(A107='Données projet'!$A$166,'Données projet'!$B$166,DO106+DN107-DW106)))</f>
        <v>301.92307692307668</v>
      </c>
      <c r="DP107" s="18">
        <f>DO107*VLOOKUP('Données projet'!$B$14,Paramètres!$A$1:$I$89,3,0)*VLOOKUP('Données projet'!$B$14,Paramètres!$A$1:$I$89,5,0)</f>
        <v>315.56999999999977</v>
      </c>
      <c r="DQ107" s="14">
        <f t="shared" si="97"/>
        <v>74.430859496988774</v>
      </c>
      <c r="DR107" s="22">
        <f t="shared" si="70"/>
        <v>679.25149695725497</v>
      </c>
      <c r="DS107" s="60">
        <f t="shared" si="71"/>
        <v>972.58483029058834</v>
      </c>
      <c r="DT107" s="60">
        <f ca="1">AVERAGE(OFFSET($DS$3,0,0,'Données projet'!$E$14+1,1))-AVERAGE(OFFSET($H$3,0,0,'Données projet'!$E$14+1,1))</f>
        <v>493.70175665335978</v>
      </c>
      <c r="DU107" s="60">
        <f t="shared" si="98"/>
        <v>325.12357781685949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-1.9895196601282805E-13</v>
      </c>
      <c r="EK107" s="18">
        <f>EJ107*VLOOKUP('Données projet'!$B$15,Paramètres!$A$1:$I$89,3,0)*VLOOKUP('Données projet'!$B$15,Paramètres!$A$1:$I$89,5,0)</f>
        <v>-1.6138983482960614E-13</v>
      </c>
      <c r="EL107" s="14" t="e">
        <f t="shared" si="99"/>
        <v>#NUM!</v>
      </c>
      <c r="EM107" s="22" t="e">
        <f t="shared" si="73"/>
        <v>#NUM!</v>
      </c>
      <c r="EN107" s="60" t="e">
        <f t="shared" si="74"/>
        <v>#NUM!</v>
      </c>
      <c r="EO107" s="60">
        <f ca="1">AVERAGE(OFFSET($EN$3,0,0,'Données projet'!$E$15+1,1))-AVERAGE(OFFSET($H$3,0,0,'Données projet'!$E$15+1,1))</f>
        <v>236.22643401787644</v>
      </c>
      <c r="EP107" s="60">
        <f t="shared" si="100"/>
        <v>188.80444043778022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2.8</v>
      </c>
      <c r="FE107" s="13">
        <f>IF('Données projet'!$A$218&gt;35,FE106+FD107-FM106,IF(A107&lt;'Données projet'!$A$218,$FB$205^A107,IF(A107='Données projet'!$A$218,'Données projet'!$B$218,FE106+FD107-FM106)))</f>
        <v>181.20000000000005</v>
      </c>
      <c r="FF107" s="18">
        <f>FE107*VLOOKUP('Données projet'!$B$16,Paramètres!$A$1:$I$89,3,0)*VLOOKUP('Données projet'!$B$16,Paramètres!$A$1:$I$89,5,0)</f>
        <v>175.25664000000003</v>
      </c>
      <c r="FG107" s="14">
        <f t="shared" si="101"/>
        <v>44.265241345972555</v>
      </c>
      <c r="FH107" s="22">
        <f t="shared" si="76"/>
        <v>382.33394334423559</v>
      </c>
      <c r="FI107" s="60">
        <f t="shared" si="77"/>
        <v>675.66727667756891</v>
      </c>
      <c r="FJ107" s="60">
        <f ca="1">AVERAGE(OFFSET($FI$3,0,0,'Données projet'!$E$16+1,1))-AVERAGE(OFFSET($H$3,0,0,'Données projet'!$E$16+1,1))</f>
        <v>255.59755832175625</v>
      </c>
      <c r="FK107" s="60">
        <f t="shared" si="102"/>
        <v>154.0840647586964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0" t="e">
        <f t="shared" si="80"/>
        <v>#N/A</v>
      </c>
      <c r="GE107" s="60" t="e">
        <f ca="1">AVERAGE(OFFSET($GD$3,0,0,'Données projet'!$E$17+1,1))-AVERAGE(OFFSET($H$3,0,0,'Données projet'!$E$17+1,1))</f>
        <v>#N/A</v>
      </c>
      <c r="GF107" s="60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7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0" t="e">
        <f t="shared" si="83"/>
        <v>#N/A</v>
      </c>
      <c r="GZ107" s="60" t="e">
        <f ca="1">AVERAGE(OFFSET($GY$3,0,0,'Données projet'!$E$18+1,1))-AVERAGE(OFFSET($H$3,0,0,'Données projet'!$E$18+1,1))</f>
        <v>#N/A</v>
      </c>
      <c r="HA107" s="60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5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68">
        <f t="shared" si="56"/>
        <v>256.66666666666669</v>
      </c>
      <c r="I108" s="7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0" t="e">
        <f t="shared" si="55"/>
        <v>#NUM!</v>
      </c>
      <c r="S108" s="60">
        <f ca="1">AVERAGE(OFFSET($R$3,0,0,'Données projet'!$E$9+1,1))-AVERAGE(OFFSET($H$3,0,0,'Données projet'!$E$9+1,1))</f>
        <v>64.775385872852041</v>
      </c>
      <c r="T108" s="60">
        <f t="shared" si="88"/>
        <v>201.69061202990468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7.2763929752819099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3.10827147774804E-13</v>
      </c>
      <c r="AC108" s="24">
        <f t="shared" si="57"/>
        <v>7.2763929752822207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286.9619999999997</v>
      </c>
      <c r="AK108" s="14">
        <f t="shared" si="89"/>
        <v>68.436169981717796</v>
      </c>
      <c r="AL108" s="22">
        <f t="shared" si="58"/>
        <v>618.98514605149137</v>
      </c>
      <c r="AM108" s="60">
        <f t="shared" si="59"/>
        <v>912.31847938482474</v>
      </c>
      <c r="AN108" s="60">
        <f ca="1">AVERAGE(OFFSET($AM$3,0,0,'Données projet'!$E$10+1,1))-AVERAGE(OFFSET($H$3,0,0,'Données projet'!$E$10+1,1))</f>
        <v>475.47920969424894</v>
      </c>
      <c r="AO108" s="60">
        <f t="shared" si="90"/>
        <v>271.73544012419364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7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6.7984728957526396E-14</v>
      </c>
      <c r="BF108" s="14">
        <f t="shared" si="91"/>
        <v>1.0682447123141398E-12</v>
      </c>
      <c r="BG108" s="22">
        <f t="shared" si="61"/>
        <v>1.978932943548152E-12</v>
      </c>
      <c r="BH108" s="60">
        <f t="shared" si="62"/>
        <v>293.3333333333353</v>
      </c>
      <c r="BI108" s="60">
        <f ca="1">AVERAGE(OFFSET($BH$3,0,0,'Données projet'!$E$11+1,1))-AVERAGE(OFFSET($H$3,0,0,'Données projet'!$E$11+1,1))</f>
        <v>260.02504691866199</v>
      </c>
      <c r="BJ108" s="60">
        <f t="shared" si="92"/>
        <v>270.11268336406368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2.2661895257616571</v>
      </c>
      <c r="BQ108" s="23">
        <f>EXP(-LN(2)/25)*BQ107+(1-EXP(-LN(2)/25))/(LN(2)/25)*Calculateur!BL108*Calculateur!BN108*VLOOKUP('Données projet'!$B$11,Paramètres!$A$1:$I$89,3,0)*0.475*44/12</f>
        <v>2.054504680526954</v>
      </c>
      <c r="BR108" s="23">
        <f>EXP(-LN(2)/2)*BR107+(1-EXP(-LN(2)/2))/(LN(2)/2)*BL108*BO108*VLOOKUP('Données projet'!$B$11,Paramètres!$A$1:$I$89,3,0)*0.475*44/12</f>
        <v>3.2618331732524008E-11</v>
      </c>
      <c r="BS108" s="24">
        <f t="shared" si="63"/>
        <v>4.320694206321229</v>
      </c>
      <c r="BT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5.6546153846153828</v>
      </c>
      <c r="BY108" s="13">
        <f>IF('Données projet'!$A$114&gt;35,BY107+BX108-CG107,IF(A108&lt;'Données projet'!$A$114,$BV$205^A108,IF(A108='Données projet'!$A$114,'Données projet'!$B$114,BY107+BX108-CG107)))</f>
        <v>233.47384615384664</v>
      </c>
      <c r="BZ108" s="14">
        <f>BY108*VLOOKUP('Données projet'!$B$12,Paramètres!$A$1:$I$89,3,0)*VLOOKUP('Données projet'!$B$12,Paramètres!$A$1:$I$89,5,0)</f>
        <v>109.26576000000023</v>
      </c>
      <c r="CA108" s="14">
        <f t="shared" si="93"/>
        <v>29.15792453003198</v>
      </c>
      <c r="CB108" s="22">
        <f t="shared" si="64"/>
        <v>241.08791722313939</v>
      </c>
      <c r="CC108" s="60">
        <f t="shared" si="65"/>
        <v>534.42125055647273</v>
      </c>
      <c r="CD108" s="60">
        <f ca="1">AVERAGE(OFFSET($CC$3,0,0,'Données projet'!$E$12+1,1))-AVERAGE(OFFSET($H$3,0,0,'Données projet'!$E$12+1,1))</f>
        <v>246.72166704460847</v>
      </c>
      <c r="CE108" s="60">
        <f t="shared" si="94"/>
        <v>145.54897745089966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282.99999999999972</v>
      </c>
      <c r="CU108" s="18">
        <f>CT108*VLOOKUP('Données projet'!$B$13,Paramètres!$A$1:$I$89,3,0)*VLOOKUP('Données projet'!$B$13,Paramètres!$A$1:$I$89,5,0)</f>
        <v>256.05839999999972</v>
      </c>
      <c r="CV108" s="14">
        <f t="shared" si="95"/>
        <v>61.881442594256434</v>
      </c>
      <c r="CW108" s="22">
        <f t="shared" si="67"/>
        <v>553.74522585166278</v>
      </c>
      <c r="CX108" s="60">
        <f t="shared" si="68"/>
        <v>847.07855918499604</v>
      </c>
      <c r="CY108" s="60">
        <f ca="1">AVERAGE(OFFSET($CX$3,0,0,'Données projet'!$E$13+1,1))-AVERAGE(OFFSET($H$3,0,0,'Données projet'!$E$13+1,1))</f>
        <v>428.8489304403459</v>
      </c>
      <c r="CZ108" s="60">
        <f t="shared" si="96"/>
        <v>247.01165577562966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3.2051282051282044</v>
      </c>
      <c r="DO108" s="13">
        <f>IF('Données projet'!$A$166&gt;35,DO107+DN108-DW107,IF(A108&lt;'Données projet'!$A$166,$DL$205^A108,IF(A108='Données projet'!$A$166,'Données projet'!$B$166,DO107+DN108-DW107)))</f>
        <v>305.12820512820485</v>
      </c>
      <c r="DP108" s="18">
        <f>DO108*VLOOKUP('Données projet'!$B$14,Paramètres!$A$1:$I$89,3,0)*VLOOKUP('Données projet'!$B$14,Paramètres!$A$1:$I$89,5,0)</f>
        <v>318.91999999999973</v>
      </c>
      <c r="DQ108" s="14">
        <f t="shared" si="97"/>
        <v>75.128594464022456</v>
      </c>
      <c r="DR108" s="22">
        <f t="shared" si="70"/>
        <v>686.30130202483861</v>
      </c>
      <c r="DS108" s="60">
        <f t="shared" si="71"/>
        <v>979.63463535817186</v>
      </c>
      <c r="DT108" s="60">
        <f ca="1">AVERAGE(OFFSET($DS$3,0,0,'Données projet'!$E$14+1,1))-AVERAGE(OFFSET($H$3,0,0,'Données projet'!$E$14+1,1))</f>
        <v>493.70175665335978</v>
      </c>
      <c r="DU108" s="60">
        <f t="shared" si="98"/>
        <v>325.12357781685949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-1.9895196601282805E-13</v>
      </c>
      <c r="EK108" s="18">
        <f>EJ108*VLOOKUP('Données projet'!$B$15,Paramètres!$A$1:$I$89,3,0)*VLOOKUP('Données projet'!$B$15,Paramètres!$A$1:$I$89,5,0)</f>
        <v>-1.6138983482960614E-13</v>
      </c>
      <c r="EL108" s="14" t="e">
        <f t="shared" si="99"/>
        <v>#NUM!</v>
      </c>
      <c r="EM108" s="22" t="e">
        <f t="shared" si="73"/>
        <v>#NUM!</v>
      </c>
      <c r="EN108" s="60" t="e">
        <f t="shared" si="74"/>
        <v>#NUM!</v>
      </c>
      <c r="EO108" s="60">
        <f ca="1">AVERAGE(OFFSET($EN$3,0,0,'Données projet'!$E$15+1,1))-AVERAGE(OFFSET($H$3,0,0,'Données projet'!$E$15+1,1))</f>
        <v>236.22643401787644</v>
      </c>
      <c r="EP108" s="60">
        <f t="shared" si="100"/>
        <v>188.80444043778022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184</v>
      </c>
      <c r="FC108" s="13">
        <f>VLOOKUP(A108,'Données projet'!$A$217:$I$237,9,0)</f>
        <v>2.8</v>
      </c>
      <c r="FD108" s="13">
        <f t="array" ref="FD108">INDEX(FC:FC,MIN(IF(ISNUMBER(FC108:FC304),ROW(FC108:FC304),"")))</f>
        <v>2.8</v>
      </c>
      <c r="FE108" s="13">
        <f>IF('Données projet'!$A$218&gt;35,FE107+FD108-FM107,IF(A108&lt;'Données projet'!$A$218,$FB$205^A108,IF(A108='Données projet'!$A$218,'Données projet'!$B$218,FE107+FD108-FM107)))</f>
        <v>184.00000000000006</v>
      </c>
      <c r="FF108" s="18">
        <f>FE108*VLOOKUP('Données projet'!$B$16,Paramètres!$A$1:$I$89,3,0)*VLOOKUP('Données projet'!$B$16,Paramètres!$A$1:$I$89,5,0)</f>
        <v>177.96480000000008</v>
      </c>
      <c r="FG108" s="14">
        <f t="shared" si="101"/>
        <v>44.869092441133326</v>
      </c>
      <c r="FH108" s="22">
        <f t="shared" si="76"/>
        <v>388.10236266830731</v>
      </c>
      <c r="FI108" s="60">
        <f t="shared" si="77"/>
        <v>681.43569600164062</v>
      </c>
      <c r="FJ108" s="60">
        <f ca="1">AVERAGE(OFFSET($FI$3,0,0,'Données projet'!$E$16+1,1))-AVERAGE(OFFSET($H$3,0,0,'Données projet'!$E$16+1,1))</f>
        <v>255.59755832175625</v>
      </c>
      <c r="FK108" s="60">
        <f t="shared" si="102"/>
        <v>154.0840647586964</v>
      </c>
      <c r="FL108" s="16">
        <f>IF(ISNA(VLOOKUP(A108,'Données projet'!$A$217:$I$237,3,0)),0,VLOOKUP(A108,'Données projet'!$A$217:$I$237,3,0))</f>
        <v>8</v>
      </c>
      <c r="FM108" s="16">
        <f>IF(ISNA(VLOOKUP(A108,'Données projet'!$A$217:$I$237,4,0)),0,VLOOKUP(A108,'Données projet'!$A$217:$I$237,4,0))</f>
        <v>18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0" t="e">
        <f t="shared" si="80"/>
        <v>#N/A</v>
      </c>
      <c r="GE108" s="60" t="e">
        <f ca="1">AVERAGE(OFFSET($GD$3,0,0,'Données projet'!$E$17+1,1))-AVERAGE(OFFSET($H$3,0,0,'Données projet'!$E$17+1,1))</f>
        <v>#N/A</v>
      </c>
      <c r="GF108" s="60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7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0" t="e">
        <f t="shared" si="83"/>
        <v>#N/A</v>
      </c>
      <c r="GZ108" s="60" t="e">
        <f ca="1">AVERAGE(OFFSET($GY$3,0,0,'Données projet'!$E$18+1,1))-AVERAGE(OFFSET($H$3,0,0,'Données projet'!$E$18+1,1))</f>
        <v>#N/A</v>
      </c>
      <c r="HA108" s="60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5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68">
        <f t="shared" si="56"/>
        <v>256.66666666666669</v>
      </c>
      <c r="I109" s="7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0" t="e">
        <f t="shared" si="55"/>
        <v>#NUM!</v>
      </c>
      <c r="S109" s="60">
        <f ca="1">AVERAGE(OFFSET($R$3,0,0,'Données projet'!$E$9+1,1))-AVERAGE(OFFSET($H$3,0,0,'Données projet'!$E$9+1,1))</f>
        <v>64.775385872852041</v>
      </c>
      <c r="T109" s="60">
        <f t="shared" si="88"/>
        <v>201.69061202990468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7.1337073471981141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2.1978798396843701E-13</v>
      </c>
      <c r="AC109" s="24">
        <f t="shared" si="57"/>
        <v>7.1337073471983334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291.42359999999968</v>
      </c>
      <c r="AK109" s="14">
        <f t="shared" si="89"/>
        <v>69.375496841482104</v>
      </c>
      <c r="AL109" s="22">
        <f t="shared" si="58"/>
        <v>628.39176033224737</v>
      </c>
      <c r="AM109" s="60">
        <f t="shared" si="59"/>
        <v>921.72509366558074</v>
      </c>
      <c r="AN109" s="60">
        <f ca="1">AVERAGE(OFFSET($AM$3,0,0,'Données projet'!$E$10+1,1))-AVERAGE(OFFSET($H$3,0,0,'Données projet'!$E$10+1,1))</f>
        <v>475.47920969424894</v>
      </c>
      <c r="AO109" s="60">
        <f t="shared" si="90"/>
        <v>271.73544012419364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7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6.7984728957526396E-14</v>
      </c>
      <c r="BF109" s="14">
        <f t="shared" si="91"/>
        <v>1.0682447123141398E-12</v>
      </c>
      <c r="BG109" s="22">
        <f t="shared" si="61"/>
        <v>1.978932943548152E-12</v>
      </c>
      <c r="BH109" s="60">
        <f t="shared" si="62"/>
        <v>293.3333333333353</v>
      </c>
      <c r="BI109" s="60">
        <f ca="1">AVERAGE(OFFSET($BH$3,0,0,'Données projet'!$E$11+1,1))-AVERAGE(OFFSET($H$3,0,0,'Données projet'!$E$11+1,1))</f>
        <v>260.02504691866199</v>
      </c>
      <c r="BJ109" s="60">
        <f t="shared" si="92"/>
        <v>270.11268336406368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2.2217509314005968</v>
      </c>
      <c r="BQ109" s="23">
        <f>EXP(-LN(2)/25)*BQ108+(1-EXP(-LN(2)/25))/(LN(2)/25)*Calculateur!BL109*Calculateur!BN109*VLOOKUP('Données projet'!$B$11,Paramètres!$A$1:$I$89,3,0)*0.475*44/12</f>
        <v>1.998324141996239</v>
      </c>
      <c r="BR109" s="23">
        <f>EXP(-LN(2)/2)*BR108+(1-EXP(-LN(2)/2))/(LN(2)/2)*BL109*BO109*VLOOKUP('Données projet'!$B$11,Paramètres!$A$1:$I$89,3,0)*0.475*44/12</f>
        <v>2.3064643559060073E-11</v>
      </c>
      <c r="BS109" s="24">
        <f t="shared" si="63"/>
        <v>4.2200750734199</v>
      </c>
      <c r="BT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5.6546153846153828</v>
      </c>
      <c r="BY109" s="13">
        <f>IF('Données projet'!$A$114&gt;35,BY108+BX109-CG108,IF(A109&lt;'Données projet'!$A$114,$BV$205^A109,IF(A109='Données projet'!$A$114,'Données projet'!$B$114,BY108+BX109-CG108)))</f>
        <v>239.12846153846203</v>
      </c>
      <c r="BZ109" s="14">
        <f>BY109*VLOOKUP('Données projet'!$B$12,Paramètres!$A$1:$I$89,3,0)*VLOOKUP('Données projet'!$B$12,Paramètres!$A$1:$I$89,5,0)</f>
        <v>111.91212000000023</v>
      </c>
      <c r="CA109" s="14">
        <f t="shared" si="93"/>
        <v>29.781042105276512</v>
      </c>
      <c r="CB109" s="22">
        <f t="shared" si="64"/>
        <v>246.78225733335694</v>
      </c>
      <c r="CC109" s="60">
        <f t="shared" si="65"/>
        <v>540.1155906666902</v>
      </c>
      <c r="CD109" s="60">
        <f ca="1">AVERAGE(OFFSET($CC$3,0,0,'Données projet'!$E$12+1,1))-AVERAGE(OFFSET($H$3,0,0,'Données projet'!$E$12+1,1))</f>
        <v>246.72166704460847</v>
      </c>
      <c r="CE109" s="60">
        <f t="shared" si="94"/>
        <v>145.54897745089966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4.4000000000000004</v>
      </c>
      <c r="CT109" s="13">
        <f>IF('Données projet'!$A$140&gt;35,CT108+CS109-DB108,IF(A109&lt;'Données projet'!$A$140,$CQ$205^A109,IF(A109='Données projet'!$A$140,'Données projet'!$B$140,CT108+CS109-DB108)))</f>
        <v>287.39999999999969</v>
      </c>
      <c r="CU109" s="18">
        <f>CT109*VLOOKUP('Données projet'!$B$13,Paramètres!$A$1:$I$89,3,0)*VLOOKUP('Données projet'!$B$13,Paramètres!$A$1:$I$89,5,0)</f>
        <v>260.0395199999997</v>
      </c>
      <c r="CV109" s="14">
        <f t="shared" si="95"/>
        <v>62.730801948604821</v>
      </c>
      <c r="CW109" s="22">
        <f t="shared" si="67"/>
        <v>562.15831072715287</v>
      </c>
      <c r="CX109" s="60">
        <f t="shared" si="68"/>
        <v>855.49164406048612</v>
      </c>
      <c r="CY109" s="60">
        <f ca="1">AVERAGE(OFFSET($CX$3,0,0,'Données projet'!$E$13+1,1))-AVERAGE(OFFSET($H$3,0,0,'Données projet'!$E$13+1,1))</f>
        <v>428.8489304403459</v>
      </c>
      <c r="CZ109" s="60">
        <f t="shared" si="96"/>
        <v>247.01165577562966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3.2051282051282044</v>
      </c>
      <c r="DO109" s="13">
        <f>IF('Données projet'!$A$166&gt;35,DO108+DN109-DW108,IF(A109&lt;'Données projet'!$A$166,$DL$205^A109,IF(A109='Données projet'!$A$166,'Données projet'!$B$166,DO108+DN109-DW108)))</f>
        <v>308.33333333333303</v>
      </c>
      <c r="DP109" s="18">
        <f>DO109*VLOOKUP('Données projet'!$B$14,Paramètres!$A$1:$I$89,3,0)*VLOOKUP('Données projet'!$B$14,Paramètres!$A$1:$I$89,5,0)</f>
        <v>322.2699999999997</v>
      </c>
      <c r="DQ109" s="14">
        <f t="shared" si="97"/>
        <v>75.825476822885705</v>
      </c>
      <c r="DR109" s="22">
        <f t="shared" si="70"/>
        <v>693.34962213319204</v>
      </c>
      <c r="DS109" s="60">
        <f t="shared" si="71"/>
        <v>986.6829554665253</v>
      </c>
      <c r="DT109" s="60">
        <f ca="1">AVERAGE(OFFSET($DS$3,0,0,'Données projet'!$E$14+1,1))-AVERAGE(OFFSET($H$3,0,0,'Données projet'!$E$14+1,1))</f>
        <v>493.70175665335978</v>
      </c>
      <c r="DU109" s="60">
        <f t="shared" si="98"/>
        <v>325.12357781685949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-1.9895196601282805E-13</v>
      </c>
      <c r="EK109" s="18">
        <f>EJ109*VLOOKUP('Données projet'!$B$15,Paramètres!$A$1:$I$89,3,0)*VLOOKUP('Données projet'!$B$15,Paramètres!$A$1:$I$89,5,0)</f>
        <v>-1.6138983482960614E-13</v>
      </c>
      <c r="EL109" s="14" t="e">
        <f t="shared" si="99"/>
        <v>#NUM!</v>
      </c>
      <c r="EM109" s="22" t="e">
        <f t="shared" si="73"/>
        <v>#NUM!</v>
      </c>
      <c r="EN109" s="60" t="e">
        <f t="shared" si="74"/>
        <v>#NUM!</v>
      </c>
      <c r="EO109" s="60">
        <f ca="1">AVERAGE(OFFSET($EN$3,0,0,'Données projet'!$E$15+1,1))-AVERAGE(OFFSET($H$3,0,0,'Données projet'!$E$15+1,1))</f>
        <v>236.22643401787644</v>
      </c>
      <c r="EP109" s="60">
        <f t="shared" si="100"/>
        <v>188.80444043778022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3</v>
      </c>
      <c r="FE109" s="13">
        <f>IF('Données projet'!$A$218&gt;35,FE108+FD109-FM108,IF(A109&lt;'Données projet'!$A$218,$FB$205^A109,IF(A109='Données projet'!$A$218,'Données projet'!$B$218,FE108+FD109-FM108)))</f>
        <v>169.00000000000006</v>
      </c>
      <c r="FF109" s="18">
        <f>FE109*VLOOKUP('Données projet'!$B$16,Paramètres!$A$1:$I$89,3,0)*VLOOKUP('Données projet'!$B$16,Paramètres!$A$1:$I$89,5,0)</f>
        <v>163.45680000000004</v>
      </c>
      <c r="FG109" s="14">
        <f t="shared" si="101"/>
        <v>41.621233697261097</v>
      </c>
      <c r="FH109" s="22">
        <f t="shared" si="76"/>
        <v>357.17757535606319</v>
      </c>
      <c r="FI109" s="60">
        <f t="shared" si="77"/>
        <v>650.5109086893965</v>
      </c>
      <c r="FJ109" s="60">
        <f ca="1">AVERAGE(OFFSET($FI$3,0,0,'Données projet'!$E$16+1,1))-AVERAGE(OFFSET($H$3,0,0,'Données projet'!$E$16+1,1))</f>
        <v>255.59755832175625</v>
      </c>
      <c r="FK109" s="60">
        <f t="shared" si="102"/>
        <v>154.0840647586964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0" t="e">
        <f t="shared" si="80"/>
        <v>#N/A</v>
      </c>
      <c r="GE109" s="60" t="e">
        <f ca="1">AVERAGE(OFFSET($GD$3,0,0,'Données projet'!$E$17+1,1))-AVERAGE(OFFSET($H$3,0,0,'Données projet'!$E$17+1,1))</f>
        <v>#N/A</v>
      </c>
      <c r="GF109" s="60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7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0" t="e">
        <f t="shared" si="83"/>
        <v>#N/A</v>
      </c>
      <c r="GZ109" s="60" t="e">
        <f ca="1">AVERAGE(OFFSET($GY$3,0,0,'Données projet'!$E$18+1,1))-AVERAGE(OFFSET($H$3,0,0,'Données projet'!$E$18+1,1))</f>
        <v>#N/A</v>
      </c>
      <c r="HA109" s="60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5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68">
        <f t="shared" si="56"/>
        <v>256.66666666666669</v>
      </c>
      <c r="I110" s="7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0" t="e">
        <f t="shared" si="55"/>
        <v>#NUM!</v>
      </c>
      <c r="S110" s="60">
        <f ca="1">AVERAGE(OFFSET($R$3,0,0,'Données projet'!$E$9+1,1))-AVERAGE(OFFSET($H$3,0,0,'Données projet'!$E$9+1,1))</f>
        <v>64.775385872852041</v>
      </c>
      <c r="T110" s="60">
        <f t="shared" si="88"/>
        <v>201.69061202990468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6.9938196972514026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1.55413573887402E-13</v>
      </c>
      <c r="AC110" s="24">
        <f t="shared" si="57"/>
        <v>6.9938196972515581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295.88519999999966</v>
      </c>
      <c r="AK110" s="14">
        <f t="shared" si="89"/>
        <v>70.313151199178748</v>
      </c>
      <c r="AL110" s="22">
        <f t="shared" si="58"/>
        <v>637.79546167190244</v>
      </c>
      <c r="AM110" s="60">
        <f t="shared" si="59"/>
        <v>931.12879500523582</v>
      </c>
      <c r="AN110" s="60">
        <f ca="1">AVERAGE(OFFSET($AM$3,0,0,'Données projet'!$E$10+1,1))-AVERAGE(OFFSET($H$3,0,0,'Données projet'!$E$10+1,1))</f>
        <v>475.47920969424894</v>
      </c>
      <c r="AO110" s="60">
        <f t="shared" si="90"/>
        <v>271.73544012419364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7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6.7984728957526396E-14</v>
      </c>
      <c r="BF110" s="14">
        <f t="shared" si="91"/>
        <v>1.0682447123141398E-12</v>
      </c>
      <c r="BG110" s="22">
        <f t="shared" si="61"/>
        <v>1.978932943548152E-12</v>
      </c>
      <c r="BH110" s="60">
        <f t="shared" si="62"/>
        <v>293.3333333333353</v>
      </c>
      <c r="BI110" s="60">
        <f ca="1">AVERAGE(OFFSET($BH$3,0,0,'Données projet'!$E$11+1,1))-AVERAGE(OFFSET($H$3,0,0,'Données projet'!$E$11+1,1))</f>
        <v>260.02504691866199</v>
      </c>
      <c r="BJ110" s="60">
        <f t="shared" si="92"/>
        <v>270.11268336406368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2.1781837507700907</v>
      </c>
      <c r="BQ110" s="23">
        <f>EXP(-LN(2)/25)*BQ109+(1-EXP(-LN(2)/25))/(LN(2)/25)*Calculateur!BL110*Calculateur!BN110*VLOOKUP('Données projet'!$B$11,Paramètres!$A$1:$I$89,3,0)*0.475*44/12</f>
        <v>1.9436798632460524</v>
      </c>
      <c r="BR110" s="23">
        <f>EXP(-LN(2)/2)*BR109+(1-EXP(-LN(2)/2))/(LN(2)/2)*BL110*BO110*VLOOKUP('Données projet'!$B$11,Paramètres!$A$1:$I$89,3,0)*0.475*44/12</f>
        <v>1.6309165866262004E-11</v>
      </c>
      <c r="BS110" s="24">
        <f t="shared" si="63"/>
        <v>4.1218636140324518</v>
      </c>
      <c r="BT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5.6546153846153828</v>
      </c>
      <c r="BY110" s="13">
        <f>IF('Données projet'!$A$114&gt;35,BY109+BX110-CG109,IF(A110&lt;'Données projet'!$A$114,$BV$205^A110,IF(A110='Données projet'!$A$114,'Données projet'!$B$114,BY109+BX110-CG109)))</f>
        <v>244.78307692307743</v>
      </c>
      <c r="BZ110" s="14">
        <f>BY110*VLOOKUP('Données projet'!$B$12,Paramètres!$A$1:$I$89,3,0)*VLOOKUP('Données projet'!$B$12,Paramètres!$A$1:$I$89,5,0)</f>
        <v>114.55848000000023</v>
      </c>
      <c r="CA110" s="14">
        <f t="shared" si="93"/>
        <v>30.402446748991956</v>
      </c>
      <c r="CB110" s="22">
        <f t="shared" si="64"/>
        <v>252.47361408782808</v>
      </c>
      <c r="CC110" s="60">
        <f t="shared" si="65"/>
        <v>545.80694742116134</v>
      </c>
      <c r="CD110" s="60">
        <f ca="1">AVERAGE(OFFSET($CC$3,0,0,'Données projet'!$E$12+1,1))-AVERAGE(OFFSET($H$3,0,0,'Données projet'!$E$12+1,1))</f>
        <v>246.72166704460847</v>
      </c>
      <c r="CE110" s="60">
        <f t="shared" si="94"/>
        <v>145.54897745089966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4.4000000000000004</v>
      </c>
      <c r="CT110" s="13">
        <f>IF('Données projet'!$A$140&gt;35,CT109+CS110-DB109,IF(A110&lt;'Données projet'!$A$140,$CQ$205^A110,IF(A110='Données projet'!$A$140,'Données projet'!$B$140,CT109+CS110-DB109)))</f>
        <v>291.79999999999967</v>
      </c>
      <c r="CU110" s="18">
        <f>CT110*VLOOKUP('Données projet'!$B$13,Paramètres!$A$1:$I$89,3,0)*VLOOKUP('Données projet'!$B$13,Paramètres!$A$1:$I$89,5,0)</f>
        <v>264.02063999999967</v>
      </c>
      <c r="CV110" s="14">
        <f t="shared" si="95"/>
        <v>63.57864899095906</v>
      </c>
      <c r="CW110" s="22">
        <f t="shared" si="67"/>
        <v>570.56876165925303</v>
      </c>
      <c r="CX110" s="60">
        <f t="shared" si="68"/>
        <v>863.9020949925864</v>
      </c>
      <c r="CY110" s="60">
        <f ca="1">AVERAGE(OFFSET($CX$3,0,0,'Données projet'!$E$13+1,1))-AVERAGE(OFFSET($H$3,0,0,'Données projet'!$E$13+1,1))</f>
        <v>428.8489304403459</v>
      </c>
      <c r="CZ110" s="60">
        <f t="shared" si="96"/>
        <v>247.01165577562966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3.2051282051282044</v>
      </c>
      <c r="DO110" s="13">
        <f>IF('Données projet'!$A$166&gt;35,DO109+DN110-DW109,IF(A110&lt;'Données projet'!$A$166,$DL$205^A110,IF(A110='Données projet'!$A$166,'Données projet'!$B$166,DO109+DN110-DW109)))</f>
        <v>311.53846153846121</v>
      </c>
      <c r="DP110" s="18">
        <f>DO110*VLOOKUP('Données projet'!$B$14,Paramètres!$A$1:$I$89,3,0)*VLOOKUP('Données projet'!$B$14,Paramètres!$A$1:$I$89,5,0)</f>
        <v>325.61999999999972</v>
      </c>
      <c r="DQ110" s="14">
        <f t="shared" si="97"/>
        <v>76.521516462461591</v>
      </c>
      <c r="DR110" s="22">
        <f t="shared" si="70"/>
        <v>700.39647450545351</v>
      </c>
      <c r="DS110" s="60">
        <f t="shared" si="71"/>
        <v>993.72980783878688</v>
      </c>
      <c r="DT110" s="60">
        <f ca="1">AVERAGE(OFFSET($DS$3,0,0,'Données projet'!$E$14+1,1))-AVERAGE(OFFSET($H$3,0,0,'Données projet'!$E$14+1,1))</f>
        <v>493.70175665335978</v>
      </c>
      <c r="DU110" s="60">
        <f t="shared" si="98"/>
        <v>325.12357781685949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-1.9895196601282805E-13</v>
      </c>
      <c r="EK110" s="18">
        <f>EJ110*VLOOKUP('Données projet'!$B$15,Paramètres!$A$1:$I$89,3,0)*VLOOKUP('Données projet'!$B$15,Paramètres!$A$1:$I$89,5,0)</f>
        <v>-1.6138983482960614E-13</v>
      </c>
      <c r="EL110" s="14" t="e">
        <f t="shared" si="99"/>
        <v>#NUM!</v>
      </c>
      <c r="EM110" s="22" t="e">
        <f t="shared" si="73"/>
        <v>#NUM!</v>
      </c>
      <c r="EN110" s="60" t="e">
        <f t="shared" si="74"/>
        <v>#NUM!</v>
      </c>
      <c r="EO110" s="60">
        <f ca="1">AVERAGE(OFFSET($EN$3,0,0,'Données projet'!$E$15+1,1))-AVERAGE(OFFSET($H$3,0,0,'Données projet'!$E$15+1,1))</f>
        <v>236.22643401787644</v>
      </c>
      <c r="EP110" s="60">
        <f t="shared" si="100"/>
        <v>188.80444043778022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3</v>
      </c>
      <c r="FE110" s="13">
        <f>IF('Données projet'!$A$218&gt;35,FE109+FD110-FM109,IF(A110&lt;'Données projet'!$A$218,$FB$205^A110,IF(A110='Données projet'!$A$218,'Données projet'!$B$218,FE109+FD110-FM109)))</f>
        <v>172.00000000000006</v>
      </c>
      <c r="FF110" s="18">
        <f>FE110*VLOOKUP('Données projet'!$B$16,Paramètres!$A$1:$I$89,3,0)*VLOOKUP('Données projet'!$B$16,Paramètres!$A$1:$I$89,5,0)</f>
        <v>166.35840000000005</v>
      </c>
      <c r="FG110" s="14">
        <f t="shared" si="101"/>
        <v>42.27340131152765</v>
      </c>
      <c r="FH110" s="22">
        <f t="shared" si="76"/>
        <v>363.3670539509107</v>
      </c>
      <c r="FI110" s="60">
        <f t="shared" si="77"/>
        <v>656.70038728424402</v>
      </c>
      <c r="FJ110" s="60">
        <f ca="1">AVERAGE(OFFSET($FI$3,0,0,'Données projet'!$E$16+1,1))-AVERAGE(OFFSET($H$3,0,0,'Données projet'!$E$16+1,1))</f>
        <v>255.59755832175625</v>
      </c>
      <c r="FK110" s="60">
        <f t="shared" si="102"/>
        <v>154.0840647586964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0" t="e">
        <f t="shared" si="80"/>
        <v>#N/A</v>
      </c>
      <c r="GE110" s="60" t="e">
        <f ca="1">AVERAGE(OFFSET($GD$3,0,0,'Données projet'!$E$17+1,1))-AVERAGE(OFFSET($H$3,0,0,'Données projet'!$E$17+1,1))</f>
        <v>#N/A</v>
      </c>
      <c r="GF110" s="60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7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0" t="e">
        <f t="shared" si="83"/>
        <v>#N/A</v>
      </c>
      <c r="GZ110" s="60" t="e">
        <f ca="1">AVERAGE(OFFSET($GY$3,0,0,'Données projet'!$E$18+1,1))-AVERAGE(OFFSET($H$3,0,0,'Données projet'!$E$18+1,1))</f>
        <v>#N/A</v>
      </c>
      <c r="HA110" s="60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5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68">
        <f t="shared" si="56"/>
        <v>256.66666666666669</v>
      </c>
      <c r="I111" s="7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0" t="e">
        <f t="shared" si="55"/>
        <v>#NUM!</v>
      </c>
      <c r="S111" s="60">
        <f ca="1">AVERAGE(OFFSET($R$3,0,0,'Données projet'!$E$9+1,1))-AVERAGE(OFFSET($H$3,0,0,'Données projet'!$E$9+1,1))</f>
        <v>64.775385872852041</v>
      </c>
      <c r="T111" s="60">
        <f t="shared" si="88"/>
        <v>201.69061202990468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6.8566751587971044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1.098939919842185E-13</v>
      </c>
      <c r="AC111" s="24">
        <f t="shared" si="57"/>
        <v>6.8566751587972146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300.34679999999963</v>
      </c>
      <c r="AK111" s="14">
        <f t="shared" si="89"/>
        <v>71.249161187153291</v>
      </c>
      <c r="AL111" s="22">
        <f t="shared" si="58"/>
        <v>647.19629906762464</v>
      </c>
      <c r="AM111" s="60">
        <f t="shared" si="59"/>
        <v>940.52963240095801</v>
      </c>
      <c r="AN111" s="60">
        <f ca="1">AVERAGE(OFFSET($AM$3,0,0,'Données projet'!$E$10+1,1))-AVERAGE(OFFSET($H$3,0,0,'Données projet'!$E$10+1,1))</f>
        <v>475.47920969424894</v>
      </c>
      <c r="AO111" s="60">
        <f t="shared" si="90"/>
        <v>271.73544012419364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7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6.7984728957526396E-14</v>
      </c>
      <c r="BF111" s="14">
        <f t="shared" si="91"/>
        <v>1.0682447123141398E-12</v>
      </c>
      <c r="BG111" s="22">
        <f t="shared" si="61"/>
        <v>1.978932943548152E-12</v>
      </c>
      <c r="BH111" s="60">
        <f t="shared" si="62"/>
        <v>293.3333333333353</v>
      </c>
      <c r="BI111" s="60">
        <f ca="1">AVERAGE(OFFSET($BH$3,0,0,'Données projet'!$E$11+1,1))-AVERAGE(OFFSET($H$3,0,0,'Données projet'!$E$11+1,1))</f>
        <v>260.02504691866199</v>
      </c>
      <c r="BJ111" s="60">
        <f t="shared" si="92"/>
        <v>270.11268336406368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2.1354708959783926</v>
      </c>
      <c r="BQ111" s="23">
        <f>EXP(-LN(2)/25)*BQ110+(1-EXP(-LN(2)/25))/(LN(2)/25)*Calculateur!BL111*Calculateur!BN111*VLOOKUP('Données projet'!$B$11,Paramètres!$A$1:$I$89,3,0)*0.475*44/12</f>
        <v>1.8905298351719073</v>
      </c>
      <c r="BR111" s="23">
        <f>EXP(-LN(2)/2)*BR110+(1-EXP(-LN(2)/2))/(LN(2)/2)*BL111*BO111*VLOOKUP('Données projet'!$B$11,Paramètres!$A$1:$I$89,3,0)*0.475*44/12</f>
        <v>1.1532321779530037E-11</v>
      </c>
      <c r="BS111" s="24">
        <f t="shared" si="63"/>
        <v>4.0260007311618322</v>
      </c>
      <c r="BT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5.6546153846153828</v>
      </c>
      <c r="BY111" s="13">
        <f>IF('Données projet'!$A$114&gt;35,BY110+BX111-CG110,IF(A111&lt;'Données projet'!$A$114,$BV$205^A111,IF(A111='Données projet'!$A$114,'Données projet'!$B$114,BY110+BX111-CG110)))</f>
        <v>250.43769230769283</v>
      </c>
      <c r="BZ111" s="14">
        <f>BY111*VLOOKUP('Données projet'!$B$12,Paramètres!$A$1:$I$89,3,0)*VLOOKUP('Données projet'!$B$12,Paramètres!$A$1:$I$89,5,0)</f>
        <v>117.20484000000023</v>
      </c>
      <c r="CA111" s="14">
        <f t="shared" si="93"/>
        <v>31.02218258527553</v>
      </c>
      <c r="CB111" s="22">
        <f t="shared" si="64"/>
        <v>258.16206433602196</v>
      </c>
      <c r="CC111" s="60">
        <f t="shared" si="65"/>
        <v>551.49539766935527</v>
      </c>
      <c r="CD111" s="60">
        <f ca="1">AVERAGE(OFFSET($CC$3,0,0,'Données projet'!$E$12+1,1))-AVERAGE(OFFSET($H$3,0,0,'Données projet'!$E$12+1,1))</f>
        <v>246.72166704460847</v>
      </c>
      <c r="CE111" s="60">
        <f t="shared" si="94"/>
        <v>145.54897745089966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4.4000000000000004</v>
      </c>
      <c r="CT111" s="13">
        <f>IF('Données projet'!$A$140&gt;35,CT110+CS111-DB110,IF(A111&lt;'Données projet'!$A$140,$CQ$205^A111,IF(A111='Données projet'!$A$140,'Données projet'!$B$140,CT110+CS111-DB110)))</f>
        <v>296.19999999999965</v>
      </c>
      <c r="CU111" s="18">
        <f>CT111*VLOOKUP('Données projet'!$B$13,Paramètres!$A$1:$I$89,3,0)*VLOOKUP('Données projet'!$B$13,Paramètres!$A$1:$I$89,5,0)</f>
        <v>268.00175999999971</v>
      </c>
      <c r="CV111" s="14">
        <f t="shared" si="95"/>
        <v>64.425009159185521</v>
      </c>
      <c r="CW111" s="22">
        <f t="shared" si="67"/>
        <v>578.97662295224757</v>
      </c>
      <c r="CX111" s="60">
        <f t="shared" si="68"/>
        <v>872.30995628558094</v>
      </c>
      <c r="CY111" s="60">
        <f ca="1">AVERAGE(OFFSET($CX$3,0,0,'Données projet'!$E$13+1,1))-AVERAGE(OFFSET($H$3,0,0,'Données projet'!$E$13+1,1))</f>
        <v>428.8489304403459</v>
      </c>
      <c r="CZ111" s="60">
        <f t="shared" si="96"/>
        <v>247.01165577562966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3.2051282051282044</v>
      </c>
      <c r="DO111" s="13">
        <f>IF('Données projet'!$A$166&gt;35,DO110+DN111-DW110,IF(A111&lt;'Données projet'!$A$166,$DL$205^A111,IF(A111='Données projet'!$A$166,'Données projet'!$B$166,DO110+DN111-DW110)))</f>
        <v>314.74358974358938</v>
      </c>
      <c r="DP111" s="18">
        <f>DO111*VLOOKUP('Données projet'!$B$14,Paramètres!$A$1:$I$89,3,0)*VLOOKUP('Données projet'!$B$14,Paramètres!$A$1:$I$89,5,0)</f>
        <v>328.96999999999969</v>
      </c>
      <c r="DQ111" s="14">
        <f t="shared" si="97"/>
        <v>77.216723056433693</v>
      </c>
      <c r="DR111" s="22">
        <f t="shared" si="70"/>
        <v>707.44187598995484</v>
      </c>
      <c r="DS111" s="60">
        <f t="shared" si="71"/>
        <v>1000.7752093232882</v>
      </c>
      <c r="DT111" s="60">
        <f ca="1">AVERAGE(OFFSET($DS$3,0,0,'Données projet'!$E$14+1,1))-AVERAGE(OFFSET($H$3,0,0,'Données projet'!$E$14+1,1))</f>
        <v>493.70175665335978</v>
      </c>
      <c r="DU111" s="60">
        <f t="shared" si="98"/>
        <v>325.12357781685949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-1.9895196601282805E-13</v>
      </c>
      <c r="EK111" s="18">
        <f>EJ111*VLOOKUP('Données projet'!$B$15,Paramètres!$A$1:$I$89,3,0)*VLOOKUP('Données projet'!$B$15,Paramètres!$A$1:$I$89,5,0)</f>
        <v>-1.6138983482960614E-13</v>
      </c>
      <c r="EL111" s="14" t="e">
        <f t="shared" si="99"/>
        <v>#NUM!</v>
      </c>
      <c r="EM111" s="22" t="e">
        <f t="shared" si="73"/>
        <v>#NUM!</v>
      </c>
      <c r="EN111" s="60" t="e">
        <f t="shared" si="74"/>
        <v>#NUM!</v>
      </c>
      <c r="EO111" s="60">
        <f ca="1">AVERAGE(OFFSET($EN$3,0,0,'Données projet'!$E$15+1,1))-AVERAGE(OFFSET($H$3,0,0,'Données projet'!$E$15+1,1))</f>
        <v>236.22643401787644</v>
      </c>
      <c r="EP111" s="60">
        <f t="shared" si="100"/>
        <v>188.80444043778022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3</v>
      </c>
      <c r="FE111" s="13">
        <f>IF('Données projet'!$A$218&gt;35,FE110+FD111-FM110,IF(A111&lt;'Données projet'!$A$218,$FB$205^A111,IF(A111='Données projet'!$A$218,'Données projet'!$B$218,FE110+FD111-FM110)))</f>
        <v>175.00000000000006</v>
      </c>
      <c r="FF111" s="18">
        <f>FE111*VLOOKUP('Données projet'!$B$16,Paramètres!$A$1:$I$89,3,0)*VLOOKUP('Données projet'!$B$16,Paramètres!$A$1:$I$89,5,0)</f>
        <v>169.26000000000005</v>
      </c>
      <c r="FG111" s="14">
        <f t="shared" si="101"/>
        <v>42.924246146122314</v>
      </c>
      <c r="FH111" s="22">
        <f t="shared" si="76"/>
        <v>369.55422870449638</v>
      </c>
      <c r="FI111" s="60">
        <f t="shared" si="77"/>
        <v>662.88756203782964</v>
      </c>
      <c r="FJ111" s="60">
        <f ca="1">AVERAGE(OFFSET($FI$3,0,0,'Données projet'!$E$16+1,1))-AVERAGE(OFFSET($H$3,0,0,'Données projet'!$E$16+1,1))</f>
        <v>255.59755832175625</v>
      </c>
      <c r="FK111" s="60">
        <f t="shared" si="102"/>
        <v>154.0840647586964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0" t="e">
        <f t="shared" si="80"/>
        <v>#N/A</v>
      </c>
      <c r="GE111" s="60" t="e">
        <f ca="1">AVERAGE(OFFSET($GD$3,0,0,'Données projet'!$E$17+1,1))-AVERAGE(OFFSET($H$3,0,0,'Données projet'!$E$17+1,1))</f>
        <v>#N/A</v>
      </c>
      <c r="GF111" s="60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7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0" t="e">
        <f t="shared" si="83"/>
        <v>#N/A</v>
      </c>
      <c r="GZ111" s="60" t="e">
        <f ca="1">AVERAGE(OFFSET($GY$3,0,0,'Données projet'!$E$18+1,1))-AVERAGE(OFFSET($H$3,0,0,'Données projet'!$E$18+1,1))</f>
        <v>#N/A</v>
      </c>
      <c r="HA111" s="60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5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68">
        <f t="shared" si="56"/>
        <v>256.66666666666669</v>
      </c>
      <c r="I112" s="7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0" t="e">
        <f t="shared" si="55"/>
        <v>#NUM!</v>
      </c>
      <c r="S112" s="60">
        <f ca="1">AVERAGE(OFFSET($R$3,0,0,'Données projet'!$E$9+1,1))-AVERAGE(OFFSET($H$3,0,0,'Données projet'!$E$9+1,1))</f>
        <v>64.775385872852041</v>
      </c>
      <c r="T112" s="60">
        <f t="shared" si="88"/>
        <v>201.69061202990468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6.7222199410919865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7.7706786943701E-14</v>
      </c>
      <c r="AC112" s="24">
        <f t="shared" si="57"/>
        <v>6.7222199410920638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304.80839999999961</v>
      </c>
      <c r="AK112" s="14">
        <f t="shared" si="89"/>
        <v>72.183554053972728</v>
      </c>
      <c r="AL112" s="22">
        <f t="shared" si="58"/>
        <v>656.59431997733509</v>
      </c>
      <c r="AM112" s="60">
        <f t="shared" si="59"/>
        <v>949.92765331066835</v>
      </c>
      <c r="AN112" s="60">
        <f ca="1">AVERAGE(OFFSET($AM$3,0,0,'Données projet'!$E$10+1,1))-AVERAGE(OFFSET($H$3,0,0,'Données projet'!$E$10+1,1))</f>
        <v>475.47920969424894</v>
      </c>
      <c r="AO112" s="60">
        <f t="shared" si="90"/>
        <v>271.73544012419364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7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6.7984728957526396E-14</v>
      </c>
      <c r="BF112" s="14">
        <f t="shared" si="91"/>
        <v>1.0682447123141398E-12</v>
      </c>
      <c r="BG112" s="22">
        <f t="shared" si="61"/>
        <v>1.978932943548152E-12</v>
      </c>
      <c r="BH112" s="60">
        <f t="shared" si="62"/>
        <v>293.3333333333353</v>
      </c>
      <c r="BI112" s="60">
        <f ca="1">AVERAGE(OFFSET($BH$3,0,0,'Données projet'!$E$11+1,1))-AVERAGE(OFFSET($H$3,0,0,'Données projet'!$E$11+1,1))</f>
        <v>260.02504691866199</v>
      </c>
      <c r="BJ112" s="60">
        <f t="shared" si="92"/>
        <v>270.11268336406368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2.0935956142168908</v>
      </c>
      <c r="BQ112" s="23">
        <f>EXP(-LN(2)/25)*BQ111+(1-EXP(-LN(2)/25))/(LN(2)/25)*Calculateur!BL112*Calculateur!BN112*VLOOKUP('Données projet'!$B$11,Paramètres!$A$1:$I$89,3,0)*0.475*44/12</f>
        <v>1.8388331974104883</v>
      </c>
      <c r="BR112" s="23">
        <f>EXP(-LN(2)/2)*BR111+(1-EXP(-LN(2)/2))/(LN(2)/2)*BL112*BO112*VLOOKUP('Données projet'!$B$11,Paramètres!$A$1:$I$89,3,0)*0.475*44/12</f>
        <v>8.1545829331310019E-12</v>
      </c>
      <c r="BS112" s="24">
        <f t="shared" si="63"/>
        <v>3.9324288116355337</v>
      </c>
      <c r="BT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>
        <f>VLOOKUP(A112,'Données projet'!$A$113:$I$133,2,0)</f>
        <v>256.09230769230771</v>
      </c>
      <c r="BW112" s="13">
        <f>VLOOKUP(A112,'Données projet'!$A$113:$I$133,9,0)</f>
        <v>5.6546153846153828</v>
      </c>
      <c r="BX112" s="13">
        <f t="array" ref="BX112">INDEX(BW:BW,MIN(IF(ISNUMBER(BW112:BW308),ROW(BW112:BW308),"")))</f>
        <v>5.6546153846153828</v>
      </c>
      <c r="BY112" s="13">
        <f>IF('Données projet'!$A$114&gt;35,BY111+BX112-CG111,IF(A112&lt;'Données projet'!$A$114,$BV$205^A112,IF(A112='Données projet'!$A$114,'Données projet'!$B$114,BY111+BX112-CG111)))</f>
        <v>256.09230769230822</v>
      </c>
      <c r="BZ112" s="14">
        <f>BY112*VLOOKUP('Données projet'!$B$12,Paramètres!$A$1:$I$89,3,0)*VLOOKUP('Données projet'!$B$12,Paramètres!$A$1:$I$89,5,0)</f>
        <v>119.85120000000023</v>
      </c>
      <c r="CA112" s="14">
        <f t="shared" si="93"/>
        <v>31.640291631938272</v>
      </c>
      <c r="CB112" s="22">
        <f t="shared" si="64"/>
        <v>263.8476812589596</v>
      </c>
      <c r="CC112" s="60">
        <f t="shared" si="65"/>
        <v>557.18101459229297</v>
      </c>
      <c r="CD112" s="60">
        <f ca="1">AVERAGE(OFFSET($CC$3,0,0,'Données projet'!$E$12+1,1))-AVERAGE(OFFSET($H$3,0,0,'Données projet'!$E$12+1,1))</f>
        <v>246.72166704460847</v>
      </c>
      <c r="CE112" s="60">
        <f t="shared" si="94"/>
        <v>145.54897745089966</v>
      </c>
      <c r="CF112" s="16">
        <f>IF(ISNA(VLOOKUP(A112,'Données projet'!$A$113:$I$133,3,0)),0,VLOOKUP(A112,'Données projet'!$A$113:$I$133,3,0))</f>
        <v>6</v>
      </c>
      <c r="CG112" s="16">
        <f>IF(ISNA(VLOOKUP(A112,'Données projet'!$A$113:$I$133,4,0)),0,VLOOKUP(A112,'Données projet'!$A$113:$I$133,4,0))</f>
        <v>256.09230769230771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4.4000000000000004</v>
      </c>
      <c r="CT112" s="13">
        <f>IF('Données projet'!$A$140&gt;35,CT111+CS112-DB111,IF(A112&lt;'Données projet'!$A$140,$CQ$205^A112,IF(A112='Données projet'!$A$140,'Données projet'!$B$140,CT111+CS112-DB111)))</f>
        <v>300.59999999999962</v>
      </c>
      <c r="CU112" s="18">
        <f>CT112*VLOOKUP('Données projet'!$B$13,Paramètres!$A$1:$I$89,3,0)*VLOOKUP('Données projet'!$B$13,Paramètres!$A$1:$I$89,5,0)</f>
        <v>271.98287999999962</v>
      </c>
      <c r="CV112" s="14">
        <f t="shared" si="95"/>
        <v>65.269907092018684</v>
      </c>
      <c r="CW112" s="22">
        <f t="shared" si="67"/>
        <v>587.38193751859842</v>
      </c>
      <c r="CX112" s="60">
        <f t="shared" si="68"/>
        <v>880.71527085193179</v>
      </c>
      <c r="CY112" s="60">
        <f ca="1">AVERAGE(OFFSET($CX$3,0,0,'Données projet'!$E$13+1,1))-AVERAGE(OFFSET($H$3,0,0,'Données projet'!$E$13+1,1))</f>
        <v>428.8489304403459</v>
      </c>
      <c r="CZ112" s="60">
        <f t="shared" si="96"/>
        <v>247.01165577562966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3.2051282051282044</v>
      </c>
      <c r="DO112" s="13">
        <f>IF('Données projet'!$A$166&gt;35,DO111+DN112-DW111,IF(A112&lt;'Données projet'!$A$166,$DL$205^A112,IF(A112='Données projet'!$A$166,'Données projet'!$B$166,DO111+DN112-DW111)))</f>
        <v>317.94871794871756</v>
      </c>
      <c r="DP112" s="18">
        <f>DO112*VLOOKUP('Données projet'!$B$14,Paramètres!$A$1:$I$89,3,0)*VLOOKUP('Données projet'!$B$14,Paramètres!$A$1:$I$89,5,0)</f>
        <v>332.3199999999996</v>
      </c>
      <c r="DQ112" s="14">
        <f t="shared" si="97"/>
        <v>77.911106070111614</v>
      </c>
      <c r="DR112" s="22">
        <f t="shared" si="70"/>
        <v>714.48584307211024</v>
      </c>
      <c r="DS112" s="60">
        <f t="shared" si="71"/>
        <v>1007.8191764054436</v>
      </c>
      <c r="DT112" s="60">
        <f ca="1">AVERAGE(OFFSET($DS$3,0,0,'Données projet'!$E$14+1,1))-AVERAGE(OFFSET($H$3,0,0,'Données projet'!$E$14+1,1))</f>
        <v>493.70175665335978</v>
      </c>
      <c r="DU112" s="60">
        <f t="shared" si="98"/>
        <v>325.12357781685949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-1.9895196601282805E-13</v>
      </c>
      <c r="EK112" s="18">
        <f>EJ112*VLOOKUP('Données projet'!$B$15,Paramètres!$A$1:$I$89,3,0)*VLOOKUP('Données projet'!$B$15,Paramètres!$A$1:$I$89,5,0)</f>
        <v>-1.6138983482960614E-13</v>
      </c>
      <c r="EL112" s="14" t="e">
        <f t="shared" si="99"/>
        <v>#NUM!</v>
      </c>
      <c r="EM112" s="22" t="e">
        <f t="shared" si="73"/>
        <v>#NUM!</v>
      </c>
      <c r="EN112" s="60" t="e">
        <f t="shared" si="74"/>
        <v>#NUM!</v>
      </c>
      <c r="EO112" s="60">
        <f ca="1">AVERAGE(OFFSET($EN$3,0,0,'Données projet'!$E$15+1,1))-AVERAGE(OFFSET($H$3,0,0,'Données projet'!$E$15+1,1))</f>
        <v>236.22643401787644</v>
      </c>
      <c r="EP112" s="60">
        <f t="shared" si="100"/>
        <v>188.80444043778022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3</v>
      </c>
      <c r="FE112" s="13">
        <f>IF('Données projet'!$A$218&gt;35,FE111+FD112-FM111,IF(A112&lt;'Données projet'!$A$218,$FB$205^A112,IF(A112='Données projet'!$A$218,'Données projet'!$B$218,FE111+FD112-FM111)))</f>
        <v>178.00000000000006</v>
      </c>
      <c r="FF112" s="18">
        <f>FE112*VLOOKUP('Données projet'!$B$16,Paramètres!$A$1:$I$89,3,0)*VLOOKUP('Données projet'!$B$16,Paramètres!$A$1:$I$89,5,0)</f>
        <v>172.16160000000005</v>
      </c>
      <c r="FG112" s="14">
        <f t="shared" si="101"/>
        <v>43.57379349403616</v>
      </c>
      <c r="FH112" s="22">
        <f t="shared" si="76"/>
        <v>375.73914366877972</v>
      </c>
      <c r="FI112" s="60">
        <f t="shared" si="77"/>
        <v>669.07247700211303</v>
      </c>
      <c r="FJ112" s="60">
        <f ca="1">AVERAGE(OFFSET($FI$3,0,0,'Données projet'!$E$16+1,1))-AVERAGE(OFFSET($H$3,0,0,'Données projet'!$E$16+1,1))</f>
        <v>255.59755832175625</v>
      </c>
      <c r="FK112" s="60">
        <f t="shared" si="102"/>
        <v>154.0840647586964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0" t="e">
        <f t="shared" si="80"/>
        <v>#N/A</v>
      </c>
      <c r="GE112" s="60" t="e">
        <f ca="1">AVERAGE(OFFSET($GD$3,0,0,'Données projet'!$E$17+1,1))-AVERAGE(OFFSET($H$3,0,0,'Données projet'!$E$17+1,1))</f>
        <v>#N/A</v>
      </c>
      <c r="GF112" s="60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7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0" t="e">
        <f t="shared" si="83"/>
        <v>#N/A</v>
      </c>
      <c r="GZ112" s="60" t="e">
        <f ca="1">AVERAGE(OFFSET($GY$3,0,0,'Données projet'!$E$18+1,1))-AVERAGE(OFFSET($H$3,0,0,'Données projet'!$E$18+1,1))</f>
        <v>#N/A</v>
      </c>
      <c r="HA112" s="60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5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68">
        <f t="shared" si="56"/>
        <v>256.66666666666669</v>
      </c>
      <c r="I113" s="7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0" t="e">
        <f t="shared" si="55"/>
        <v>#NUM!</v>
      </c>
      <c r="S113" s="60">
        <f ca="1">AVERAGE(OFFSET($R$3,0,0,'Données projet'!$E$9+1,1))-AVERAGE(OFFSET($H$3,0,0,'Données projet'!$E$9+1,1))</f>
        <v>64.775385872852041</v>
      </c>
      <c r="T113" s="60">
        <f t="shared" si="88"/>
        <v>201.69061202990468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6.5904013081964807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5.4946995992109252E-14</v>
      </c>
      <c r="AC113" s="24">
        <f t="shared" si="57"/>
        <v>6.5904013081965358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309.26999999999958</v>
      </c>
      <c r="AK113" s="14">
        <f t="shared" si="89"/>
        <v>73.116356204710968</v>
      </c>
      <c r="AL113" s="22">
        <f t="shared" si="58"/>
        <v>665.98957038987078</v>
      </c>
      <c r="AM113" s="60">
        <f t="shared" si="59"/>
        <v>959.32290372320404</v>
      </c>
      <c r="AN113" s="60">
        <f ca="1">AVERAGE(OFFSET($AM$3,0,0,'Données projet'!$E$10+1,1))-AVERAGE(OFFSET($H$3,0,0,'Données projet'!$E$10+1,1))</f>
        <v>475.47920969424894</v>
      </c>
      <c r="AO113" s="60">
        <f t="shared" si="90"/>
        <v>271.73544012419364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7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6.7984728957526396E-14</v>
      </c>
      <c r="BF113" s="14">
        <f t="shared" si="91"/>
        <v>1.0682447123141398E-12</v>
      </c>
      <c r="BG113" s="22">
        <f t="shared" si="61"/>
        <v>1.978932943548152E-12</v>
      </c>
      <c r="BH113" s="60">
        <f t="shared" si="62"/>
        <v>293.3333333333353</v>
      </c>
      <c r="BI113" s="60">
        <f ca="1">AVERAGE(OFFSET($BH$3,0,0,'Données projet'!$E$11+1,1))-AVERAGE(OFFSET($H$3,0,0,'Données projet'!$E$11+1,1))</f>
        <v>260.02504691866199</v>
      </c>
      <c r="BJ113" s="60">
        <f t="shared" si="92"/>
        <v>270.11268336406368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2.0525414811893321</v>
      </c>
      <c r="BQ113" s="23">
        <f>EXP(-LN(2)/25)*BQ112+(1-EXP(-LN(2)/25))/(LN(2)/25)*Calculateur!BL113*Calculateur!BN113*VLOOKUP('Données projet'!$B$11,Paramètres!$A$1:$I$89,3,0)*0.475*44/12</f>
        <v>1.7885502069272634</v>
      </c>
      <c r="BR113" s="23">
        <f>EXP(-LN(2)/2)*BR112+(1-EXP(-LN(2)/2))/(LN(2)/2)*BL113*BO113*VLOOKUP('Données projet'!$B$11,Paramètres!$A$1:$I$89,3,0)*0.475*44/12</f>
        <v>5.7661608897650183E-12</v>
      </c>
      <c r="BS113" s="24">
        <f t="shared" si="63"/>
        <v>3.8410916881223613</v>
      </c>
      <c r="BT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5.1159076974727213E-13</v>
      </c>
      <c r="BZ113" s="14">
        <f>BY113*VLOOKUP('Données projet'!$B$12,Paramètres!$A$1:$I$89,3,0)*VLOOKUP('Données projet'!$B$12,Paramètres!$A$1:$I$89,5,0)</f>
        <v>2.3942448024172334E-13</v>
      </c>
      <c r="CA113" s="14">
        <f t="shared" si="93"/>
        <v>3.2492669905861755E-12</v>
      </c>
      <c r="CB113" s="22">
        <f t="shared" si="64"/>
        <v>6.0761376450252565E-12</v>
      </c>
      <c r="CC113" s="60">
        <f t="shared" si="65"/>
        <v>293.3333333333394</v>
      </c>
      <c r="CD113" s="60">
        <f ca="1">AVERAGE(OFFSET($CC$3,0,0,'Données projet'!$E$12+1,1))-AVERAGE(OFFSET($H$3,0,0,'Données projet'!$E$12+1,1))</f>
        <v>246.72166704460847</v>
      </c>
      <c r="CE113" s="60">
        <f t="shared" si="94"/>
        <v>145.54897745089966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305</v>
      </c>
      <c r="CR113" s="13">
        <f>VLOOKUP(A113,'Données projet'!$A$139:$I$159,9,0)</f>
        <v>4.4000000000000004</v>
      </c>
      <c r="CS113" s="13">
        <f t="array" ref="CS113">INDEX(CR:CR,MIN(IF(ISNUMBER(CR113:CR309),ROW(CR113:CR309),"")))</f>
        <v>4.4000000000000004</v>
      </c>
      <c r="CT113" s="13">
        <f>IF('Données projet'!$A$140&gt;35,CT112+CS113-DB112,IF(A113&lt;'Données projet'!$A$140,$CQ$205^A113,IF(A113='Données projet'!$A$140,'Données projet'!$B$140,CT112+CS113-DB112)))</f>
        <v>304.9999999999996</v>
      </c>
      <c r="CU113" s="18">
        <f>CT113*VLOOKUP('Données projet'!$B$13,Paramètres!$A$1:$I$89,3,0)*VLOOKUP('Données projet'!$B$13,Paramètres!$A$1:$I$89,5,0)</f>
        <v>275.9639999999996</v>
      </c>
      <c r="CV113" s="14">
        <f t="shared" si="95"/>
        <v>66.113366665488797</v>
      </c>
      <c r="CW113" s="22">
        <f t="shared" si="67"/>
        <v>595.7847469423923</v>
      </c>
      <c r="CX113" s="60">
        <f t="shared" si="68"/>
        <v>889.11808027572556</v>
      </c>
      <c r="CY113" s="60">
        <f ca="1">AVERAGE(OFFSET($CX$3,0,0,'Données projet'!$E$13+1,1))-AVERAGE(OFFSET($H$3,0,0,'Données projet'!$E$13+1,1))</f>
        <v>428.8489304403459</v>
      </c>
      <c r="CZ113" s="60">
        <f t="shared" si="96"/>
        <v>247.01165577562966</v>
      </c>
      <c r="DA113" s="16">
        <f>IF(ISNA(VLOOKUP(A113,'Données projet'!$A$139:$I$159,3,0)),0,VLOOKUP(A113,'Données projet'!$A$139:$I$159,3,0))</f>
        <v>9</v>
      </c>
      <c r="DB113" s="16">
        <f>IF(ISNA(VLOOKUP(A113,'Données projet'!$A$139:$I$159,4,0)),0,VLOOKUP(A113,'Données projet'!$A$139:$I$159,4,0))</f>
        <v>39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321.15384615384613</v>
      </c>
      <c r="DM113" s="13">
        <f>VLOOKUP(A113,'Données projet'!$A$165:$I$185,9,0)</f>
        <v>3.2051282051282044</v>
      </c>
      <c r="DN113" s="13">
        <f t="array" ref="DN113">INDEX(DM:DM,MIN(IF(ISNUMBER(DM113:DM309),ROW(DM113:DM309),"")))</f>
        <v>3.2051282051282044</v>
      </c>
      <c r="DO113" s="13">
        <f>IF('Données projet'!$A$166&gt;35,DO112+DN113-DW112,IF(A113&lt;'Données projet'!$A$166,$DL$205^A113,IF(A113='Données projet'!$A$166,'Données projet'!$B$166,DO112+DN113-DW112)))</f>
        <v>321.15384615384573</v>
      </c>
      <c r="DP113" s="18">
        <f>DO113*VLOOKUP('Données projet'!$B$14,Paramètres!$A$1:$I$89,3,0)*VLOOKUP('Données projet'!$B$14,Paramètres!$A$1:$I$89,5,0)</f>
        <v>335.66999999999956</v>
      </c>
      <c r="DQ113" s="14">
        <f t="shared" si="97"/>
        <v>78.604674766974242</v>
      </c>
      <c r="DR113" s="22">
        <f t="shared" si="70"/>
        <v>721.52839188581265</v>
      </c>
      <c r="DS113" s="60">
        <f t="shared" si="71"/>
        <v>1014.8617252191459</v>
      </c>
      <c r="DT113" s="60">
        <f ca="1">AVERAGE(OFFSET($DS$3,0,0,'Données projet'!$E$14+1,1))-AVERAGE(OFFSET($H$3,0,0,'Données projet'!$E$14+1,1))</f>
        <v>493.70175665335978</v>
      </c>
      <c r="DU113" s="60">
        <f t="shared" si="98"/>
        <v>325.12357781685949</v>
      </c>
      <c r="DV113" s="16">
        <f>IF(ISNA(VLOOKUP(A113,'Données projet'!$A$165:$I$185,3,0)),0,VLOOKUP(A113,'Données projet'!$A$165:$I$185,3,0))</f>
        <v>9</v>
      </c>
      <c r="DW113" s="16">
        <f>IF(ISNA(VLOOKUP(A113,'Données projet'!$A$165:$I$185,4,0)),0,VLOOKUP(A113,'Données projet'!$A$165:$I$185,4,0))</f>
        <v>19.23076923076923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-1.9895196601282805E-13</v>
      </c>
      <c r="EK113" s="18">
        <f>EJ113*VLOOKUP('Données projet'!$B$15,Paramètres!$A$1:$I$89,3,0)*VLOOKUP('Données projet'!$B$15,Paramètres!$A$1:$I$89,5,0)</f>
        <v>-1.6138983482960614E-13</v>
      </c>
      <c r="EL113" s="14" t="e">
        <f t="shared" si="99"/>
        <v>#NUM!</v>
      </c>
      <c r="EM113" s="22" t="e">
        <f t="shared" si="73"/>
        <v>#NUM!</v>
      </c>
      <c r="EN113" s="60" t="e">
        <f t="shared" si="74"/>
        <v>#NUM!</v>
      </c>
      <c r="EO113" s="60">
        <f ca="1">AVERAGE(OFFSET($EN$3,0,0,'Données projet'!$E$15+1,1))-AVERAGE(OFFSET($H$3,0,0,'Données projet'!$E$15+1,1))</f>
        <v>236.22643401787644</v>
      </c>
      <c r="EP113" s="60">
        <f t="shared" si="100"/>
        <v>188.80444043778022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181</v>
      </c>
      <c r="FC113" s="13">
        <f>VLOOKUP(A113,'Données projet'!$A$217:$I$237,9,0)</f>
        <v>3</v>
      </c>
      <c r="FD113" s="13">
        <f t="array" ref="FD113">INDEX(FC:FC,MIN(IF(ISNUMBER(FC113:FC309),ROW(FC113:FC309),"")))</f>
        <v>3</v>
      </c>
      <c r="FE113" s="13">
        <f>IF('Données projet'!$A$218&gt;35,FE112+FD113-FM112,IF(A113&lt;'Données projet'!$A$218,$FB$205^A113,IF(A113='Données projet'!$A$218,'Données projet'!$B$218,FE112+FD113-FM112)))</f>
        <v>181.00000000000006</v>
      </c>
      <c r="FF113" s="18">
        <f>FE113*VLOOKUP('Données projet'!$B$16,Paramètres!$A$1:$I$89,3,0)*VLOOKUP('Données projet'!$B$16,Paramètres!$A$1:$I$89,5,0)</f>
        <v>175.06320000000008</v>
      </c>
      <c r="FG113" s="14">
        <f t="shared" si="101"/>
        <v>44.222067746824763</v>
      </c>
      <c r="FH113" s="22">
        <f t="shared" si="76"/>
        <v>381.92184132571992</v>
      </c>
      <c r="FI113" s="60">
        <f t="shared" si="77"/>
        <v>675.25517465905318</v>
      </c>
      <c r="FJ113" s="60">
        <f ca="1">AVERAGE(OFFSET($FI$3,0,0,'Données projet'!$E$16+1,1))-AVERAGE(OFFSET($H$3,0,0,'Données projet'!$E$16+1,1))</f>
        <v>255.59755832175625</v>
      </c>
      <c r="FK113" s="60">
        <f t="shared" si="102"/>
        <v>154.0840647586964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0" t="e">
        <f t="shared" si="80"/>
        <v>#N/A</v>
      </c>
      <c r="GE113" s="60" t="e">
        <f ca="1">AVERAGE(OFFSET($GD$3,0,0,'Données projet'!$E$17+1,1))-AVERAGE(OFFSET($H$3,0,0,'Données projet'!$E$17+1,1))</f>
        <v>#N/A</v>
      </c>
      <c r="GF113" s="60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7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0" t="e">
        <f t="shared" si="83"/>
        <v>#N/A</v>
      </c>
      <c r="GZ113" s="60" t="e">
        <f ca="1">AVERAGE(OFFSET($GY$3,0,0,'Données projet'!$E$18+1,1))-AVERAGE(OFFSET($H$3,0,0,'Données projet'!$E$18+1,1))</f>
        <v>#N/A</v>
      </c>
      <c r="HA113" s="60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5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68">
        <f t="shared" si="56"/>
        <v>256.66666666666669</v>
      </c>
      <c r="I114" s="7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0" t="e">
        <f t="shared" si="55"/>
        <v>#NUM!</v>
      </c>
      <c r="S114" s="60">
        <f ca="1">AVERAGE(OFFSET($R$3,0,0,'Données projet'!$E$9+1,1))-AVERAGE(OFFSET($H$3,0,0,'Données projet'!$E$9+1,1))</f>
        <v>64.775385872852041</v>
      </c>
      <c r="T114" s="60">
        <f t="shared" si="88"/>
        <v>201.69061202990468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6.4611675582906285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3.88533934718505E-14</v>
      </c>
      <c r="AC114" s="24">
        <f t="shared" si="57"/>
        <v>6.4611675582906676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273.47579999999959</v>
      </c>
      <c r="AK114" s="14">
        <f t="shared" si="89"/>
        <v>65.586371730977532</v>
      </c>
      <c r="AL114" s="22">
        <f t="shared" si="58"/>
        <v>590.53328243145177</v>
      </c>
      <c r="AM114" s="60">
        <f t="shared" si="59"/>
        <v>883.86661576478514</v>
      </c>
      <c r="AN114" s="60">
        <f ca="1">AVERAGE(OFFSET($AM$3,0,0,'Données projet'!$E$10+1,1))-AVERAGE(OFFSET($H$3,0,0,'Données projet'!$E$10+1,1))</f>
        <v>475.47920969424894</v>
      </c>
      <c r="AO114" s="60">
        <f t="shared" si="90"/>
        <v>271.73544012419364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7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6.7984728957526396E-14</v>
      </c>
      <c r="BF114" s="14">
        <f t="shared" si="91"/>
        <v>1.0682447123141398E-12</v>
      </c>
      <c r="BG114" s="22">
        <f t="shared" si="61"/>
        <v>1.978932943548152E-12</v>
      </c>
      <c r="BH114" s="60">
        <f t="shared" si="62"/>
        <v>293.3333333333353</v>
      </c>
      <c r="BI114" s="60">
        <f ca="1">AVERAGE(OFFSET($BH$3,0,0,'Données projet'!$E$11+1,1))-AVERAGE(OFFSET($H$3,0,0,'Données projet'!$E$11+1,1))</f>
        <v>260.02504691866199</v>
      </c>
      <c r="BJ114" s="60">
        <f t="shared" si="92"/>
        <v>270.11268336406368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2.0122923946698954</v>
      </c>
      <c r="BQ114" s="23">
        <f>EXP(-LN(2)/25)*BQ113+(1-EXP(-LN(2)/25))/(LN(2)/25)*Calculateur!BL114*Calculateur!BN114*VLOOKUP('Données projet'!$B$11,Paramètres!$A$1:$I$89,3,0)*0.475*44/12</f>
        <v>1.7396422074630697</v>
      </c>
      <c r="BR114" s="23">
        <f>EXP(-LN(2)/2)*BR113+(1-EXP(-LN(2)/2))/(LN(2)/2)*BL114*BO114*VLOOKUP('Données projet'!$B$11,Paramètres!$A$1:$I$89,3,0)*0.475*44/12</f>
        <v>4.0772914665655009E-12</v>
      </c>
      <c r="BS114" s="24">
        <f t="shared" si="63"/>
        <v>3.7519346021370423</v>
      </c>
      <c r="BT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5.1159076974727213E-13</v>
      </c>
      <c r="BZ114" s="14">
        <f>BY114*VLOOKUP('Données projet'!$B$12,Paramètres!$A$1:$I$89,3,0)*VLOOKUP('Données projet'!$B$12,Paramètres!$A$1:$I$89,5,0)</f>
        <v>2.3942448024172334E-13</v>
      </c>
      <c r="CA114" s="14">
        <f t="shared" si="93"/>
        <v>3.2492669905861755E-12</v>
      </c>
      <c r="CB114" s="22">
        <f t="shared" si="64"/>
        <v>6.0761376450252565E-12</v>
      </c>
      <c r="CC114" s="60">
        <f t="shared" si="65"/>
        <v>293.3333333333394</v>
      </c>
      <c r="CD114" s="60">
        <f ca="1">AVERAGE(OFFSET($CC$3,0,0,'Données projet'!$E$12+1,1))-AVERAGE(OFFSET($H$3,0,0,'Données projet'!$E$12+1,1))</f>
        <v>246.72166704460847</v>
      </c>
      <c r="CE114" s="60">
        <f t="shared" si="94"/>
        <v>145.54897745089966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3.7</v>
      </c>
      <c r="CT114" s="13">
        <f>IF('Données projet'!$A$140&gt;35,CT113+CS114-DB113,IF(A114&lt;'Données projet'!$A$140,$CQ$205^A114,IF(A114='Données projet'!$A$140,'Données projet'!$B$140,CT113+CS114-DB113)))</f>
        <v>269.69999999999959</v>
      </c>
      <c r="CU114" s="18">
        <f>CT114*VLOOKUP('Données projet'!$B$13,Paramètres!$A$1:$I$89,3,0)*VLOOKUP('Données projet'!$B$13,Paramètres!$A$1:$I$89,5,0)</f>
        <v>244.02455999999964</v>
      </c>
      <c r="CV114" s="14">
        <f t="shared" si="95"/>
        <v>59.304594314969229</v>
      </c>
      <c r="CW114" s="22">
        <f t="shared" si="67"/>
        <v>528.29827709857079</v>
      </c>
      <c r="CX114" s="60">
        <f t="shared" si="68"/>
        <v>821.63161043190416</v>
      </c>
      <c r="CY114" s="60">
        <f ca="1">AVERAGE(OFFSET($CX$3,0,0,'Données projet'!$E$13+1,1))-AVERAGE(OFFSET($H$3,0,0,'Données projet'!$E$13+1,1))</f>
        <v>428.8489304403459</v>
      </c>
      <c r="CZ114" s="60">
        <f t="shared" si="96"/>
        <v>247.01165577562966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2.8846153846153868</v>
      </c>
      <c r="DO114" s="13">
        <f>IF('Données projet'!$A$166&gt;35,DO113+DN114-DW113,IF(A114&lt;'Données projet'!$A$166,$DL$205^A114,IF(A114='Données projet'!$A$166,'Données projet'!$B$166,DO113+DN114-DW113)))</f>
        <v>304.80769230769187</v>
      </c>
      <c r="DP114" s="18">
        <f>DO114*VLOOKUP('Données projet'!$B$14,Paramètres!$A$1:$I$89,3,0)*VLOOKUP('Données projet'!$B$14,Paramètres!$A$1:$I$89,5,0)</f>
        <v>318.58499999999958</v>
      </c>
      <c r="DQ114" s="14">
        <f t="shared" si="97"/>
        <v>75.058859499755215</v>
      </c>
      <c r="DR114" s="22">
        <f t="shared" si="70"/>
        <v>685.59638862873953</v>
      </c>
      <c r="DS114" s="60">
        <f t="shared" si="71"/>
        <v>978.92972196207279</v>
      </c>
      <c r="DT114" s="60">
        <f ca="1">AVERAGE(OFFSET($DS$3,0,0,'Données projet'!$E$14+1,1))-AVERAGE(OFFSET($H$3,0,0,'Données projet'!$E$14+1,1))</f>
        <v>493.70175665335978</v>
      </c>
      <c r="DU114" s="60">
        <f t="shared" si="98"/>
        <v>325.12357781685949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-1.9895196601282805E-13</v>
      </c>
      <c r="EK114" s="18">
        <f>EJ114*VLOOKUP('Données projet'!$B$15,Paramètres!$A$1:$I$89,3,0)*VLOOKUP('Données projet'!$B$15,Paramètres!$A$1:$I$89,5,0)</f>
        <v>-1.6138983482960614E-13</v>
      </c>
      <c r="EL114" s="14" t="e">
        <f t="shared" si="99"/>
        <v>#NUM!</v>
      </c>
      <c r="EM114" s="22" t="e">
        <f t="shared" si="73"/>
        <v>#NUM!</v>
      </c>
      <c r="EN114" s="60" t="e">
        <f t="shared" si="74"/>
        <v>#NUM!</v>
      </c>
      <c r="EO114" s="60">
        <f ca="1">AVERAGE(OFFSET($EN$3,0,0,'Données projet'!$E$15+1,1))-AVERAGE(OFFSET($H$3,0,0,'Données projet'!$E$15+1,1))</f>
        <v>236.22643401787644</v>
      </c>
      <c r="EP114" s="60">
        <f t="shared" si="100"/>
        <v>188.80444043778022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3</v>
      </c>
      <c r="FE114" s="13">
        <f>IF('Données projet'!$A$218&gt;35,FE113+FD114-FM113,IF(A114&lt;'Données projet'!$A$218,$FB$205^A114,IF(A114='Données projet'!$A$218,'Données projet'!$B$218,FE113+FD114-FM113)))</f>
        <v>184.00000000000006</v>
      </c>
      <c r="FF114" s="18">
        <f>FE114*VLOOKUP('Données projet'!$B$16,Paramètres!$A$1:$I$89,3,0)*VLOOKUP('Données projet'!$B$16,Paramètres!$A$1:$I$89,5,0)</f>
        <v>177.96480000000008</v>
      </c>
      <c r="FG114" s="14">
        <f t="shared" si="101"/>
        <v>44.869092441133326</v>
      </c>
      <c r="FH114" s="22">
        <f t="shared" si="76"/>
        <v>388.10236266830731</v>
      </c>
      <c r="FI114" s="60">
        <f t="shared" si="77"/>
        <v>681.43569600164062</v>
      </c>
      <c r="FJ114" s="60">
        <f ca="1">AVERAGE(OFFSET($FI$3,0,0,'Données projet'!$E$16+1,1))-AVERAGE(OFFSET($H$3,0,0,'Données projet'!$E$16+1,1))</f>
        <v>255.59755832175625</v>
      </c>
      <c r="FK114" s="60">
        <f t="shared" si="102"/>
        <v>154.0840647586964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0" t="e">
        <f t="shared" si="80"/>
        <v>#N/A</v>
      </c>
      <c r="GE114" s="60" t="e">
        <f ca="1">AVERAGE(OFFSET($GD$3,0,0,'Données projet'!$E$17+1,1))-AVERAGE(OFFSET($H$3,0,0,'Données projet'!$E$17+1,1))</f>
        <v>#N/A</v>
      </c>
      <c r="GF114" s="60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7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0" t="e">
        <f t="shared" si="83"/>
        <v>#N/A</v>
      </c>
      <c r="GZ114" s="60" t="e">
        <f ca="1">AVERAGE(OFFSET($GY$3,0,0,'Données projet'!$E$18+1,1))-AVERAGE(OFFSET($H$3,0,0,'Données projet'!$E$18+1,1))</f>
        <v>#N/A</v>
      </c>
      <c r="HA114" s="60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5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68">
        <f t="shared" si="56"/>
        <v>256.66666666666669</v>
      </c>
      <c r="I115" s="7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0" t="e">
        <f t="shared" si="55"/>
        <v>#NUM!</v>
      </c>
      <c r="S115" s="60">
        <f ca="1">AVERAGE(OFFSET($R$3,0,0,'Données projet'!$E$9+1,1))-AVERAGE(OFFSET($H$3,0,0,'Données projet'!$E$9+1,1))</f>
        <v>64.775385872852041</v>
      </c>
      <c r="T115" s="60">
        <f t="shared" si="88"/>
        <v>201.69061202990468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6.3344680033956262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2.7473497996054626E-14</v>
      </c>
      <c r="AC115" s="24">
        <f t="shared" si="57"/>
        <v>6.3344680033956537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277.2275999999996</v>
      </c>
      <c r="AK115" s="14">
        <f t="shared" si="89"/>
        <v>66.380782187895392</v>
      </c>
      <c r="AL115" s="22">
        <f t="shared" si="58"/>
        <v>598.45126564391705</v>
      </c>
      <c r="AM115" s="60">
        <f t="shared" si="59"/>
        <v>891.78459897725043</v>
      </c>
      <c r="AN115" s="60">
        <f ca="1">AVERAGE(OFFSET($AM$3,0,0,'Données projet'!$E$10+1,1))-AVERAGE(OFFSET($H$3,0,0,'Données projet'!$E$10+1,1))</f>
        <v>475.47920969424894</v>
      </c>
      <c r="AO115" s="60">
        <f t="shared" si="90"/>
        <v>271.73544012419364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7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6.7984728957526396E-14</v>
      </c>
      <c r="BF115" s="14">
        <f t="shared" si="91"/>
        <v>1.0682447123141398E-12</v>
      </c>
      <c r="BG115" s="22">
        <f t="shared" si="61"/>
        <v>1.978932943548152E-12</v>
      </c>
      <c r="BH115" s="60">
        <f t="shared" si="62"/>
        <v>293.3333333333353</v>
      </c>
      <c r="BI115" s="60">
        <f ca="1">AVERAGE(OFFSET($BH$3,0,0,'Données projet'!$E$11+1,1))-AVERAGE(OFFSET($H$3,0,0,'Données projet'!$E$11+1,1))</f>
        <v>260.02504691866199</v>
      </c>
      <c r="BJ115" s="60">
        <f t="shared" si="92"/>
        <v>270.11268336406368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1.972832568187586</v>
      </c>
      <c r="BQ115" s="23">
        <f>EXP(-LN(2)/25)*BQ114+(1-EXP(-LN(2)/25))/(LN(2)/25)*Calculateur!BL115*Calculateur!BN115*VLOOKUP('Données projet'!$B$11,Paramètres!$A$1:$I$89,3,0)*0.475*44/12</f>
        <v>1.6920715998161844</v>
      </c>
      <c r="BR115" s="23">
        <f>EXP(-LN(2)/2)*BR114+(1-EXP(-LN(2)/2))/(LN(2)/2)*BL115*BO115*VLOOKUP('Données projet'!$B$11,Paramètres!$A$1:$I$89,3,0)*0.475*44/12</f>
        <v>2.8830804448825091E-12</v>
      </c>
      <c r="BS115" s="24">
        <f t="shared" si="63"/>
        <v>3.6649041680066534</v>
      </c>
      <c r="BT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5.1159076974727213E-13</v>
      </c>
      <c r="BZ115" s="14">
        <f>BY115*VLOOKUP('Données projet'!$B$12,Paramètres!$A$1:$I$89,3,0)*VLOOKUP('Données projet'!$B$12,Paramètres!$A$1:$I$89,5,0)</f>
        <v>2.3942448024172334E-13</v>
      </c>
      <c r="CA115" s="14">
        <f t="shared" si="93"/>
        <v>3.2492669905861755E-12</v>
      </c>
      <c r="CB115" s="22">
        <f t="shared" si="64"/>
        <v>6.0761376450252565E-12</v>
      </c>
      <c r="CC115" s="60">
        <f t="shared" si="65"/>
        <v>293.3333333333394</v>
      </c>
      <c r="CD115" s="60">
        <f ca="1">AVERAGE(OFFSET($CC$3,0,0,'Données projet'!$E$12+1,1))-AVERAGE(OFFSET($H$3,0,0,'Données projet'!$E$12+1,1))</f>
        <v>246.72166704460847</v>
      </c>
      <c r="CE115" s="60">
        <f t="shared" si="94"/>
        <v>145.54897745089966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3.7</v>
      </c>
      <c r="CT115" s="13">
        <f>IF('Données projet'!$A$140&gt;35,CT114+CS115-DB114,IF(A115&lt;'Données projet'!$A$140,$CQ$205^A115,IF(A115='Données projet'!$A$140,'Données projet'!$B$140,CT114+CS115-DB114)))</f>
        <v>273.39999999999958</v>
      </c>
      <c r="CU115" s="18">
        <f>CT115*VLOOKUP('Données projet'!$B$13,Paramètres!$A$1:$I$89,3,0)*VLOOKUP('Données projet'!$B$13,Paramètres!$A$1:$I$89,5,0)</f>
        <v>247.3723199999996</v>
      </c>
      <c r="CV115" s="14">
        <f t="shared" si="95"/>
        <v>60.022917171130942</v>
      </c>
      <c r="CW115" s="22">
        <f t="shared" si="67"/>
        <v>535.38003807305233</v>
      </c>
      <c r="CX115" s="60">
        <f t="shared" si="68"/>
        <v>828.7133714063857</v>
      </c>
      <c r="CY115" s="60">
        <f ca="1">AVERAGE(OFFSET($CX$3,0,0,'Données projet'!$E$13+1,1))-AVERAGE(OFFSET($H$3,0,0,'Données projet'!$E$13+1,1))</f>
        <v>428.8489304403459</v>
      </c>
      <c r="CZ115" s="60">
        <f t="shared" si="96"/>
        <v>247.01165577562966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2.8846153846153868</v>
      </c>
      <c r="DO115" s="13">
        <f>IF('Données projet'!$A$166&gt;35,DO114+DN115-DW114,IF(A115&lt;'Données projet'!$A$166,$DL$205^A115,IF(A115='Données projet'!$A$166,'Données projet'!$B$166,DO114+DN115-DW114)))</f>
        <v>307.69230769230728</v>
      </c>
      <c r="DP115" s="18">
        <f>DO115*VLOOKUP('Données projet'!$B$14,Paramètres!$A$1:$I$89,3,0)*VLOOKUP('Données projet'!$B$14,Paramètres!$A$1:$I$89,5,0)</f>
        <v>321.59999999999962</v>
      </c>
      <c r="DQ115" s="14">
        <f t="shared" si="97"/>
        <v>75.686168081957248</v>
      </c>
      <c r="DR115" s="22">
        <f t="shared" si="70"/>
        <v>691.94007607607489</v>
      </c>
      <c r="DS115" s="60">
        <f t="shared" si="71"/>
        <v>985.27340940940826</v>
      </c>
      <c r="DT115" s="60">
        <f ca="1">AVERAGE(OFFSET($DS$3,0,0,'Données projet'!$E$14+1,1))-AVERAGE(OFFSET($H$3,0,0,'Données projet'!$E$14+1,1))</f>
        <v>493.70175665335978</v>
      </c>
      <c r="DU115" s="60">
        <f t="shared" si="98"/>
        <v>325.12357781685949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-1.9895196601282805E-13</v>
      </c>
      <c r="EK115" s="18">
        <f>EJ115*VLOOKUP('Données projet'!$B$15,Paramètres!$A$1:$I$89,3,0)*VLOOKUP('Données projet'!$B$15,Paramètres!$A$1:$I$89,5,0)</f>
        <v>-1.6138983482960614E-13</v>
      </c>
      <c r="EL115" s="14" t="e">
        <f t="shared" si="99"/>
        <v>#NUM!</v>
      </c>
      <c r="EM115" s="22" t="e">
        <f t="shared" si="73"/>
        <v>#NUM!</v>
      </c>
      <c r="EN115" s="60" t="e">
        <f t="shared" si="74"/>
        <v>#NUM!</v>
      </c>
      <c r="EO115" s="60">
        <f ca="1">AVERAGE(OFFSET($EN$3,0,0,'Données projet'!$E$15+1,1))-AVERAGE(OFFSET($H$3,0,0,'Données projet'!$E$15+1,1))</f>
        <v>236.22643401787644</v>
      </c>
      <c r="EP115" s="60">
        <f t="shared" si="100"/>
        <v>188.80444043778022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3</v>
      </c>
      <c r="FE115" s="13">
        <f>IF('Données projet'!$A$218&gt;35,FE114+FD115-FM114,IF(A115&lt;'Données projet'!$A$218,$FB$205^A115,IF(A115='Données projet'!$A$218,'Données projet'!$B$218,FE114+FD115-FM114)))</f>
        <v>187.00000000000006</v>
      </c>
      <c r="FF115" s="18">
        <f>FE115*VLOOKUP('Données projet'!$B$16,Paramètres!$A$1:$I$89,3,0)*VLOOKUP('Données projet'!$B$16,Paramètres!$A$1:$I$89,5,0)</f>
        <v>180.86640000000006</v>
      </c>
      <c r="FG115" s="14">
        <f t="shared" si="101"/>
        <v>45.514890302102152</v>
      </c>
      <c r="FH115" s="22">
        <f t="shared" si="76"/>
        <v>394.28074727616132</v>
      </c>
      <c r="FI115" s="60">
        <f t="shared" si="77"/>
        <v>687.61408060949464</v>
      </c>
      <c r="FJ115" s="60">
        <f ca="1">AVERAGE(OFFSET($FI$3,0,0,'Données projet'!$E$16+1,1))-AVERAGE(OFFSET($H$3,0,0,'Données projet'!$E$16+1,1))</f>
        <v>255.59755832175625</v>
      </c>
      <c r="FK115" s="60">
        <f t="shared" si="102"/>
        <v>154.0840647586964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0" t="e">
        <f t="shared" si="80"/>
        <v>#N/A</v>
      </c>
      <c r="GE115" s="60" t="e">
        <f ca="1">AVERAGE(OFFSET($GD$3,0,0,'Données projet'!$E$17+1,1))-AVERAGE(OFFSET($H$3,0,0,'Données projet'!$E$17+1,1))</f>
        <v>#N/A</v>
      </c>
      <c r="GF115" s="60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7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0" t="e">
        <f t="shared" si="83"/>
        <v>#N/A</v>
      </c>
      <c r="GZ115" s="60" t="e">
        <f ca="1">AVERAGE(OFFSET($GY$3,0,0,'Données projet'!$E$18+1,1))-AVERAGE(OFFSET($H$3,0,0,'Données projet'!$E$18+1,1))</f>
        <v>#N/A</v>
      </c>
      <c r="HA115" s="60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5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68">
        <f t="shared" si="56"/>
        <v>256.66666666666669</v>
      </c>
      <c r="I116" s="7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0" t="e">
        <f t="shared" si="55"/>
        <v>#NUM!</v>
      </c>
      <c r="S116" s="60">
        <f ca="1">AVERAGE(OFFSET($R$3,0,0,'Données projet'!$E$9+1,1))-AVERAGE(OFFSET($H$3,0,0,'Données projet'!$E$9+1,1))</f>
        <v>64.775385872852041</v>
      </c>
      <c r="T116" s="60">
        <f t="shared" si="88"/>
        <v>201.69061202990468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6.2102529494930172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1.942669673592525E-14</v>
      </c>
      <c r="AC116" s="24">
        <f t="shared" si="57"/>
        <v>6.2102529494930367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280.9793999999996</v>
      </c>
      <c r="AK116" s="14">
        <f t="shared" si="89"/>
        <v>67.173942175199358</v>
      </c>
      <c r="AL116" s="22">
        <f t="shared" si="58"/>
        <v>606.36707095513827</v>
      </c>
      <c r="AM116" s="60">
        <f t="shared" si="59"/>
        <v>899.70040428847165</v>
      </c>
      <c r="AN116" s="60">
        <f ca="1">AVERAGE(OFFSET($AM$3,0,0,'Données projet'!$E$10+1,1))-AVERAGE(OFFSET($H$3,0,0,'Données projet'!$E$10+1,1))</f>
        <v>475.47920969424894</v>
      </c>
      <c r="AO116" s="60">
        <f t="shared" si="90"/>
        <v>271.73544012419364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7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6.7984728957526396E-14</v>
      </c>
      <c r="BF116" s="14">
        <f t="shared" si="91"/>
        <v>1.0682447123141398E-12</v>
      </c>
      <c r="BG116" s="22">
        <f t="shared" si="61"/>
        <v>1.978932943548152E-12</v>
      </c>
      <c r="BH116" s="60">
        <f t="shared" si="62"/>
        <v>293.3333333333353</v>
      </c>
      <c r="BI116" s="60">
        <f ca="1">AVERAGE(OFFSET($BH$3,0,0,'Données projet'!$E$11+1,1))-AVERAGE(OFFSET($H$3,0,0,'Données projet'!$E$11+1,1))</f>
        <v>260.02504691866199</v>
      </c>
      <c r="BJ116" s="60">
        <f t="shared" si="92"/>
        <v>270.11268336406368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1.9341465248344771</v>
      </c>
      <c r="BQ116" s="23">
        <f>EXP(-LN(2)/25)*BQ115+(1-EXP(-LN(2)/25))/(LN(2)/25)*Calculateur!BL116*Calculateur!BN116*VLOOKUP('Données projet'!$B$11,Paramètres!$A$1:$I$89,3,0)*0.475*44/12</f>
        <v>1.6458018129370326</v>
      </c>
      <c r="BR116" s="23">
        <f>EXP(-LN(2)/2)*BR115+(1-EXP(-LN(2)/2))/(LN(2)/2)*BL116*BO116*VLOOKUP('Données projet'!$B$11,Paramètres!$A$1:$I$89,3,0)*0.475*44/12</f>
        <v>2.0386457332827505E-12</v>
      </c>
      <c r="BS116" s="24">
        <f t="shared" si="63"/>
        <v>3.5799483377735486</v>
      </c>
      <c r="BT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5.1159076974727213E-13</v>
      </c>
      <c r="BZ116" s="14">
        <f>BY116*VLOOKUP('Données projet'!$B$12,Paramètres!$A$1:$I$89,3,0)*VLOOKUP('Données projet'!$B$12,Paramètres!$A$1:$I$89,5,0)</f>
        <v>2.3942448024172334E-13</v>
      </c>
      <c r="CA116" s="14">
        <f t="shared" si="93"/>
        <v>3.2492669905861755E-12</v>
      </c>
      <c r="CB116" s="22">
        <f t="shared" si="64"/>
        <v>6.0761376450252565E-12</v>
      </c>
      <c r="CC116" s="60">
        <f t="shared" si="65"/>
        <v>293.3333333333394</v>
      </c>
      <c r="CD116" s="60">
        <f ca="1">AVERAGE(OFFSET($CC$3,0,0,'Données projet'!$E$12+1,1))-AVERAGE(OFFSET($H$3,0,0,'Données projet'!$E$12+1,1))</f>
        <v>246.72166704460847</v>
      </c>
      <c r="CE116" s="60">
        <f t="shared" si="94"/>
        <v>145.54897745089966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3.7</v>
      </c>
      <c r="CT116" s="13">
        <f>IF('Données projet'!$A$140&gt;35,CT115+CS116-DB115,IF(A116&lt;'Données projet'!$A$140,$CQ$205^A116,IF(A116='Données projet'!$A$140,'Données projet'!$B$140,CT115+CS116-DB115)))</f>
        <v>277.09999999999957</v>
      </c>
      <c r="CU116" s="18">
        <f>CT116*VLOOKUP('Données projet'!$B$13,Paramètres!$A$1:$I$89,3,0)*VLOOKUP('Données projet'!$B$13,Paramètres!$A$1:$I$89,5,0)</f>
        <v>250.7200799999996</v>
      </c>
      <c r="CV116" s="14">
        <f t="shared" si="95"/>
        <v>60.740109326032709</v>
      </c>
      <c r="CW116" s="22">
        <f t="shared" si="67"/>
        <v>542.45982974283959</v>
      </c>
      <c r="CX116" s="60">
        <f t="shared" si="68"/>
        <v>835.79316307617296</v>
      </c>
      <c r="CY116" s="60">
        <f ca="1">AVERAGE(OFFSET($CX$3,0,0,'Données projet'!$E$13+1,1))-AVERAGE(OFFSET($H$3,0,0,'Données projet'!$E$13+1,1))</f>
        <v>428.8489304403459</v>
      </c>
      <c r="CZ116" s="60">
        <f t="shared" si="96"/>
        <v>247.01165577562966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2.8846153846153868</v>
      </c>
      <c r="DO116" s="13">
        <f>IF('Données projet'!$A$166&gt;35,DO115+DN116-DW115,IF(A116&lt;'Données projet'!$A$166,$DL$205^A116,IF(A116='Données projet'!$A$166,'Données projet'!$B$166,DO115+DN116-DW115)))</f>
        <v>310.57692307692264</v>
      </c>
      <c r="DP116" s="18">
        <f>DO116*VLOOKUP('Données projet'!$B$14,Paramètres!$A$1:$I$89,3,0)*VLOOKUP('Données projet'!$B$14,Paramètres!$A$1:$I$89,5,0)</f>
        <v>324.61499999999955</v>
      </c>
      <c r="DQ116" s="14">
        <f t="shared" si="97"/>
        <v>76.312792476440805</v>
      </c>
      <c r="DR116" s="22">
        <f t="shared" si="70"/>
        <v>698.28257189646683</v>
      </c>
      <c r="DS116" s="60">
        <f t="shared" si="71"/>
        <v>991.61590522980009</v>
      </c>
      <c r="DT116" s="60">
        <f ca="1">AVERAGE(OFFSET($DS$3,0,0,'Données projet'!$E$14+1,1))-AVERAGE(OFFSET($H$3,0,0,'Données projet'!$E$14+1,1))</f>
        <v>493.70175665335978</v>
      </c>
      <c r="DU116" s="60">
        <f t="shared" si="98"/>
        <v>325.12357781685949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-1.9895196601282805E-13</v>
      </c>
      <c r="EK116" s="18">
        <f>EJ116*VLOOKUP('Données projet'!$B$15,Paramètres!$A$1:$I$89,3,0)*VLOOKUP('Données projet'!$B$15,Paramètres!$A$1:$I$89,5,0)</f>
        <v>-1.6138983482960614E-13</v>
      </c>
      <c r="EL116" s="14" t="e">
        <f t="shared" si="99"/>
        <v>#NUM!</v>
      </c>
      <c r="EM116" s="22" t="e">
        <f t="shared" si="73"/>
        <v>#NUM!</v>
      </c>
      <c r="EN116" s="60" t="e">
        <f t="shared" si="74"/>
        <v>#NUM!</v>
      </c>
      <c r="EO116" s="60">
        <f ca="1">AVERAGE(OFFSET($EN$3,0,0,'Données projet'!$E$15+1,1))-AVERAGE(OFFSET($H$3,0,0,'Données projet'!$E$15+1,1))</f>
        <v>236.22643401787644</v>
      </c>
      <c r="EP116" s="60">
        <f t="shared" si="100"/>
        <v>188.80444043778022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3</v>
      </c>
      <c r="FE116" s="13">
        <f>IF('Données projet'!$A$218&gt;35,FE115+FD116-FM115,IF(A116&lt;'Données projet'!$A$218,$FB$205^A116,IF(A116='Données projet'!$A$218,'Données projet'!$B$218,FE115+FD116-FM115)))</f>
        <v>190.00000000000006</v>
      </c>
      <c r="FF116" s="18">
        <f>FE116*VLOOKUP('Données projet'!$B$16,Paramètres!$A$1:$I$89,3,0)*VLOOKUP('Données projet'!$B$16,Paramètres!$A$1:$I$89,5,0)</f>
        <v>183.76800000000006</v>
      </c>
      <c r="FG116" s="14">
        <f t="shared" si="101"/>
        <v>46.159483283907285</v>
      </c>
      <c r="FH116" s="22">
        <f t="shared" si="76"/>
        <v>400.45703338613862</v>
      </c>
      <c r="FI116" s="60">
        <f t="shared" si="77"/>
        <v>693.79036671947188</v>
      </c>
      <c r="FJ116" s="60">
        <f ca="1">AVERAGE(OFFSET($FI$3,0,0,'Données projet'!$E$16+1,1))-AVERAGE(OFFSET($H$3,0,0,'Données projet'!$E$16+1,1))</f>
        <v>255.59755832175625</v>
      </c>
      <c r="FK116" s="60">
        <f t="shared" si="102"/>
        <v>154.0840647586964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0" t="e">
        <f t="shared" si="80"/>
        <v>#N/A</v>
      </c>
      <c r="GE116" s="60" t="e">
        <f ca="1">AVERAGE(OFFSET($GD$3,0,0,'Données projet'!$E$17+1,1))-AVERAGE(OFFSET($H$3,0,0,'Données projet'!$E$17+1,1))</f>
        <v>#N/A</v>
      </c>
      <c r="GF116" s="60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7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0" t="e">
        <f t="shared" si="83"/>
        <v>#N/A</v>
      </c>
      <c r="GZ116" s="60" t="e">
        <f ca="1">AVERAGE(OFFSET($GY$3,0,0,'Données projet'!$E$18+1,1))-AVERAGE(OFFSET($H$3,0,0,'Données projet'!$E$18+1,1))</f>
        <v>#N/A</v>
      </c>
      <c r="HA116" s="60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5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68">
        <f t="shared" si="56"/>
        <v>256.66666666666669</v>
      </c>
      <c r="I117" s="7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0" t="e">
        <f t="shared" si="55"/>
        <v>#NUM!</v>
      </c>
      <c r="S117" s="60">
        <f ca="1">AVERAGE(OFFSET($R$3,0,0,'Données projet'!$E$9+1,1))-AVERAGE(OFFSET($H$3,0,0,'Données projet'!$E$9+1,1))</f>
        <v>64.775385872852041</v>
      </c>
      <c r="T117" s="60">
        <f t="shared" si="88"/>
        <v>201.69061202990468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6.0884736770337362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1.3736748998027313E-14</v>
      </c>
      <c r="AC117" s="24">
        <f t="shared" si="57"/>
        <v>6.0884736770337495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284.7311999999996</v>
      </c>
      <c r="AK117" s="14">
        <f t="shared" si="89"/>
        <v>67.965870320050882</v>
      </c>
      <c r="AL117" s="22">
        <f t="shared" si="58"/>
        <v>614.28073080742126</v>
      </c>
      <c r="AM117" s="60">
        <f t="shared" si="59"/>
        <v>907.61406414075464</v>
      </c>
      <c r="AN117" s="60">
        <f ca="1">AVERAGE(OFFSET($AM$3,0,0,'Données projet'!$E$10+1,1))-AVERAGE(OFFSET($H$3,0,0,'Données projet'!$E$10+1,1))</f>
        <v>475.47920969424894</v>
      </c>
      <c r="AO117" s="60">
        <f t="shared" si="90"/>
        <v>271.73544012419364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7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6.7984728957526396E-14</v>
      </c>
      <c r="BF117" s="14">
        <f t="shared" si="91"/>
        <v>1.0682447123141398E-12</v>
      </c>
      <c r="BG117" s="22">
        <f t="shared" si="61"/>
        <v>1.978932943548152E-12</v>
      </c>
      <c r="BH117" s="60">
        <f t="shared" si="62"/>
        <v>293.3333333333353</v>
      </c>
      <c r="BI117" s="60">
        <f ca="1">AVERAGE(OFFSET($BH$3,0,0,'Données projet'!$E$11+1,1))-AVERAGE(OFFSET($H$3,0,0,'Données projet'!$E$11+1,1))</f>
        <v>260.02504691866199</v>
      </c>
      <c r="BJ117" s="60">
        <f t="shared" si="92"/>
        <v>270.11268336406368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1.8962190911953662</v>
      </c>
      <c r="BQ117" s="23">
        <f>EXP(-LN(2)/25)*BQ116+(1-EXP(-LN(2)/25))/(LN(2)/25)*Calculateur!BL117*Calculateur!BN117*VLOOKUP('Données projet'!$B$11,Paramètres!$A$1:$I$89,3,0)*0.475*44/12</f>
        <v>1.6007972758133138</v>
      </c>
      <c r="BR117" s="23">
        <f>EXP(-LN(2)/2)*BR116+(1-EXP(-LN(2)/2))/(LN(2)/2)*BL117*BO117*VLOOKUP('Données projet'!$B$11,Paramètres!$A$1:$I$89,3,0)*0.475*44/12</f>
        <v>1.4415402224412546E-12</v>
      </c>
      <c r="BS117" s="24">
        <f t="shared" si="63"/>
        <v>3.4970163670101213</v>
      </c>
      <c r="BT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5.1159076974727213E-13</v>
      </c>
      <c r="BZ117" s="14">
        <f>BY117*VLOOKUP('Données projet'!$B$12,Paramètres!$A$1:$I$89,3,0)*VLOOKUP('Données projet'!$B$12,Paramètres!$A$1:$I$89,5,0)</f>
        <v>2.3942448024172334E-13</v>
      </c>
      <c r="CA117" s="14">
        <f t="shared" si="93"/>
        <v>3.2492669905861755E-12</v>
      </c>
      <c r="CB117" s="22">
        <f t="shared" si="64"/>
        <v>6.0761376450252565E-12</v>
      </c>
      <c r="CC117" s="60">
        <f t="shared" si="65"/>
        <v>293.3333333333394</v>
      </c>
      <c r="CD117" s="60">
        <f ca="1">AVERAGE(OFFSET($CC$3,0,0,'Données projet'!$E$12+1,1))-AVERAGE(OFFSET($H$3,0,0,'Données projet'!$E$12+1,1))</f>
        <v>246.72166704460847</v>
      </c>
      <c r="CE117" s="60">
        <f t="shared" si="94"/>
        <v>145.54897745089966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3.7</v>
      </c>
      <c r="CT117" s="13">
        <f>IF('Données projet'!$A$140&gt;35,CT116+CS117-DB116,IF(A117&lt;'Données projet'!$A$140,$CQ$205^A117,IF(A117='Données projet'!$A$140,'Données projet'!$B$140,CT116+CS117-DB116)))</f>
        <v>280.79999999999956</v>
      </c>
      <c r="CU117" s="18">
        <f>CT117*VLOOKUP('Données projet'!$B$13,Paramètres!$A$1:$I$89,3,0)*VLOOKUP('Données projet'!$B$13,Paramètres!$A$1:$I$89,5,0)</f>
        <v>254.06783999999956</v>
      </c>
      <c r="CV117" s="14">
        <f t="shared" si="95"/>
        <v>61.456187622750669</v>
      </c>
      <c r="CW117" s="22">
        <f t="shared" si="67"/>
        <v>549.53768144295657</v>
      </c>
      <c r="CX117" s="60">
        <f t="shared" si="68"/>
        <v>842.87101477628994</v>
      </c>
      <c r="CY117" s="60">
        <f ca="1">AVERAGE(OFFSET($CX$3,0,0,'Données projet'!$E$13+1,1))-AVERAGE(OFFSET($H$3,0,0,'Données projet'!$E$13+1,1))</f>
        <v>428.8489304403459</v>
      </c>
      <c r="CZ117" s="60">
        <f t="shared" si="96"/>
        <v>247.01165577562966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2.8846153846153868</v>
      </c>
      <c r="DO117" s="13">
        <f>IF('Données projet'!$A$166&gt;35,DO116+DN117-DW116,IF(A117&lt;'Données projet'!$A$166,$DL$205^A117,IF(A117='Données projet'!$A$166,'Données projet'!$B$166,DO116+DN117-DW116)))</f>
        <v>313.461538461538</v>
      </c>
      <c r="DP117" s="18">
        <f>DO117*VLOOKUP('Données projet'!$B$14,Paramètres!$A$1:$I$89,3,0)*VLOOKUP('Données projet'!$B$14,Paramètres!$A$1:$I$89,5,0)</f>
        <v>327.62999999999954</v>
      </c>
      <c r="DQ117" s="14">
        <f t="shared" si="97"/>
        <v>76.938739773947404</v>
      </c>
      <c r="DR117" s="22">
        <f t="shared" si="70"/>
        <v>704.62388843962435</v>
      </c>
      <c r="DS117" s="60">
        <f t="shared" si="71"/>
        <v>997.95722177295761</v>
      </c>
      <c r="DT117" s="60">
        <f ca="1">AVERAGE(OFFSET($DS$3,0,0,'Données projet'!$E$14+1,1))-AVERAGE(OFFSET($H$3,0,0,'Données projet'!$E$14+1,1))</f>
        <v>493.70175665335978</v>
      </c>
      <c r="DU117" s="60">
        <f t="shared" si="98"/>
        <v>325.12357781685949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-1.9895196601282805E-13</v>
      </c>
      <c r="EK117" s="18">
        <f>EJ117*VLOOKUP('Données projet'!$B$15,Paramètres!$A$1:$I$89,3,0)*VLOOKUP('Données projet'!$B$15,Paramètres!$A$1:$I$89,5,0)</f>
        <v>-1.6138983482960614E-13</v>
      </c>
      <c r="EL117" s="14" t="e">
        <f t="shared" si="99"/>
        <v>#NUM!</v>
      </c>
      <c r="EM117" s="22" t="e">
        <f t="shared" si="73"/>
        <v>#NUM!</v>
      </c>
      <c r="EN117" s="60" t="e">
        <f t="shared" si="74"/>
        <v>#NUM!</v>
      </c>
      <c r="EO117" s="60">
        <f ca="1">AVERAGE(OFFSET($EN$3,0,0,'Données projet'!$E$15+1,1))-AVERAGE(OFFSET($H$3,0,0,'Données projet'!$E$15+1,1))</f>
        <v>236.22643401787644</v>
      </c>
      <c r="EP117" s="60">
        <f t="shared" si="100"/>
        <v>188.80444043778022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3</v>
      </c>
      <c r="FE117" s="13">
        <f>IF('Données projet'!$A$218&gt;35,FE116+FD117-FM116,IF(A117&lt;'Données projet'!$A$218,$FB$205^A117,IF(A117='Données projet'!$A$218,'Données projet'!$B$218,FE116+FD117-FM116)))</f>
        <v>193.00000000000006</v>
      </c>
      <c r="FF117" s="18">
        <f>FE117*VLOOKUP('Données projet'!$B$16,Paramètres!$A$1:$I$89,3,0)*VLOOKUP('Données projet'!$B$16,Paramètres!$A$1:$I$89,5,0)</f>
        <v>186.66960000000006</v>
      </c>
      <c r="FG117" s="14">
        <f t="shared" si="101"/>
        <v>46.802892607668348</v>
      </c>
      <c r="FH117" s="22">
        <f t="shared" si="76"/>
        <v>406.63125795835577</v>
      </c>
      <c r="FI117" s="60">
        <f t="shared" si="77"/>
        <v>699.96459129168909</v>
      </c>
      <c r="FJ117" s="60">
        <f ca="1">AVERAGE(OFFSET($FI$3,0,0,'Données projet'!$E$16+1,1))-AVERAGE(OFFSET($H$3,0,0,'Données projet'!$E$16+1,1))</f>
        <v>255.59755832175625</v>
      </c>
      <c r="FK117" s="60">
        <f t="shared" si="102"/>
        <v>154.0840647586964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0" t="e">
        <f t="shared" si="80"/>
        <v>#N/A</v>
      </c>
      <c r="GE117" s="60" t="e">
        <f ca="1">AVERAGE(OFFSET($GD$3,0,0,'Données projet'!$E$17+1,1))-AVERAGE(OFFSET($H$3,0,0,'Données projet'!$E$17+1,1))</f>
        <v>#N/A</v>
      </c>
      <c r="GF117" s="60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7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0" t="e">
        <f t="shared" si="83"/>
        <v>#N/A</v>
      </c>
      <c r="GZ117" s="60" t="e">
        <f ca="1">AVERAGE(OFFSET($GY$3,0,0,'Données projet'!$E$18+1,1))-AVERAGE(OFFSET($H$3,0,0,'Données projet'!$E$18+1,1))</f>
        <v>#N/A</v>
      </c>
      <c r="HA117" s="60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5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68">
        <f t="shared" si="56"/>
        <v>256.66666666666669</v>
      </c>
      <c r="I118" s="7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0" t="e">
        <f t="shared" si="55"/>
        <v>#NUM!</v>
      </c>
      <c r="S118" s="60">
        <f ca="1">AVERAGE(OFFSET($R$3,0,0,'Données projet'!$E$9+1,1))-AVERAGE(OFFSET($H$3,0,0,'Données projet'!$E$9+1,1))</f>
        <v>64.775385872852041</v>
      </c>
      <c r="T118" s="60">
        <f t="shared" si="88"/>
        <v>201.69061202990468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5.9690824218293601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9.713348367962625E-15</v>
      </c>
      <c r="AC118" s="24">
        <f t="shared" si="57"/>
        <v>5.9690824218293699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288.48299999999955</v>
      </c>
      <c r="AK118" s="14">
        <f t="shared" si="89"/>
        <v>68.756584730508635</v>
      </c>
      <c r="AL118" s="22">
        <f t="shared" si="58"/>
        <v>622.19227673896842</v>
      </c>
      <c r="AM118" s="60">
        <f t="shared" si="59"/>
        <v>915.52561007230179</v>
      </c>
      <c r="AN118" s="60">
        <f ca="1">AVERAGE(OFFSET($AM$3,0,0,'Données projet'!$E$10+1,1))-AVERAGE(OFFSET($H$3,0,0,'Données projet'!$E$10+1,1))</f>
        <v>475.47920969424894</v>
      </c>
      <c r="AO118" s="60">
        <f t="shared" si="90"/>
        <v>271.73544012419364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7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6.7984728957526396E-14</v>
      </c>
      <c r="BF118" s="14">
        <f t="shared" si="91"/>
        <v>1.0682447123141398E-12</v>
      </c>
      <c r="BG118" s="22">
        <f t="shared" si="61"/>
        <v>1.978932943548152E-12</v>
      </c>
      <c r="BH118" s="60">
        <f t="shared" si="62"/>
        <v>293.3333333333353</v>
      </c>
      <c r="BI118" s="60">
        <f ca="1">AVERAGE(OFFSET($BH$3,0,0,'Données projet'!$E$11+1,1))-AVERAGE(OFFSET($H$3,0,0,'Données projet'!$E$11+1,1))</f>
        <v>260.02504691866199</v>
      </c>
      <c r="BJ118" s="60">
        <f t="shared" si="92"/>
        <v>270.11268336406368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1.8590353913964681</v>
      </c>
      <c r="BQ118" s="23">
        <f>EXP(-LN(2)/25)*BQ117+(1-EXP(-LN(2)/25))/(LN(2)/25)*Calculateur!BL118*Calculateur!BN118*VLOOKUP('Données projet'!$B$11,Paramètres!$A$1:$I$89,3,0)*0.475*44/12</f>
        <v>1.5570233901239285</v>
      </c>
      <c r="BR118" s="23">
        <f>EXP(-LN(2)/2)*BR117+(1-EXP(-LN(2)/2))/(LN(2)/2)*BL118*BO118*VLOOKUP('Données projet'!$B$11,Paramètres!$A$1:$I$89,3,0)*0.475*44/12</f>
        <v>1.0193228666413752E-12</v>
      </c>
      <c r="BS118" s="24">
        <f t="shared" si="63"/>
        <v>3.4160587815214156</v>
      </c>
      <c r="BT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5.1159076974727213E-13</v>
      </c>
      <c r="BZ118" s="14">
        <f>BY118*VLOOKUP('Données projet'!$B$12,Paramètres!$A$1:$I$89,3,0)*VLOOKUP('Données projet'!$B$12,Paramètres!$A$1:$I$89,5,0)</f>
        <v>2.3942448024172334E-13</v>
      </c>
      <c r="CA118" s="14">
        <f t="shared" si="93"/>
        <v>3.2492669905861755E-12</v>
      </c>
      <c r="CB118" s="22">
        <f t="shared" si="64"/>
        <v>6.0761376450252565E-12</v>
      </c>
      <c r="CC118" s="60">
        <f t="shared" si="65"/>
        <v>293.3333333333394</v>
      </c>
      <c r="CD118" s="60">
        <f ca="1">AVERAGE(OFFSET($CC$3,0,0,'Données projet'!$E$12+1,1))-AVERAGE(OFFSET($H$3,0,0,'Données projet'!$E$12+1,1))</f>
        <v>246.72166704460847</v>
      </c>
      <c r="CE118" s="60">
        <f t="shared" si="94"/>
        <v>145.54897745089966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3.7</v>
      </c>
      <c r="CT118" s="13">
        <f>IF('Données projet'!$A$140&gt;35,CT117+CS118-DB117,IF(A118&lt;'Données projet'!$A$140,$CQ$205^A118,IF(A118='Données projet'!$A$140,'Données projet'!$B$140,CT117+CS118-DB117)))</f>
        <v>284.49999999999955</v>
      </c>
      <c r="CU118" s="18">
        <f>CT118*VLOOKUP('Données projet'!$B$13,Paramètres!$A$1:$I$89,3,0)*VLOOKUP('Données projet'!$B$13,Paramètres!$A$1:$I$89,5,0)</f>
        <v>257.41559999999959</v>
      </c>
      <c r="CV118" s="14">
        <f t="shared" si="95"/>
        <v>62.171168434977062</v>
      </c>
      <c r="CW118" s="22">
        <f t="shared" si="67"/>
        <v>556.61362169091774</v>
      </c>
      <c r="CX118" s="60">
        <f t="shared" si="68"/>
        <v>849.94695502425111</v>
      </c>
      <c r="CY118" s="60">
        <f ca="1">AVERAGE(OFFSET($CX$3,0,0,'Données projet'!$E$13+1,1))-AVERAGE(OFFSET($H$3,0,0,'Données projet'!$E$13+1,1))</f>
        <v>428.8489304403459</v>
      </c>
      <c r="CZ118" s="60">
        <f t="shared" si="96"/>
        <v>247.01165577562966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2.8846153846153868</v>
      </c>
      <c r="DO118" s="13">
        <f>IF('Données projet'!$A$166&gt;35,DO117+DN118-DW117,IF(A118&lt;'Données projet'!$A$166,$DL$205^A118,IF(A118='Données projet'!$A$166,'Données projet'!$B$166,DO117+DN118-DW117)))</f>
        <v>316.34615384615336</v>
      </c>
      <c r="DP118" s="18">
        <f>DO118*VLOOKUP('Données projet'!$B$14,Paramètres!$A$1:$I$89,3,0)*VLOOKUP('Données projet'!$B$14,Paramètres!$A$1:$I$89,5,0)</f>
        <v>330.64499999999953</v>
      </c>
      <c r="DQ118" s="14">
        <f t="shared" si="97"/>
        <v>77.564016927186358</v>
      </c>
      <c r="DR118" s="22">
        <f t="shared" si="70"/>
        <v>710.96403781484867</v>
      </c>
      <c r="DS118" s="60">
        <f t="shared" si="71"/>
        <v>1004.297371148182</v>
      </c>
      <c r="DT118" s="60">
        <f ca="1">AVERAGE(OFFSET($DS$3,0,0,'Données projet'!$E$14+1,1))-AVERAGE(OFFSET($H$3,0,0,'Données projet'!$E$14+1,1))</f>
        <v>493.70175665335978</v>
      </c>
      <c r="DU118" s="60">
        <f t="shared" si="98"/>
        <v>325.12357781685949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-1.9895196601282805E-13</v>
      </c>
      <c r="EK118" s="18">
        <f>EJ118*VLOOKUP('Données projet'!$B$15,Paramètres!$A$1:$I$89,3,0)*VLOOKUP('Données projet'!$B$15,Paramètres!$A$1:$I$89,5,0)</f>
        <v>-1.6138983482960614E-13</v>
      </c>
      <c r="EL118" s="14" t="e">
        <f t="shared" si="99"/>
        <v>#NUM!</v>
      </c>
      <c r="EM118" s="22" t="e">
        <f t="shared" si="73"/>
        <v>#NUM!</v>
      </c>
      <c r="EN118" s="60" t="e">
        <f t="shared" si="74"/>
        <v>#NUM!</v>
      </c>
      <c r="EO118" s="60">
        <f ca="1">AVERAGE(OFFSET($EN$3,0,0,'Données projet'!$E$15+1,1))-AVERAGE(OFFSET($H$3,0,0,'Données projet'!$E$15+1,1))</f>
        <v>236.22643401787644</v>
      </c>
      <c r="EP118" s="60">
        <f t="shared" si="100"/>
        <v>188.80444043778022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3</v>
      </c>
      <c r="FE118" s="13">
        <f>IF('Données projet'!$A$218&gt;35,FE117+FD118-FM117,IF(A118&lt;'Données projet'!$A$218,$FB$205^A118,IF(A118='Données projet'!$A$218,'Données projet'!$B$218,FE117+FD118-FM117)))</f>
        <v>196.00000000000006</v>
      </c>
      <c r="FF118" s="18">
        <f>FE118*VLOOKUP('Données projet'!$B$16,Paramètres!$A$1:$I$89,3,0)*VLOOKUP('Données projet'!$B$16,Paramètres!$A$1:$I$89,5,0)</f>
        <v>189.57120000000006</v>
      </c>
      <c r="FG118" s="14">
        <f t="shared" si="101"/>
        <v>47.445138796932483</v>
      </c>
      <c r="FH118" s="22">
        <f t="shared" si="76"/>
        <v>412.80345673799087</v>
      </c>
      <c r="FI118" s="60">
        <f t="shared" si="77"/>
        <v>706.13679007132419</v>
      </c>
      <c r="FJ118" s="60">
        <f ca="1">AVERAGE(OFFSET($FI$3,0,0,'Données projet'!$E$16+1,1))-AVERAGE(OFFSET($H$3,0,0,'Données projet'!$E$16+1,1))</f>
        <v>255.59755832175625</v>
      </c>
      <c r="FK118" s="60">
        <f t="shared" si="102"/>
        <v>154.0840647586964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0" t="e">
        <f t="shared" si="80"/>
        <v>#N/A</v>
      </c>
      <c r="GE118" s="60" t="e">
        <f ca="1">AVERAGE(OFFSET($GD$3,0,0,'Données projet'!$E$17+1,1))-AVERAGE(OFFSET($H$3,0,0,'Données projet'!$E$17+1,1))</f>
        <v>#N/A</v>
      </c>
      <c r="GF118" s="60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7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0" t="e">
        <f t="shared" si="83"/>
        <v>#N/A</v>
      </c>
      <c r="GZ118" s="60" t="e">
        <f ca="1">AVERAGE(OFFSET($GY$3,0,0,'Données projet'!$E$18+1,1))-AVERAGE(OFFSET($H$3,0,0,'Données projet'!$E$18+1,1))</f>
        <v>#N/A</v>
      </c>
      <c r="HA118" s="60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5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68">
        <f t="shared" si="56"/>
        <v>256.66666666666669</v>
      </c>
      <c r="I119" s="7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0" t="e">
        <f t="shared" si="55"/>
        <v>#NUM!</v>
      </c>
      <c r="S119" s="60">
        <f ca="1">AVERAGE(OFFSET($R$3,0,0,'Données projet'!$E$9+1,1))-AVERAGE(OFFSET($H$3,0,0,'Données projet'!$E$9+1,1))</f>
        <v>64.775385872852041</v>
      </c>
      <c r="T119" s="60">
        <f t="shared" si="88"/>
        <v>201.69061202990468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5.8520323563180661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6.8683744990136564E-15</v>
      </c>
      <c r="AC119" s="24">
        <f t="shared" si="57"/>
        <v>5.8520323563180732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292.23479999999955</v>
      </c>
      <c r="AK119" s="14">
        <f t="shared" si="89"/>
        <v>69.546103016553644</v>
      </c>
      <c r="AL119" s="22">
        <f t="shared" si="58"/>
        <v>630.10173942049676</v>
      </c>
      <c r="AM119" s="60">
        <f t="shared" si="59"/>
        <v>923.43507275383013</v>
      </c>
      <c r="AN119" s="60">
        <f ca="1">AVERAGE(OFFSET($AM$3,0,0,'Données projet'!$E$10+1,1))-AVERAGE(OFFSET($H$3,0,0,'Données projet'!$E$10+1,1))</f>
        <v>475.47920969424894</v>
      </c>
      <c r="AO119" s="60">
        <f t="shared" si="90"/>
        <v>271.73544012419364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7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6.7984728957526396E-14</v>
      </c>
      <c r="BF119" s="14">
        <f t="shared" si="91"/>
        <v>1.0682447123141398E-12</v>
      </c>
      <c r="BG119" s="22">
        <f t="shared" si="61"/>
        <v>1.978932943548152E-12</v>
      </c>
      <c r="BH119" s="60">
        <f t="shared" si="62"/>
        <v>293.3333333333353</v>
      </c>
      <c r="BI119" s="60">
        <f ca="1">AVERAGE(OFFSET($BH$3,0,0,'Données projet'!$E$11+1,1))-AVERAGE(OFFSET($H$3,0,0,'Données projet'!$E$11+1,1))</f>
        <v>260.02504691866199</v>
      </c>
      <c r="BJ119" s="60">
        <f t="shared" si="92"/>
        <v>270.11268336406368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1.8225808412708089</v>
      </c>
      <c r="BQ119" s="23">
        <f>EXP(-LN(2)/25)*BQ118+(1-EXP(-LN(2)/25))/(LN(2)/25)*Calculateur!BL119*Calculateur!BN119*VLOOKUP('Données projet'!$B$11,Paramètres!$A$1:$I$89,3,0)*0.475*44/12</f>
        <v>1.5144465036406882</v>
      </c>
      <c r="BR119" s="23">
        <f>EXP(-LN(2)/2)*BR118+(1-EXP(-LN(2)/2))/(LN(2)/2)*BL119*BO119*VLOOKUP('Données projet'!$B$11,Paramètres!$A$1:$I$89,3,0)*0.475*44/12</f>
        <v>7.2077011122062728E-13</v>
      </c>
      <c r="BS119" s="24">
        <f t="shared" si="63"/>
        <v>3.3370273449122179</v>
      </c>
      <c r="BT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5.1159076974727213E-13</v>
      </c>
      <c r="BZ119" s="14">
        <f>BY119*VLOOKUP('Données projet'!$B$12,Paramètres!$A$1:$I$89,3,0)*VLOOKUP('Données projet'!$B$12,Paramètres!$A$1:$I$89,5,0)</f>
        <v>2.3942448024172334E-13</v>
      </c>
      <c r="CA119" s="14">
        <f t="shared" si="93"/>
        <v>3.2492669905861755E-12</v>
      </c>
      <c r="CB119" s="22">
        <f t="shared" si="64"/>
        <v>6.0761376450252565E-12</v>
      </c>
      <c r="CC119" s="60">
        <f t="shared" si="65"/>
        <v>293.3333333333394</v>
      </c>
      <c r="CD119" s="60">
        <f ca="1">AVERAGE(OFFSET($CC$3,0,0,'Données projet'!$E$12+1,1))-AVERAGE(OFFSET($H$3,0,0,'Données projet'!$E$12+1,1))</f>
        <v>246.72166704460847</v>
      </c>
      <c r="CE119" s="60">
        <f t="shared" si="94"/>
        <v>145.54897745089966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3.7</v>
      </c>
      <c r="CT119" s="13">
        <f>IF('Données projet'!$A$140&gt;35,CT118+CS119-DB118,IF(A119&lt;'Données projet'!$A$140,$CQ$205^A119,IF(A119='Données projet'!$A$140,'Données projet'!$B$140,CT118+CS119-DB118)))</f>
        <v>288.19999999999953</v>
      </c>
      <c r="CU119" s="18">
        <f>CT119*VLOOKUP('Données projet'!$B$13,Paramètres!$A$1:$I$89,3,0)*VLOOKUP('Données projet'!$B$13,Paramètres!$A$1:$I$89,5,0)</f>
        <v>260.76335999999958</v>
      </c>
      <c r="CV119" s="14">
        <f t="shared" si="95"/>
        <v>62.885067686031896</v>
      </c>
      <c r="CW119" s="22">
        <f t="shared" si="67"/>
        <v>563.68767821983818</v>
      </c>
      <c r="CX119" s="60">
        <f t="shared" si="68"/>
        <v>857.02101155317155</v>
      </c>
      <c r="CY119" s="60">
        <f ca="1">AVERAGE(OFFSET($CX$3,0,0,'Données projet'!$E$13+1,1))-AVERAGE(OFFSET($H$3,0,0,'Données projet'!$E$13+1,1))</f>
        <v>428.8489304403459</v>
      </c>
      <c r="CZ119" s="60">
        <f t="shared" si="96"/>
        <v>247.01165577562966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2.8846153846153868</v>
      </c>
      <c r="DO119" s="13">
        <f>IF('Données projet'!$A$166&gt;35,DO118+DN119-DW118,IF(A119&lt;'Données projet'!$A$166,$DL$205^A119,IF(A119='Données projet'!$A$166,'Données projet'!$B$166,DO118+DN119-DW118)))</f>
        <v>319.23076923076871</v>
      </c>
      <c r="DP119" s="18">
        <f>DO119*VLOOKUP('Données projet'!$B$14,Paramètres!$A$1:$I$89,3,0)*VLOOKUP('Données projet'!$B$14,Paramètres!$A$1:$I$89,5,0)</f>
        <v>333.65999999999946</v>
      </c>
      <c r="DQ119" s="14">
        <f t="shared" si="97"/>
        <v>78.188630754756275</v>
      </c>
      <c r="DR119" s="22">
        <f t="shared" si="70"/>
        <v>717.30303189786616</v>
      </c>
      <c r="DS119" s="60">
        <f t="shared" si="71"/>
        <v>1010.6363652311995</v>
      </c>
      <c r="DT119" s="60">
        <f ca="1">AVERAGE(OFFSET($DS$3,0,0,'Données projet'!$E$14+1,1))-AVERAGE(OFFSET($H$3,0,0,'Données projet'!$E$14+1,1))</f>
        <v>493.70175665335978</v>
      </c>
      <c r="DU119" s="60">
        <f t="shared" si="98"/>
        <v>325.12357781685949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-1.9895196601282805E-13</v>
      </c>
      <c r="EK119" s="18">
        <f>EJ119*VLOOKUP('Données projet'!$B$15,Paramètres!$A$1:$I$89,3,0)*VLOOKUP('Données projet'!$B$15,Paramètres!$A$1:$I$89,5,0)</f>
        <v>-1.6138983482960614E-13</v>
      </c>
      <c r="EL119" s="14" t="e">
        <f t="shared" si="99"/>
        <v>#NUM!</v>
      </c>
      <c r="EM119" s="22" t="e">
        <f t="shared" si="73"/>
        <v>#NUM!</v>
      </c>
      <c r="EN119" s="60" t="e">
        <f t="shared" si="74"/>
        <v>#NUM!</v>
      </c>
      <c r="EO119" s="60">
        <f ca="1">AVERAGE(OFFSET($EN$3,0,0,'Données projet'!$E$15+1,1))-AVERAGE(OFFSET($H$3,0,0,'Données projet'!$E$15+1,1))</f>
        <v>236.22643401787644</v>
      </c>
      <c r="EP119" s="60">
        <f t="shared" si="100"/>
        <v>188.80444043778022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3</v>
      </c>
      <c r="FE119" s="13">
        <f>IF('Données projet'!$A$218&gt;35,FE118+FD119-FM118,IF(A119&lt;'Données projet'!$A$218,$FB$205^A119,IF(A119='Données projet'!$A$218,'Données projet'!$B$218,FE118+FD119-FM118)))</f>
        <v>199.00000000000006</v>
      </c>
      <c r="FF119" s="18">
        <f>FE119*VLOOKUP('Données projet'!$B$16,Paramètres!$A$1:$I$89,3,0)*VLOOKUP('Données projet'!$B$16,Paramètres!$A$1:$I$89,5,0)</f>
        <v>192.47280000000006</v>
      </c>
      <c r="FG119" s="14">
        <f t="shared" si="101"/>
        <v>48.086241710923829</v>
      </c>
      <c r="FH119" s="22">
        <f t="shared" si="76"/>
        <v>418.97366431319239</v>
      </c>
      <c r="FI119" s="60">
        <f t="shared" si="77"/>
        <v>712.3069976465257</v>
      </c>
      <c r="FJ119" s="60">
        <f ca="1">AVERAGE(OFFSET($FI$3,0,0,'Données projet'!$E$16+1,1))-AVERAGE(OFFSET($H$3,0,0,'Données projet'!$E$16+1,1))</f>
        <v>255.59755832175625</v>
      </c>
      <c r="FK119" s="60">
        <f t="shared" si="102"/>
        <v>154.0840647586964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0" t="e">
        <f t="shared" si="80"/>
        <v>#N/A</v>
      </c>
      <c r="GE119" s="60" t="e">
        <f ca="1">AVERAGE(OFFSET($GD$3,0,0,'Données projet'!$E$17+1,1))-AVERAGE(OFFSET($H$3,0,0,'Données projet'!$E$17+1,1))</f>
        <v>#N/A</v>
      </c>
      <c r="GF119" s="60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7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0" t="e">
        <f t="shared" si="83"/>
        <v>#N/A</v>
      </c>
      <c r="GZ119" s="60" t="e">
        <f ca="1">AVERAGE(OFFSET($GY$3,0,0,'Données projet'!$E$18+1,1))-AVERAGE(OFFSET($H$3,0,0,'Données projet'!$E$18+1,1))</f>
        <v>#N/A</v>
      </c>
      <c r="HA119" s="60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5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68">
        <f t="shared" si="56"/>
        <v>256.66666666666669</v>
      </c>
      <c r="I120" s="7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0" t="e">
        <f t="shared" si="55"/>
        <v>#NUM!</v>
      </c>
      <c r="S120" s="60">
        <f ca="1">AVERAGE(OFFSET($R$3,0,0,'Données projet'!$E$9+1,1))-AVERAGE(OFFSET($H$3,0,0,'Données projet'!$E$9+1,1))</f>
        <v>64.775385872852041</v>
      </c>
      <c r="T120" s="60">
        <f t="shared" si="88"/>
        <v>201.69061202990468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5.737277571197958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4.8566741839813125E-15</v>
      </c>
      <c r="AC120" s="24">
        <f t="shared" si="57"/>
        <v>5.7372775711979624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295.98659999999956</v>
      </c>
      <c r="AK120" s="14">
        <f t="shared" si="89"/>
        <v>70.334442310004661</v>
      </c>
      <c r="AL120" s="22">
        <f t="shared" si="58"/>
        <v>638.00914868992402</v>
      </c>
      <c r="AM120" s="60">
        <f t="shared" si="59"/>
        <v>931.34248202325739</v>
      </c>
      <c r="AN120" s="60">
        <f ca="1">AVERAGE(OFFSET($AM$3,0,0,'Données projet'!$E$10+1,1))-AVERAGE(OFFSET($H$3,0,0,'Données projet'!$E$10+1,1))</f>
        <v>475.47920969424894</v>
      </c>
      <c r="AO120" s="60">
        <f t="shared" si="90"/>
        <v>271.73544012419364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7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6.7984728957526396E-14</v>
      </c>
      <c r="BF120" s="14">
        <f t="shared" si="91"/>
        <v>1.0682447123141398E-12</v>
      </c>
      <c r="BG120" s="22">
        <f t="shared" si="61"/>
        <v>1.978932943548152E-12</v>
      </c>
      <c r="BH120" s="60">
        <f t="shared" si="62"/>
        <v>293.3333333333353</v>
      </c>
      <c r="BI120" s="60">
        <f ca="1">AVERAGE(OFFSET($BH$3,0,0,'Données projet'!$E$11+1,1))-AVERAGE(OFFSET($H$3,0,0,'Données projet'!$E$11+1,1))</f>
        <v>260.02504691866199</v>
      </c>
      <c r="BJ120" s="60">
        <f t="shared" si="92"/>
        <v>270.11268336406368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1.7868411426380337</v>
      </c>
      <c r="BQ120" s="23">
        <f>EXP(-LN(2)/25)*BQ119+(1-EXP(-LN(2)/25))/(LN(2)/25)*Calculateur!BL120*Calculateur!BN120*VLOOKUP('Données projet'!$B$11,Paramètres!$A$1:$I$89,3,0)*0.475*44/12</f>
        <v>1.4730338843573534</v>
      </c>
      <c r="BR120" s="23">
        <f>EXP(-LN(2)/2)*BR119+(1-EXP(-LN(2)/2))/(LN(2)/2)*BL120*BO120*VLOOKUP('Données projet'!$B$11,Paramètres!$A$1:$I$89,3,0)*0.475*44/12</f>
        <v>5.0966143332068762E-13</v>
      </c>
      <c r="BS120" s="24">
        <f t="shared" si="63"/>
        <v>3.2598750269958972</v>
      </c>
      <c r="BT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5.1159076974727213E-13</v>
      </c>
      <c r="BZ120" s="14">
        <f>BY120*VLOOKUP('Données projet'!$B$12,Paramètres!$A$1:$I$89,3,0)*VLOOKUP('Données projet'!$B$12,Paramètres!$A$1:$I$89,5,0)</f>
        <v>2.3942448024172334E-13</v>
      </c>
      <c r="CA120" s="14">
        <f t="shared" si="93"/>
        <v>3.2492669905861755E-12</v>
      </c>
      <c r="CB120" s="22">
        <f t="shared" si="64"/>
        <v>6.0761376450252565E-12</v>
      </c>
      <c r="CC120" s="60">
        <f t="shared" si="65"/>
        <v>293.3333333333394</v>
      </c>
      <c r="CD120" s="60">
        <f ca="1">AVERAGE(OFFSET($CC$3,0,0,'Données projet'!$E$12+1,1))-AVERAGE(OFFSET($H$3,0,0,'Données projet'!$E$12+1,1))</f>
        <v>246.72166704460847</v>
      </c>
      <c r="CE120" s="60">
        <f t="shared" si="94"/>
        <v>145.54897745089966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3.7</v>
      </c>
      <c r="CT120" s="13">
        <f>IF('Données projet'!$A$140&gt;35,CT119+CS120-DB119,IF(A120&lt;'Données projet'!$A$140,$CQ$205^A120,IF(A120='Données projet'!$A$140,'Données projet'!$B$140,CT119+CS120-DB119)))</f>
        <v>291.89999999999952</v>
      </c>
      <c r="CU120" s="18">
        <f>CT120*VLOOKUP('Données projet'!$B$13,Paramètres!$A$1:$I$89,3,0)*VLOOKUP('Données projet'!$B$13,Paramètres!$A$1:$I$89,5,0)</f>
        <v>264.11111999999957</v>
      </c>
      <c r="CV120" s="14">
        <f t="shared" si="95"/>
        <v>63.597900866870546</v>
      </c>
      <c r="CW120" s="22">
        <f t="shared" si="67"/>
        <v>570.75987800979885</v>
      </c>
      <c r="CX120" s="60">
        <f t="shared" si="68"/>
        <v>864.09321134313223</v>
      </c>
      <c r="CY120" s="60">
        <f ca="1">AVERAGE(OFFSET($CX$3,0,0,'Données projet'!$E$13+1,1))-AVERAGE(OFFSET($H$3,0,0,'Données projet'!$E$13+1,1))</f>
        <v>428.8489304403459</v>
      </c>
      <c r="CZ120" s="60">
        <f t="shared" si="96"/>
        <v>247.01165577562966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2.8846153846153868</v>
      </c>
      <c r="DO120" s="13">
        <f>IF('Données projet'!$A$166&gt;35,DO119+DN120-DW119,IF(A120&lt;'Données projet'!$A$166,$DL$205^A120,IF(A120='Données projet'!$A$166,'Données projet'!$B$166,DO119+DN120-DW119)))</f>
        <v>322.11538461538407</v>
      </c>
      <c r="DP120" s="18">
        <f>DO120*VLOOKUP('Données projet'!$B$14,Paramètres!$A$1:$I$89,3,0)*VLOOKUP('Données projet'!$B$14,Paramètres!$A$1:$I$89,5,0)</f>
        <v>336.67499999999944</v>
      </c>
      <c r="DQ120" s="14">
        <f t="shared" si="97"/>
        <v>78.8125879449194</v>
      </c>
      <c r="DR120" s="22">
        <f t="shared" si="70"/>
        <v>723.64088233740028</v>
      </c>
      <c r="DS120" s="60">
        <f t="shared" si="71"/>
        <v>1016.9742156707337</v>
      </c>
      <c r="DT120" s="60">
        <f ca="1">AVERAGE(OFFSET($DS$3,0,0,'Données projet'!$E$14+1,1))-AVERAGE(OFFSET($H$3,0,0,'Données projet'!$E$14+1,1))</f>
        <v>493.70175665335978</v>
      </c>
      <c r="DU120" s="60">
        <f t="shared" si="98"/>
        <v>325.12357781685949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-1.9895196601282805E-13</v>
      </c>
      <c r="EK120" s="18">
        <f>EJ120*VLOOKUP('Données projet'!$B$15,Paramètres!$A$1:$I$89,3,0)*VLOOKUP('Données projet'!$B$15,Paramètres!$A$1:$I$89,5,0)</f>
        <v>-1.6138983482960614E-13</v>
      </c>
      <c r="EL120" s="14" t="e">
        <f t="shared" si="99"/>
        <v>#NUM!</v>
      </c>
      <c r="EM120" s="22" t="e">
        <f t="shared" si="73"/>
        <v>#NUM!</v>
      </c>
      <c r="EN120" s="60" t="e">
        <f t="shared" si="74"/>
        <v>#NUM!</v>
      </c>
      <c r="EO120" s="60">
        <f ca="1">AVERAGE(OFFSET($EN$3,0,0,'Données projet'!$E$15+1,1))-AVERAGE(OFFSET($H$3,0,0,'Données projet'!$E$15+1,1))</f>
        <v>236.22643401787644</v>
      </c>
      <c r="EP120" s="60">
        <f t="shared" si="100"/>
        <v>188.80444043778022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3</v>
      </c>
      <c r="FE120" s="13">
        <f>IF('Données projet'!$A$218&gt;35,FE119+FD120-FM119,IF(A120&lt;'Données projet'!$A$218,$FB$205^A120,IF(A120='Données projet'!$A$218,'Données projet'!$B$218,FE119+FD120-FM119)))</f>
        <v>202.00000000000006</v>
      </c>
      <c r="FF120" s="18">
        <f>FE120*VLOOKUP('Données projet'!$B$16,Paramètres!$A$1:$I$89,3,0)*VLOOKUP('Données projet'!$B$16,Paramètres!$A$1:$I$89,5,0)</f>
        <v>195.37440000000007</v>
      </c>
      <c r="FG120" s="14">
        <f t="shared" si="101"/>
        <v>48.726220575731695</v>
      </c>
      <c r="FH120" s="22">
        <f t="shared" si="76"/>
        <v>425.14191416939951</v>
      </c>
      <c r="FI120" s="60">
        <f t="shared" si="77"/>
        <v>718.47524750273283</v>
      </c>
      <c r="FJ120" s="60">
        <f ca="1">AVERAGE(OFFSET($FI$3,0,0,'Données projet'!$E$16+1,1))-AVERAGE(OFFSET($H$3,0,0,'Données projet'!$E$16+1,1))</f>
        <v>255.59755832175625</v>
      </c>
      <c r="FK120" s="60">
        <f t="shared" si="102"/>
        <v>154.0840647586964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0" t="e">
        <f t="shared" si="80"/>
        <v>#N/A</v>
      </c>
      <c r="GE120" s="60" t="e">
        <f ca="1">AVERAGE(OFFSET($GD$3,0,0,'Données projet'!$E$17+1,1))-AVERAGE(OFFSET($H$3,0,0,'Données projet'!$E$17+1,1))</f>
        <v>#N/A</v>
      </c>
      <c r="GF120" s="60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7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0" t="e">
        <f t="shared" si="83"/>
        <v>#N/A</v>
      </c>
      <c r="GZ120" s="60" t="e">
        <f ca="1">AVERAGE(OFFSET($GY$3,0,0,'Données projet'!$E$18+1,1))-AVERAGE(OFFSET($H$3,0,0,'Données projet'!$E$18+1,1))</f>
        <v>#N/A</v>
      </c>
      <c r="HA120" s="60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5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68">
        <f t="shared" si="56"/>
        <v>256.66666666666669</v>
      </c>
      <c r="I121" s="7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0" t="e">
        <f t="shared" si="55"/>
        <v>#NUM!</v>
      </c>
      <c r="S121" s="60">
        <f ca="1">AVERAGE(OFFSET($R$3,0,0,'Données projet'!$E$9+1,1))-AVERAGE(OFFSET($H$3,0,0,'Données projet'!$E$9+1,1))</f>
        <v>64.775385872852041</v>
      </c>
      <c r="T121" s="60">
        <f t="shared" si="88"/>
        <v>201.69061202990468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5.6247730574205477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3.4341872495068282E-15</v>
      </c>
      <c r="AC121" s="24">
        <f t="shared" si="57"/>
        <v>5.6247730574205512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299.73839999999956</v>
      </c>
      <c r="AK121" s="14">
        <f t="shared" si="89"/>
        <v>71.121619283394352</v>
      </c>
      <c r="AL121" s="22">
        <f t="shared" si="58"/>
        <v>645.91453358524438</v>
      </c>
      <c r="AM121" s="60">
        <f t="shared" si="59"/>
        <v>939.24786691857776</v>
      </c>
      <c r="AN121" s="60">
        <f ca="1">AVERAGE(OFFSET($AM$3,0,0,'Données projet'!$E$10+1,1))-AVERAGE(OFFSET($H$3,0,0,'Données projet'!$E$10+1,1))</f>
        <v>475.47920969424894</v>
      </c>
      <c r="AO121" s="60">
        <f t="shared" si="90"/>
        <v>271.73544012419364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7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6.7984728957526396E-14</v>
      </c>
      <c r="BF121" s="14">
        <f t="shared" si="91"/>
        <v>1.0682447123141398E-12</v>
      </c>
      <c r="BG121" s="22">
        <f t="shared" si="61"/>
        <v>1.978932943548152E-12</v>
      </c>
      <c r="BH121" s="60">
        <f t="shared" si="62"/>
        <v>293.3333333333353</v>
      </c>
      <c r="BI121" s="60">
        <f ca="1">AVERAGE(OFFSET($BH$3,0,0,'Données projet'!$E$11+1,1))-AVERAGE(OFFSET($H$3,0,0,'Données projet'!$E$11+1,1))</f>
        <v>260.02504691866199</v>
      </c>
      <c r="BJ121" s="60">
        <f t="shared" si="92"/>
        <v>270.11268336406368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1.7518022776963835</v>
      </c>
      <c r="BQ121" s="23">
        <f>EXP(-LN(2)/25)*BQ120+(1-EXP(-LN(2)/25))/(LN(2)/25)*Calculateur!BL121*Calculateur!BN121*VLOOKUP('Données projet'!$B$11,Paramètres!$A$1:$I$89,3,0)*0.475*44/12</f>
        <v>1.4327536953261162</v>
      </c>
      <c r="BR121" s="23">
        <f>EXP(-LN(2)/2)*BR120+(1-EXP(-LN(2)/2))/(LN(2)/2)*BL121*BO121*VLOOKUP('Données projet'!$B$11,Paramètres!$A$1:$I$89,3,0)*0.475*44/12</f>
        <v>3.6038505561031364E-13</v>
      </c>
      <c r="BS121" s="24">
        <f t="shared" si="63"/>
        <v>3.1845559730228601</v>
      </c>
      <c r="BT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5.1159076974727213E-13</v>
      </c>
      <c r="BZ121" s="14">
        <f>BY121*VLOOKUP('Données projet'!$B$12,Paramètres!$A$1:$I$89,3,0)*VLOOKUP('Données projet'!$B$12,Paramètres!$A$1:$I$89,5,0)</f>
        <v>2.3942448024172334E-13</v>
      </c>
      <c r="CA121" s="14">
        <f t="shared" si="93"/>
        <v>3.2492669905861755E-12</v>
      </c>
      <c r="CB121" s="22">
        <f t="shared" si="64"/>
        <v>6.0761376450252565E-12</v>
      </c>
      <c r="CC121" s="60">
        <f t="shared" si="65"/>
        <v>293.3333333333394</v>
      </c>
      <c r="CD121" s="60">
        <f ca="1">AVERAGE(OFFSET($CC$3,0,0,'Données projet'!$E$12+1,1))-AVERAGE(OFFSET($H$3,0,0,'Données projet'!$E$12+1,1))</f>
        <v>246.72166704460847</v>
      </c>
      <c r="CE121" s="60">
        <f t="shared" si="94"/>
        <v>145.54897745089966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3.7</v>
      </c>
      <c r="CT121" s="13">
        <f>IF('Données projet'!$A$140&gt;35,CT120+CS121-DB120,IF(A121&lt;'Données projet'!$A$140,$CQ$205^A121,IF(A121='Données projet'!$A$140,'Données projet'!$B$140,CT120+CS121-DB120)))</f>
        <v>295.59999999999951</v>
      </c>
      <c r="CU121" s="18">
        <f>CT121*VLOOKUP('Données projet'!$B$13,Paramètres!$A$1:$I$89,3,0)*VLOOKUP('Données projet'!$B$13,Paramètres!$A$1:$I$89,5,0)</f>
        <v>267.45887999999951</v>
      </c>
      <c r="CV121" s="14">
        <f t="shared" si="95"/>
        <v>64.309683053152327</v>
      </c>
      <c r="CW121" s="22">
        <f t="shared" si="67"/>
        <v>577.8302473175728</v>
      </c>
      <c r="CX121" s="60">
        <f t="shared" si="68"/>
        <v>871.16358065090617</v>
      </c>
      <c r="CY121" s="60">
        <f ca="1">AVERAGE(OFFSET($CX$3,0,0,'Données projet'!$E$13+1,1))-AVERAGE(OFFSET($H$3,0,0,'Données projet'!$E$13+1,1))</f>
        <v>428.8489304403459</v>
      </c>
      <c r="CZ121" s="60">
        <f t="shared" si="96"/>
        <v>247.01165577562966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2.8846153846153868</v>
      </c>
      <c r="DO121" s="13">
        <f>IF('Données projet'!$A$166&gt;35,DO120+DN121-DW120,IF(A121&lt;'Données projet'!$A$166,$DL$205^A121,IF(A121='Données projet'!$A$166,'Données projet'!$B$166,DO120+DN121-DW120)))</f>
        <v>324.99999999999943</v>
      </c>
      <c r="DP121" s="18">
        <f>DO121*VLOOKUP('Données projet'!$B$14,Paramètres!$A$1:$I$89,3,0)*VLOOKUP('Données projet'!$B$14,Paramètres!$A$1:$I$89,5,0)</f>
        <v>339.68999999999943</v>
      </c>
      <c r="DQ121" s="14">
        <f t="shared" si="97"/>
        <v>79.435895059237467</v>
      </c>
      <c r="DR121" s="22">
        <f t="shared" si="70"/>
        <v>729.97760056150412</v>
      </c>
      <c r="DS121" s="60">
        <f t="shared" si="71"/>
        <v>1023.3109338948375</v>
      </c>
      <c r="DT121" s="60">
        <f ca="1">AVERAGE(OFFSET($DS$3,0,0,'Données projet'!$E$14+1,1))-AVERAGE(OFFSET($H$3,0,0,'Données projet'!$E$14+1,1))</f>
        <v>493.70175665335978</v>
      </c>
      <c r="DU121" s="60">
        <f t="shared" si="98"/>
        <v>325.12357781685949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-1.9895196601282805E-13</v>
      </c>
      <c r="EK121" s="18">
        <f>EJ121*VLOOKUP('Données projet'!$B$15,Paramètres!$A$1:$I$89,3,0)*VLOOKUP('Données projet'!$B$15,Paramètres!$A$1:$I$89,5,0)</f>
        <v>-1.6138983482960614E-13</v>
      </c>
      <c r="EL121" s="14" t="e">
        <f t="shared" si="99"/>
        <v>#NUM!</v>
      </c>
      <c r="EM121" s="22" t="e">
        <f t="shared" si="73"/>
        <v>#NUM!</v>
      </c>
      <c r="EN121" s="60" t="e">
        <f t="shared" si="74"/>
        <v>#NUM!</v>
      </c>
      <c r="EO121" s="60">
        <f ca="1">AVERAGE(OFFSET($EN$3,0,0,'Données projet'!$E$15+1,1))-AVERAGE(OFFSET($H$3,0,0,'Données projet'!$E$15+1,1))</f>
        <v>236.22643401787644</v>
      </c>
      <c r="EP121" s="60">
        <f t="shared" si="100"/>
        <v>188.80444043778022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3</v>
      </c>
      <c r="FE121" s="13">
        <f>IF('Données projet'!$A$218&gt;35,FE120+FD121-FM120,IF(A121&lt;'Données projet'!$A$218,$FB$205^A121,IF(A121='Données projet'!$A$218,'Données projet'!$B$218,FE120+FD121-FM120)))</f>
        <v>205.00000000000006</v>
      </c>
      <c r="FF121" s="18">
        <f>FE121*VLOOKUP('Données projet'!$B$16,Paramètres!$A$1:$I$89,3,0)*VLOOKUP('Données projet'!$B$16,Paramètres!$A$1:$I$89,5,0)</f>
        <v>198.27600000000007</v>
      </c>
      <c r="FG121" s="14">
        <f t="shared" si="101"/>
        <v>49.365094013592753</v>
      </c>
      <c r="FH121" s="22">
        <f t="shared" si="76"/>
        <v>431.30823874034081</v>
      </c>
      <c r="FI121" s="60">
        <f t="shared" si="77"/>
        <v>724.64157207367407</v>
      </c>
      <c r="FJ121" s="60">
        <f ca="1">AVERAGE(OFFSET($FI$3,0,0,'Données projet'!$E$16+1,1))-AVERAGE(OFFSET($H$3,0,0,'Données projet'!$E$16+1,1))</f>
        <v>255.59755832175625</v>
      </c>
      <c r="FK121" s="60">
        <f t="shared" si="102"/>
        <v>154.0840647586964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0" t="e">
        <f t="shared" si="80"/>
        <v>#N/A</v>
      </c>
      <c r="GE121" s="60" t="e">
        <f ca="1">AVERAGE(OFFSET($GD$3,0,0,'Données projet'!$E$17+1,1))-AVERAGE(OFFSET($H$3,0,0,'Données projet'!$E$17+1,1))</f>
        <v>#N/A</v>
      </c>
      <c r="GF121" s="60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7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0" t="e">
        <f t="shared" si="83"/>
        <v>#N/A</v>
      </c>
      <c r="GZ121" s="60" t="e">
        <f ca="1">AVERAGE(OFFSET($GY$3,0,0,'Données projet'!$E$18+1,1))-AVERAGE(OFFSET($H$3,0,0,'Données projet'!$E$18+1,1))</f>
        <v>#N/A</v>
      </c>
      <c r="HA121" s="60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5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68">
        <f t="shared" si="56"/>
        <v>256.66666666666669</v>
      </c>
      <c r="I122" s="7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0" t="e">
        <f t="shared" si="55"/>
        <v>#NUM!</v>
      </c>
      <c r="S122" s="60">
        <f ca="1">AVERAGE(OFFSET($R$3,0,0,'Données projet'!$E$9+1,1))-AVERAGE(OFFSET($H$3,0,0,'Données projet'!$E$9+1,1))</f>
        <v>64.775385872852041</v>
      </c>
      <c r="T122" s="60">
        <f t="shared" si="88"/>
        <v>201.69061202990468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5.5144746885373355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2.4283370919906562E-15</v>
      </c>
      <c r="AC122" s="24">
        <f t="shared" si="57"/>
        <v>5.5144746885373381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303.4901999999995</v>
      </c>
      <c r="AK122" s="14">
        <f t="shared" si="89"/>
        <v>71.907650167874138</v>
      </c>
      <c r="AL122" s="22">
        <f t="shared" si="58"/>
        <v>653.81792237571324</v>
      </c>
      <c r="AM122" s="60">
        <f t="shared" si="59"/>
        <v>947.15125570904661</v>
      </c>
      <c r="AN122" s="60">
        <f ca="1">AVERAGE(OFFSET($AM$3,0,0,'Données projet'!$E$10+1,1))-AVERAGE(OFFSET($H$3,0,0,'Données projet'!$E$10+1,1))</f>
        <v>475.47920969424894</v>
      </c>
      <c r="AO122" s="60">
        <f t="shared" si="90"/>
        <v>271.73544012419364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7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6.7984728957526396E-14</v>
      </c>
      <c r="BF122" s="14">
        <f t="shared" si="91"/>
        <v>1.0682447123141398E-12</v>
      </c>
      <c r="BG122" s="22">
        <f t="shared" si="61"/>
        <v>1.978932943548152E-12</v>
      </c>
      <c r="BH122" s="60">
        <f t="shared" si="62"/>
        <v>293.3333333333353</v>
      </c>
      <c r="BI122" s="60">
        <f ca="1">AVERAGE(OFFSET($BH$3,0,0,'Données projet'!$E$11+1,1))-AVERAGE(OFFSET($H$3,0,0,'Données projet'!$E$11+1,1))</f>
        <v>260.02504691866199</v>
      </c>
      <c r="BJ122" s="60">
        <f t="shared" si="92"/>
        <v>270.11268336406368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1.7174505035246419</v>
      </c>
      <c r="BQ122" s="23">
        <f>EXP(-LN(2)/25)*BQ121+(1-EXP(-LN(2)/25))/(LN(2)/25)*Calculateur!BL122*Calculateur!BN122*VLOOKUP('Données projet'!$B$11,Paramètres!$A$1:$I$89,3,0)*0.475*44/12</f>
        <v>1.3935749701821813</v>
      </c>
      <c r="BR122" s="23">
        <f>EXP(-LN(2)/2)*BR121+(1-EXP(-LN(2)/2))/(LN(2)/2)*BL122*BO122*VLOOKUP('Données projet'!$B$11,Paramètres!$A$1:$I$89,3,0)*0.475*44/12</f>
        <v>2.5483071666034381E-13</v>
      </c>
      <c r="BS122" s="24">
        <f t="shared" si="63"/>
        <v>3.1110254737070782</v>
      </c>
      <c r="BT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5.1159076974727213E-13</v>
      </c>
      <c r="BZ122" s="14">
        <f>BY122*VLOOKUP('Données projet'!$B$12,Paramètres!$A$1:$I$89,3,0)*VLOOKUP('Données projet'!$B$12,Paramètres!$A$1:$I$89,5,0)</f>
        <v>2.3942448024172334E-13</v>
      </c>
      <c r="CA122" s="14">
        <f t="shared" si="93"/>
        <v>3.2492669905861755E-12</v>
      </c>
      <c r="CB122" s="22">
        <f t="shared" si="64"/>
        <v>6.0761376450252565E-12</v>
      </c>
      <c r="CC122" s="60">
        <f t="shared" si="65"/>
        <v>293.3333333333394</v>
      </c>
      <c r="CD122" s="60">
        <f ca="1">AVERAGE(OFFSET($CC$3,0,0,'Données projet'!$E$12+1,1))-AVERAGE(OFFSET($H$3,0,0,'Données projet'!$E$12+1,1))</f>
        <v>246.72166704460847</v>
      </c>
      <c r="CE122" s="60">
        <f t="shared" si="94"/>
        <v>145.54897745089966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3.7</v>
      </c>
      <c r="CT122" s="13">
        <f>IF('Données projet'!$A$140&gt;35,CT121+CS122-DB121,IF(A122&lt;'Données projet'!$A$140,$CQ$205^A122,IF(A122='Données projet'!$A$140,'Données projet'!$B$140,CT121+CS122-DB121)))</f>
        <v>299.2999999999995</v>
      </c>
      <c r="CU122" s="18">
        <f>CT122*VLOOKUP('Données projet'!$B$13,Paramètres!$A$1:$I$89,3,0)*VLOOKUP('Données projet'!$B$13,Paramètres!$A$1:$I$89,5,0)</f>
        <v>270.80663999999956</v>
      </c>
      <c r="CV122" s="14">
        <f t="shared" si="95"/>
        <v>65.020428921429911</v>
      </c>
      <c r="CW122" s="22">
        <f t="shared" si="67"/>
        <v>584.89881170482306</v>
      </c>
      <c r="CX122" s="60">
        <f t="shared" si="68"/>
        <v>878.23214503815643</v>
      </c>
      <c r="CY122" s="60">
        <f ca="1">AVERAGE(OFFSET($CX$3,0,0,'Données projet'!$E$13+1,1))-AVERAGE(OFFSET($H$3,0,0,'Données projet'!$E$13+1,1))</f>
        <v>428.8489304403459</v>
      </c>
      <c r="CZ122" s="60">
        <f t="shared" si="96"/>
        <v>247.01165577562966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2.8846153846153868</v>
      </c>
      <c r="DO122" s="13">
        <f>IF('Données projet'!$A$166&gt;35,DO121+DN122-DW121,IF(A122&lt;'Données projet'!$A$166,$DL$205^A122,IF(A122='Données projet'!$A$166,'Données projet'!$B$166,DO121+DN122-DW121)))</f>
        <v>327.88461538461479</v>
      </c>
      <c r="DP122" s="18">
        <f>DO122*VLOOKUP('Données projet'!$B$14,Paramètres!$A$1:$I$89,3,0)*VLOOKUP('Données projet'!$B$14,Paramètres!$A$1:$I$89,5,0)</f>
        <v>342.70499999999942</v>
      </c>
      <c r="DQ122" s="14">
        <f t="shared" si="97"/>
        <v>80.058558536074614</v>
      </c>
      <c r="DR122" s="22">
        <f t="shared" si="70"/>
        <v>736.31319778366208</v>
      </c>
      <c r="DS122" s="60">
        <f t="shared" si="71"/>
        <v>1029.6465311169954</v>
      </c>
      <c r="DT122" s="60">
        <f ca="1">AVERAGE(OFFSET($DS$3,0,0,'Données projet'!$E$14+1,1))-AVERAGE(OFFSET($H$3,0,0,'Données projet'!$E$14+1,1))</f>
        <v>493.70175665335978</v>
      </c>
      <c r="DU122" s="60">
        <f t="shared" si="98"/>
        <v>325.12357781685949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-1.9895196601282805E-13</v>
      </c>
      <c r="EK122" s="18">
        <f>EJ122*VLOOKUP('Données projet'!$B$15,Paramètres!$A$1:$I$89,3,0)*VLOOKUP('Données projet'!$B$15,Paramètres!$A$1:$I$89,5,0)</f>
        <v>-1.6138983482960614E-13</v>
      </c>
      <c r="EL122" s="14" t="e">
        <f t="shared" si="99"/>
        <v>#NUM!</v>
      </c>
      <c r="EM122" s="22" t="e">
        <f t="shared" si="73"/>
        <v>#NUM!</v>
      </c>
      <c r="EN122" s="60" t="e">
        <f t="shared" si="74"/>
        <v>#NUM!</v>
      </c>
      <c r="EO122" s="60">
        <f ca="1">AVERAGE(OFFSET($EN$3,0,0,'Données projet'!$E$15+1,1))-AVERAGE(OFFSET($H$3,0,0,'Données projet'!$E$15+1,1))</f>
        <v>236.22643401787644</v>
      </c>
      <c r="EP122" s="60">
        <f t="shared" si="100"/>
        <v>188.80444043778022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3</v>
      </c>
      <c r="FE122" s="13">
        <f>IF('Données projet'!$A$218&gt;35,FE121+FD122-FM121,IF(A122&lt;'Données projet'!$A$218,$FB$205^A122,IF(A122='Données projet'!$A$218,'Données projet'!$B$218,FE121+FD122-FM121)))</f>
        <v>208.00000000000006</v>
      </c>
      <c r="FF122" s="18">
        <f>FE122*VLOOKUP('Données projet'!$B$16,Paramètres!$A$1:$I$89,3,0)*VLOOKUP('Données projet'!$B$16,Paramètres!$A$1:$I$89,5,0)</f>
        <v>201.17760000000007</v>
      </c>
      <c r="FG122" s="14">
        <f t="shared" si="101"/>
        <v>50.002880070410733</v>
      </c>
      <c r="FH122" s="22">
        <f t="shared" si="76"/>
        <v>437.47266945596539</v>
      </c>
      <c r="FI122" s="60">
        <f t="shared" si="77"/>
        <v>730.80600278929865</v>
      </c>
      <c r="FJ122" s="60">
        <f ca="1">AVERAGE(OFFSET($FI$3,0,0,'Données projet'!$E$16+1,1))-AVERAGE(OFFSET($H$3,0,0,'Données projet'!$E$16+1,1))</f>
        <v>255.59755832175625</v>
      </c>
      <c r="FK122" s="60">
        <f t="shared" si="102"/>
        <v>154.0840647586964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0" t="e">
        <f t="shared" si="80"/>
        <v>#N/A</v>
      </c>
      <c r="GE122" s="60" t="e">
        <f ca="1">AVERAGE(OFFSET($GD$3,0,0,'Données projet'!$E$17+1,1))-AVERAGE(OFFSET($H$3,0,0,'Données projet'!$E$17+1,1))</f>
        <v>#N/A</v>
      </c>
      <c r="GF122" s="60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7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0" t="e">
        <f t="shared" si="83"/>
        <v>#N/A</v>
      </c>
      <c r="GZ122" s="60" t="e">
        <f ca="1">AVERAGE(OFFSET($GY$3,0,0,'Données projet'!$E$18+1,1))-AVERAGE(OFFSET($H$3,0,0,'Données projet'!$E$18+1,1))</f>
        <v>#N/A</v>
      </c>
      <c r="HA122" s="60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5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68">
        <f t="shared" si="56"/>
        <v>256.66666666666669</v>
      </c>
      <c r="I123" s="7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0" t="e">
        <f t="shared" si="55"/>
        <v>#NUM!</v>
      </c>
      <c r="S123" s="60">
        <f ca="1">AVERAGE(OFFSET($R$3,0,0,'Données projet'!$E$9+1,1))-AVERAGE(OFFSET($H$3,0,0,'Données projet'!$E$9+1,1))</f>
        <v>64.775385872852041</v>
      </c>
      <c r="T123" s="60">
        <f t="shared" si="88"/>
        <v>201.69061202990468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5.4063392033925606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1.7170936247534141E-15</v>
      </c>
      <c r="AC123" s="24">
        <f t="shared" si="57"/>
        <v>5.4063392033925624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307.24199999999951</v>
      </c>
      <c r="AK123" s="14">
        <f t="shared" si="89"/>
        <v>72.692550770207717</v>
      </c>
      <c r="AL123" s="22">
        <f t="shared" si="58"/>
        <v>661.71934259144427</v>
      </c>
      <c r="AM123" s="60">
        <f t="shared" si="59"/>
        <v>955.05267592477753</v>
      </c>
      <c r="AN123" s="60">
        <f ca="1">AVERAGE(OFFSET($AM$3,0,0,'Données projet'!$E$10+1,1))-AVERAGE(OFFSET($H$3,0,0,'Données projet'!$E$10+1,1))</f>
        <v>475.47920969424894</v>
      </c>
      <c r="AO123" s="60">
        <f t="shared" si="90"/>
        <v>271.73544012419364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7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6.7984728957526396E-14</v>
      </c>
      <c r="BF123" s="14">
        <f t="shared" si="91"/>
        <v>1.0682447123141398E-12</v>
      </c>
      <c r="BG123" s="22">
        <f t="shared" si="61"/>
        <v>1.978932943548152E-12</v>
      </c>
      <c r="BH123" s="60">
        <f t="shared" si="62"/>
        <v>293.3333333333353</v>
      </c>
      <c r="BI123" s="60">
        <f ca="1">AVERAGE(OFFSET($BH$3,0,0,'Données projet'!$E$11+1,1))-AVERAGE(OFFSET($H$3,0,0,'Données projet'!$E$11+1,1))</f>
        <v>260.02504691866199</v>
      </c>
      <c r="BJ123" s="60">
        <f t="shared" si="92"/>
        <v>270.11268336406368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1.6837723466918948</v>
      </c>
      <c r="BQ123" s="23">
        <f>EXP(-LN(2)/25)*BQ122+(1-EXP(-LN(2)/25))/(LN(2)/25)*Calculateur!BL123*Calculateur!BN123*VLOOKUP('Données projet'!$B$11,Paramètres!$A$1:$I$89,3,0)*0.475*44/12</f>
        <v>1.3554675893376269</v>
      </c>
      <c r="BR123" s="23">
        <f>EXP(-LN(2)/2)*BR122+(1-EXP(-LN(2)/2))/(LN(2)/2)*BL123*BO123*VLOOKUP('Données projet'!$B$11,Paramètres!$A$1:$I$89,3,0)*0.475*44/12</f>
        <v>1.8019252780515682E-13</v>
      </c>
      <c r="BS123" s="24">
        <f t="shared" si="63"/>
        <v>3.039239936029702</v>
      </c>
      <c r="BT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5.1159076974727213E-13</v>
      </c>
      <c r="BZ123" s="14">
        <f>BY123*VLOOKUP('Données projet'!$B$12,Paramètres!$A$1:$I$89,3,0)*VLOOKUP('Données projet'!$B$12,Paramètres!$A$1:$I$89,5,0)</f>
        <v>2.3942448024172334E-13</v>
      </c>
      <c r="CA123" s="14">
        <f t="shared" si="93"/>
        <v>3.2492669905861755E-12</v>
      </c>
      <c r="CB123" s="22">
        <f t="shared" si="64"/>
        <v>6.0761376450252565E-12</v>
      </c>
      <c r="CC123" s="60">
        <f t="shared" si="65"/>
        <v>293.3333333333394</v>
      </c>
      <c r="CD123" s="60">
        <f ca="1">AVERAGE(OFFSET($CC$3,0,0,'Données projet'!$E$12+1,1))-AVERAGE(OFFSET($H$3,0,0,'Données projet'!$E$12+1,1))</f>
        <v>246.72166704460847</v>
      </c>
      <c r="CE123" s="60">
        <f t="shared" si="94"/>
        <v>145.54897745089966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303</v>
      </c>
      <c r="CR123" s="13">
        <f>VLOOKUP(A123,'Données projet'!$A$139:$I$159,9,0)</f>
        <v>3.7</v>
      </c>
      <c r="CS123" s="13">
        <f t="array" ref="CS123">INDEX(CR:CR,MIN(IF(ISNUMBER(CR123:CR319),ROW(CR123:CR319),"")))</f>
        <v>3.7</v>
      </c>
      <c r="CT123" s="13">
        <f>IF('Données projet'!$A$140&gt;35,CT122+CS123-DB122,IF(A123&lt;'Données projet'!$A$140,$CQ$205^A123,IF(A123='Données projet'!$A$140,'Données projet'!$B$140,CT122+CS123-DB122)))</f>
        <v>302.99999999999949</v>
      </c>
      <c r="CU123" s="18">
        <f>CT123*VLOOKUP('Données projet'!$B$13,Paramètres!$A$1:$I$89,3,0)*VLOOKUP('Données projet'!$B$13,Paramètres!$A$1:$I$89,5,0)</f>
        <v>274.15439999999955</v>
      </c>
      <c r="CV123" s="14">
        <f t="shared" si="95"/>
        <v>65.730152764515779</v>
      </c>
      <c r="CW123" s="22">
        <f t="shared" si="67"/>
        <v>591.96559606486414</v>
      </c>
      <c r="CX123" s="60">
        <f t="shared" si="68"/>
        <v>885.29892939819752</v>
      </c>
      <c r="CY123" s="60">
        <f ca="1">AVERAGE(OFFSET($CX$3,0,0,'Données projet'!$E$13+1,1))-AVERAGE(OFFSET($H$3,0,0,'Données projet'!$E$13+1,1))</f>
        <v>428.8489304403459</v>
      </c>
      <c r="CZ123" s="60">
        <f t="shared" si="96"/>
        <v>247.01165577562966</v>
      </c>
      <c r="DA123" s="16">
        <f>IF(ISNA(VLOOKUP(A123,'Données projet'!$A$139:$I$159,3,0)),0,VLOOKUP(A123,'Données projet'!$A$139:$I$159,3,0))</f>
        <v>10</v>
      </c>
      <c r="DB123" s="16">
        <f>IF(ISNA(VLOOKUP(A123,'Données projet'!$A$139:$I$159,4,0)),0,VLOOKUP(A123,'Données projet'!$A$139:$I$159,4,0))</f>
        <v>35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330.76923076923077</v>
      </c>
      <c r="DM123" s="13">
        <f>VLOOKUP(A123,'Données projet'!$A$165:$I$185,9,0)</f>
        <v>2.8846153846153868</v>
      </c>
      <c r="DN123" s="13">
        <f t="array" ref="DN123">INDEX(DM:DM,MIN(IF(ISNUMBER(DM123:DM319),ROW(DM123:DM319),"")))</f>
        <v>2.8846153846153868</v>
      </c>
      <c r="DO123" s="13">
        <f>IF('Données projet'!$A$166&gt;35,DO122+DN123-DW122,IF(A123&lt;'Données projet'!$A$166,$DL$205^A123,IF(A123='Données projet'!$A$166,'Données projet'!$B$166,DO122+DN123-DW122)))</f>
        <v>330.76923076923015</v>
      </c>
      <c r="DP123" s="18">
        <f>DO123*VLOOKUP('Données projet'!$B$14,Paramètres!$A$1:$I$89,3,0)*VLOOKUP('Données projet'!$B$14,Paramètres!$A$1:$I$89,5,0)</f>
        <v>345.7199999999994</v>
      </c>
      <c r="DQ123" s="14">
        <f t="shared" si="97"/>
        <v>80.6805846939736</v>
      </c>
      <c r="DR123" s="22">
        <f t="shared" si="70"/>
        <v>742.64768500866955</v>
      </c>
      <c r="DS123" s="60">
        <f t="shared" si="71"/>
        <v>1035.9810183420029</v>
      </c>
      <c r="DT123" s="60">
        <f ca="1">AVERAGE(OFFSET($DS$3,0,0,'Données projet'!$E$14+1,1))-AVERAGE(OFFSET($H$3,0,0,'Données projet'!$E$14+1,1))</f>
        <v>493.70175665335978</v>
      </c>
      <c r="DU123" s="60">
        <f t="shared" si="98"/>
        <v>325.12357781685949</v>
      </c>
      <c r="DV123" s="16">
        <f>IF(ISNA(VLOOKUP(A123,'Données projet'!$A$165:$I$185,3,0)),0,VLOOKUP(A123,'Données projet'!$A$165:$I$185,3,0))</f>
        <v>10</v>
      </c>
      <c r="DW123" s="16">
        <f>IF(ISNA(VLOOKUP(A123,'Données projet'!$A$165:$I$185,4,0)),0,VLOOKUP(A123,'Données projet'!$A$165:$I$185,4,0))</f>
        <v>17.948717948717949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-1.9895196601282805E-13</v>
      </c>
      <c r="EK123" s="18">
        <f>EJ123*VLOOKUP('Données projet'!$B$15,Paramètres!$A$1:$I$89,3,0)*VLOOKUP('Données projet'!$B$15,Paramètres!$A$1:$I$89,5,0)</f>
        <v>-1.6138983482960614E-13</v>
      </c>
      <c r="EL123" s="14" t="e">
        <f t="shared" si="99"/>
        <v>#NUM!</v>
      </c>
      <c r="EM123" s="22" t="e">
        <f t="shared" si="73"/>
        <v>#NUM!</v>
      </c>
      <c r="EN123" s="60" t="e">
        <f t="shared" si="74"/>
        <v>#NUM!</v>
      </c>
      <c r="EO123" s="60">
        <f ca="1">AVERAGE(OFFSET($EN$3,0,0,'Données projet'!$E$15+1,1))-AVERAGE(OFFSET($H$3,0,0,'Données projet'!$E$15+1,1))</f>
        <v>236.22643401787644</v>
      </c>
      <c r="EP123" s="60">
        <f t="shared" si="100"/>
        <v>188.80444043778022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>
        <f>VLOOKUP(A123,'Données projet'!$A$217:$I$237,2,0)</f>
        <v>211</v>
      </c>
      <c r="FC123" s="13">
        <f>VLOOKUP(A123,'Données projet'!$A$217:$I$237,9,0)</f>
        <v>3</v>
      </c>
      <c r="FD123" s="13">
        <f t="array" ref="FD123">INDEX(FC:FC,MIN(IF(ISNUMBER(FC123:FC319),ROW(FC123:FC319),"")))</f>
        <v>3</v>
      </c>
      <c r="FE123" s="13">
        <f>IF('Données projet'!$A$218&gt;35,FE122+FD123-FM122,IF(A123&lt;'Données projet'!$A$218,$FB$205^A123,IF(A123='Données projet'!$A$218,'Données projet'!$B$218,FE122+FD123-FM122)))</f>
        <v>211.00000000000006</v>
      </c>
      <c r="FF123" s="18">
        <f>FE123*VLOOKUP('Données projet'!$B$16,Paramètres!$A$1:$I$89,3,0)*VLOOKUP('Données projet'!$B$16,Paramètres!$A$1:$I$89,5,0)</f>
        <v>204.07920000000004</v>
      </c>
      <c r="FG123" s="14">
        <f t="shared" si="101"/>
        <v>50.639596241643567</v>
      </c>
      <c r="FH123" s="22">
        <f t="shared" si="76"/>
        <v>443.63523678752927</v>
      </c>
      <c r="FI123" s="60">
        <f t="shared" si="77"/>
        <v>736.96857012086252</v>
      </c>
      <c r="FJ123" s="60">
        <f ca="1">AVERAGE(OFFSET($FI$3,0,0,'Données projet'!$E$16+1,1))-AVERAGE(OFFSET($H$3,0,0,'Données projet'!$E$16+1,1))</f>
        <v>255.59755832175625</v>
      </c>
      <c r="FK123" s="60">
        <f t="shared" si="102"/>
        <v>154.0840647586964</v>
      </c>
      <c r="FL123" s="16">
        <f>IF(ISNA(VLOOKUP(A123,'Données projet'!$A$217:$I$237,3,0)),0,VLOOKUP(A123,'Données projet'!$A$217:$I$237,3,0))</f>
        <v>9</v>
      </c>
      <c r="FM123" s="16">
        <f>IF(ISNA(VLOOKUP(A123,'Données projet'!$A$217:$I$237,4,0)),0,VLOOKUP(A123,'Données projet'!$A$217:$I$237,4,0))</f>
        <v>211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0" t="e">
        <f t="shared" si="80"/>
        <v>#N/A</v>
      </c>
      <c r="GE123" s="60" t="e">
        <f ca="1">AVERAGE(OFFSET($GD$3,0,0,'Données projet'!$E$17+1,1))-AVERAGE(OFFSET($H$3,0,0,'Données projet'!$E$17+1,1))</f>
        <v>#N/A</v>
      </c>
      <c r="GF123" s="60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7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0" t="e">
        <f t="shared" si="83"/>
        <v>#N/A</v>
      </c>
      <c r="GZ123" s="60" t="e">
        <f ca="1">AVERAGE(OFFSET($GY$3,0,0,'Données projet'!$E$18+1,1))-AVERAGE(OFFSET($H$3,0,0,'Données projet'!$E$18+1,1))</f>
        <v>#N/A</v>
      </c>
      <c r="HA123" s="60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5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68">
        <f t="shared" si="56"/>
        <v>256.66666666666669</v>
      </c>
      <c r="I124" s="7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0" t="e">
        <f t="shared" si="55"/>
        <v>#NUM!</v>
      </c>
      <c r="S124" s="60">
        <f ca="1">AVERAGE(OFFSET($R$3,0,0,'Données projet'!$E$9+1,1))-AVERAGE(OFFSET($H$3,0,0,'Données projet'!$E$9+1,1))</f>
        <v>64.775385872852041</v>
      </c>
      <c r="T124" s="60">
        <f t="shared" si="88"/>
        <v>201.69061202990468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5.300324189155341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1.2141685459953281E-15</v>
      </c>
      <c r="AC124" s="24">
        <f t="shared" si="57"/>
        <v>5.3003241891553419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274.9967999999995</v>
      </c>
      <c r="AK124" s="14">
        <f t="shared" si="89"/>
        <v>65.908581953881495</v>
      </c>
      <c r="AL124" s="22">
        <f t="shared" si="58"/>
        <v>593.74354023634271</v>
      </c>
      <c r="AM124" s="60">
        <f t="shared" si="59"/>
        <v>887.07687356967608</v>
      </c>
      <c r="AN124" s="60">
        <f ca="1">AVERAGE(OFFSET($AM$3,0,0,'Données projet'!$E$10+1,1))-AVERAGE(OFFSET($H$3,0,0,'Données projet'!$E$10+1,1))</f>
        <v>475.47920969424894</v>
      </c>
      <c r="AO124" s="60">
        <f t="shared" si="90"/>
        <v>271.73544012419364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7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6.7984728957526396E-14</v>
      </c>
      <c r="BF124" s="14">
        <f t="shared" si="91"/>
        <v>1.0682447123141398E-12</v>
      </c>
      <c r="BG124" s="22">
        <f t="shared" si="61"/>
        <v>1.978932943548152E-12</v>
      </c>
      <c r="BH124" s="60">
        <f t="shared" si="62"/>
        <v>293.3333333333353</v>
      </c>
      <c r="BI124" s="60">
        <f ca="1">AVERAGE(OFFSET($BH$3,0,0,'Données projet'!$E$11+1,1))-AVERAGE(OFFSET($H$3,0,0,'Données projet'!$E$11+1,1))</f>
        <v>260.02504691866199</v>
      </c>
      <c r="BJ124" s="60">
        <f t="shared" si="92"/>
        <v>270.11268336406368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1.6507545979729905</v>
      </c>
      <c r="BQ124" s="23">
        <f>EXP(-LN(2)/25)*BQ123+(1-EXP(-LN(2)/25))/(LN(2)/25)*Calculateur!BL124*Calculateur!BN124*VLOOKUP('Données projet'!$B$11,Paramètres!$A$1:$I$89,3,0)*0.475*44/12</f>
        <v>1.318402256826247</v>
      </c>
      <c r="BR124" s="23">
        <f>EXP(-LN(2)/2)*BR123+(1-EXP(-LN(2)/2))/(LN(2)/2)*BL124*BO124*VLOOKUP('Données projet'!$B$11,Paramètres!$A$1:$I$89,3,0)*0.475*44/12</f>
        <v>1.274153583301719E-13</v>
      </c>
      <c r="BS124" s="24">
        <f t="shared" si="63"/>
        <v>2.969156854799365</v>
      </c>
      <c r="BT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5.1159076974727213E-13</v>
      </c>
      <c r="BZ124" s="14">
        <f>BY124*VLOOKUP('Données projet'!$B$12,Paramètres!$A$1:$I$89,3,0)*VLOOKUP('Données projet'!$B$12,Paramètres!$A$1:$I$89,5,0)</f>
        <v>2.3942448024172334E-13</v>
      </c>
      <c r="CA124" s="14">
        <f t="shared" si="93"/>
        <v>3.2492669905861755E-12</v>
      </c>
      <c r="CB124" s="22">
        <f t="shared" si="64"/>
        <v>6.0761376450252565E-12</v>
      </c>
      <c r="CC124" s="60">
        <f t="shared" si="65"/>
        <v>293.3333333333394</v>
      </c>
      <c r="CD124" s="60">
        <f ca="1">AVERAGE(OFFSET($CC$3,0,0,'Données projet'!$E$12+1,1))-AVERAGE(OFFSET($H$3,0,0,'Données projet'!$E$12+1,1))</f>
        <v>246.72166704460847</v>
      </c>
      <c r="CE124" s="60">
        <f t="shared" si="94"/>
        <v>145.54897745089966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3.2</v>
      </c>
      <c r="CT124" s="13">
        <f>IF('Données projet'!$A$140&gt;35,CT123+CS124-DB123,IF(A124&lt;'Données projet'!$A$140,$CQ$205^A124,IF(A124='Données projet'!$A$140,'Données projet'!$B$140,CT123+CS124-DB123)))</f>
        <v>271.19999999999948</v>
      </c>
      <c r="CU124" s="18">
        <f>CT124*VLOOKUP('Données projet'!$B$13,Paramètres!$A$1:$I$89,3,0)*VLOOKUP('Données projet'!$B$13,Paramètres!$A$1:$I$89,5,0)</f>
        <v>245.3817599999995</v>
      </c>
      <c r="CV124" s="14">
        <f t="shared" si="95"/>
        <v>59.595943661626663</v>
      </c>
      <c r="CW124" s="22">
        <f t="shared" si="67"/>
        <v>531.16950054399888</v>
      </c>
      <c r="CX124" s="60">
        <f t="shared" si="68"/>
        <v>824.50283387733225</v>
      </c>
      <c r="CY124" s="60">
        <f ca="1">AVERAGE(OFFSET($CX$3,0,0,'Données projet'!$E$13+1,1))-AVERAGE(OFFSET($H$3,0,0,'Données projet'!$E$13+1,1))</f>
        <v>428.8489304403459</v>
      </c>
      <c r="CZ124" s="60">
        <f t="shared" si="96"/>
        <v>247.01165577562966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2.6282051282051269</v>
      </c>
      <c r="DO124" s="13">
        <f>IF('Données projet'!$A$166&gt;35,DO123+DN124-DW123,IF(A124&lt;'Données projet'!$A$166,$DL$205^A124,IF(A124='Données projet'!$A$166,'Données projet'!$B$166,DO123+DN124-DW123)))</f>
        <v>315.44871794871733</v>
      </c>
      <c r="DP124" s="18">
        <f>DO124*VLOOKUP('Données projet'!$B$14,Paramètres!$A$1:$I$89,3,0)*VLOOKUP('Données projet'!$B$14,Paramètres!$A$1:$I$89,5,0)</f>
        <v>329.70699999999937</v>
      </c>
      <c r="DQ124" s="14">
        <f t="shared" si="97"/>
        <v>77.369557656320978</v>
      </c>
      <c r="DR124" s="22">
        <f t="shared" si="70"/>
        <v>708.99167125142458</v>
      </c>
      <c r="DS124" s="60">
        <f t="shared" si="71"/>
        <v>1002.3250045847578</v>
      </c>
      <c r="DT124" s="60">
        <f ca="1">AVERAGE(OFFSET($DS$3,0,0,'Données projet'!$E$14+1,1))-AVERAGE(OFFSET($H$3,0,0,'Données projet'!$E$14+1,1))</f>
        <v>493.70175665335978</v>
      </c>
      <c r="DU124" s="60">
        <f t="shared" si="98"/>
        <v>325.12357781685949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-1.9895196601282805E-13</v>
      </c>
      <c r="EK124" s="18">
        <f>EJ124*VLOOKUP('Données projet'!$B$15,Paramètres!$A$1:$I$89,3,0)*VLOOKUP('Données projet'!$B$15,Paramètres!$A$1:$I$89,5,0)</f>
        <v>-1.6138983482960614E-13</v>
      </c>
      <c r="EL124" s="14" t="e">
        <f t="shared" si="99"/>
        <v>#NUM!</v>
      </c>
      <c r="EM124" s="22" t="e">
        <f t="shared" si="73"/>
        <v>#NUM!</v>
      </c>
      <c r="EN124" s="60" t="e">
        <f t="shared" si="74"/>
        <v>#NUM!</v>
      </c>
      <c r="EO124" s="60">
        <f ca="1">AVERAGE(OFFSET($EN$3,0,0,'Données projet'!$E$15+1,1))-AVERAGE(OFFSET($H$3,0,0,'Données projet'!$E$15+1,1))</f>
        <v>236.22643401787644</v>
      </c>
      <c r="EP124" s="60">
        <f t="shared" si="100"/>
        <v>188.80444043778022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5.4978954722173515E-14</v>
      </c>
      <c r="FG124" s="14">
        <f t="shared" si="101"/>
        <v>8.8550225887742724E-13</v>
      </c>
      <c r="FH124" s="22">
        <f t="shared" si="76"/>
        <v>1.6380047803526383E-12</v>
      </c>
      <c r="FI124" s="60">
        <f t="shared" si="77"/>
        <v>293.33333333333496</v>
      </c>
      <c r="FJ124" s="60">
        <f ca="1">AVERAGE(OFFSET($FI$3,0,0,'Données projet'!$E$16+1,1))-AVERAGE(OFFSET($H$3,0,0,'Données projet'!$E$16+1,1))</f>
        <v>255.59755832175625</v>
      </c>
      <c r="FK124" s="60">
        <f t="shared" si="102"/>
        <v>154.0840647586964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0" t="e">
        <f t="shared" si="80"/>
        <v>#N/A</v>
      </c>
      <c r="GE124" s="60" t="e">
        <f ca="1">AVERAGE(OFFSET($GD$3,0,0,'Données projet'!$E$17+1,1))-AVERAGE(OFFSET($H$3,0,0,'Données projet'!$E$17+1,1))</f>
        <v>#N/A</v>
      </c>
      <c r="GF124" s="60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7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0" t="e">
        <f t="shared" si="83"/>
        <v>#N/A</v>
      </c>
      <c r="GZ124" s="60" t="e">
        <f ca="1">AVERAGE(OFFSET($GY$3,0,0,'Données projet'!$E$18+1,1))-AVERAGE(OFFSET($H$3,0,0,'Données projet'!$E$18+1,1))</f>
        <v>#N/A</v>
      </c>
      <c r="HA124" s="60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5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68">
        <f t="shared" si="56"/>
        <v>256.66666666666669</v>
      </c>
      <c r="I125" s="7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0" t="e">
        <f t="shared" si="55"/>
        <v>#NUM!</v>
      </c>
      <c r="S125" s="60">
        <f ca="1">AVERAGE(OFFSET($R$3,0,0,'Données projet'!$E$9+1,1))-AVERAGE(OFFSET($H$3,0,0,'Données projet'!$E$9+1,1))</f>
        <v>64.775385872852041</v>
      </c>
      <c r="T125" s="60">
        <f t="shared" si="88"/>
        <v>201.69061202990468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5.1963880646845402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8.5854681237670706E-16</v>
      </c>
      <c r="AC125" s="24">
        <f t="shared" si="57"/>
        <v>5.1963880646845411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278.24159999999949</v>
      </c>
      <c r="AK125" s="14">
        <f t="shared" si="89"/>
        <v>66.595272276139681</v>
      </c>
      <c r="AL125" s="22">
        <f t="shared" si="58"/>
        <v>600.59088588094244</v>
      </c>
      <c r="AM125" s="60">
        <f t="shared" si="59"/>
        <v>893.92421921427581</v>
      </c>
      <c r="AN125" s="60">
        <f ca="1">AVERAGE(OFFSET($AM$3,0,0,'Données projet'!$E$10+1,1))-AVERAGE(OFFSET($H$3,0,0,'Données projet'!$E$10+1,1))</f>
        <v>475.47920969424894</v>
      </c>
      <c r="AO125" s="60">
        <f t="shared" si="90"/>
        <v>271.73544012419364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7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6.7984728957526396E-14</v>
      </c>
      <c r="BF125" s="14">
        <f t="shared" si="91"/>
        <v>1.0682447123141398E-12</v>
      </c>
      <c r="BG125" s="22">
        <f t="shared" si="61"/>
        <v>1.978932943548152E-12</v>
      </c>
      <c r="BH125" s="60">
        <f t="shared" si="62"/>
        <v>293.3333333333353</v>
      </c>
      <c r="BI125" s="60">
        <f ca="1">AVERAGE(OFFSET($BH$3,0,0,'Données projet'!$E$11+1,1))-AVERAGE(OFFSET($H$3,0,0,'Données projet'!$E$11+1,1))</f>
        <v>260.02504691866199</v>
      </c>
      <c r="BJ125" s="60">
        <f t="shared" si="92"/>
        <v>270.11268336406368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1.6183843071676256</v>
      </c>
      <c r="BQ125" s="23">
        <f>EXP(-LN(2)/25)*BQ124+(1-EXP(-LN(2)/25))/(LN(2)/25)*Calculateur!BL125*Calculateur!BN125*VLOOKUP('Données projet'!$B$11,Paramètres!$A$1:$I$89,3,0)*0.475*44/12</f>
        <v>1.2823504777815717</v>
      </c>
      <c r="BR125" s="23">
        <f>EXP(-LN(2)/2)*BR124+(1-EXP(-LN(2)/2))/(LN(2)/2)*BL125*BO125*VLOOKUP('Données projet'!$B$11,Paramètres!$A$1:$I$89,3,0)*0.475*44/12</f>
        <v>9.009626390257841E-14</v>
      </c>
      <c r="BS125" s="24">
        <f t="shared" si="63"/>
        <v>2.9007347849492873</v>
      </c>
      <c r="BT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5.1159076974727213E-13</v>
      </c>
      <c r="BZ125" s="14">
        <f>BY125*VLOOKUP('Données projet'!$B$12,Paramètres!$A$1:$I$89,3,0)*VLOOKUP('Données projet'!$B$12,Paramètres!$A$1:$I$89,5,0)</f>
        <v>2.3942448024172334E-13</v>
      </c>
      <c r="CA125" s="14">
        <f t="shared" si="93"/>
        <v>3.2492669905861755E-12</v>
      </c>
      <c r="CB125" s="22">
        <f t="shared" si="64"/>
        <v>6.0761376450252565E-12</v>
      </c>
      <c r="CC125" s="60">
        <f t="shared" si="65"/>
        <v>293.3333333333394</v>
      </c>
      <c r="CD125" s="60">
        <f ca="1">AVERAGE(OFFSET($CC$3,0,0,'Données projet'!$E$12+1,1))-AVERAGE(OFFSET($H$3,0,0,'Données projet'!$E$12+1,1))</f>
        <v>246.72166704460847</v>
      </c>
      <c r="CE125" s="60">
        <f t="shared" si="94"/>
        <v>145.54897745089966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3.2</v>
      </c>
      <c r="CT125" s="13">
        <f>IF('Données projet'!$A$140&gt;35,CT124+CS125-DB124,IF(A125&lt;'Données projet'!$A$140,$CQ$205^A125,IF(A125='Données projet'!$A$140,'Données projet'!$B$140,CT124+CS125-DB124)))</f>
        <v>274.39999999999947</v>
      </c>
      <c r="CU125" s="18">
        <f>CT125*VLOOKUP('Données projet'!$B$13,Paramètres!$A$1:$I$89,3,0)*VLOOKUP('Données projet'!$B$13,Paramètres!$A$1:$I$89,5,0)</f>
        <v>248.27711999999951</v>
      </c>
      <c r="CV125" s="14">
        <f t="shared" si="95"/>
        <v>60.216863677580257</v>
      </c>
      <c r="CW125" s="22">
        <f t="shared" si="67"/>
        <v>537.29368823845141</v>
      </c>
      <c r="CX125" s="60">
        <f t="shared" si="68"/>
        <v>830.62702157178478</v>
      </c>
      <c r="CY125" s="60">
        <f ca="1">AVERAGE(OFFSET($CX$3,0,0,'Données projet'!$E$13+1,1))-AVERAGE(OFFSET($H$3,0,0,'Données projet'!$E$13+1,1))</f>
        <v>428.8489304403459</v>
      </c>
      <c r="CZ125" s="60">
        <f t="shared" si="96"/>
        <v>247.01165577562966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2.6282051282051269</v>
      </c>
      <c r="DO125" s="13">
        <f>IF('Données projet'!$A$166&gt;35,DO124+DN125-DW124,IF(A125&lt;'Données projet'!$A$166,$DL$205^A125,IF(A125='Données projet'!$A$166,'Données projet'!$B$166,DO124+DN125-DW124)))</f>
        <v>318.07692307692247</v>
      </c>
      <c r="DP125" s="18">
        <f>DO125*VLOOKUP('Données projet'!$B$14,Paramètres!$A$1:$I$89,3,0)*VLOOKUP('Données projet'!$B$14,Paramètres!$A$1:$I$89,5,0)</f>
        <v>332.45399999999938</v>
      </c>
      <c r="DQ125" s="14">
        <f t="shared" si="97"/>
        <v>77.938864391883257</v>
      </c>
      <c r="DR125" s="22">
        <f t="shared" si="70"/>
        <v>714.76757214919553</v>
      </c>
      <c r="DS125" s="60">
        <f t="shared" si="71"/>
        <v>1008.1009054825288</v>
      </c>
      <c r="DT125" s="60">
        <f ca="1">AVERAGE(OFFSET($DS$3,0,0,'Données projet'!$E$14+1,1))-AVERAGE(OFFSET($H$3,0,0,'Données projet'!$E$14+1,1))</f>
        <v>493.70175665335978</v>
      </c>
      <c r="DU125" s="60">
        <f t="shared" si="98"/>
        <v>325.12357781685949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-1.9895196601282805E-13</v>
      </c>
      <c r="EK125" s="18">
        <f>EJ125*VLOOKUP('Données projet'!$B$15,Paramètres!$A$1:$I$89,3,0)*VLOOKUP('Données projet'!$B$15,Paramètres!$A$1:$I$89,5,0)</f>
        <v>-1.6138983482960614E-13</v>
      </c>
      <c r="EL125" s="14" t="e">
        <f t="shared" si="99"/>
        <v>#NUM!</v>
      </c>
      <c r="EM125" s="22" t="e">
        <f t="shared" si="73"/>
        <v>#NUM!</v>
      </c>
      <c r="EN125" s="60" t="e">
        <f t="shared" si="74"/>
        <v>#NUM!</v>
      </c>
      <c r="EO125" s="60">
        <f ca="1">AVERAGE(OFFSET($EN$3,0,0,'Données projet'!$E$15+1,1))-AVERAGE(OFFSET($H$3,0,0,'Données projet'!$E$15+1,1))</f>
        <v>236.22643401787644</v>
      </c>
      <c r="EP125" s="60">
        <f t="shared" si="100"/>
        <v>188.80444043778022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5.4978954722173515E-14</v>
      </c>
      <c r="FG125" s="14">
        <f t="shared" si="101"/>
        <v>8.8550225887742724E-13</v>
      </c>
      <c r="FH125" s="22">
        <f t="shared" si="76"/>
        <v>1.6380047803526383E-12</v>
      </c>
      <c r="FI125" s="60">
        <f t="shared" si="77"/>
        <v>293.33333333333496</v>
      </c>
      <c r="FJ125" s="60">
        <f ca="1">AVERAGE(OFFSET($FI$3,0,0,'Données projet'!$E$16+1,1))-AVERAGE(OFFSET($H$3,0,0,'Données projet'!$E$16+1,1))</f>
        <v>255.59755832175625</v>
      </c>
      <c r="FK125" s="60">
        <f t="shared" si="102"/>
        <v>154.0840647586964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0" t="e">
        <f t="shared" si="80"/>
        <v>#N/A</v>
      </c>
      <c r="GE125" s="60" t="e">
        <f ca="1">AVERAGE(OFFSET($GD$3,0,0,'Données projet'!$E$17+1,1))-AVERAGE(OFFSET($H$3,0,0,'Données projet'!$E$17+1,1))</f>
        <v>#N/A</v>
      </c>
      <c r="GF125" s="60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7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0" t="e">
        <f t="shared" si="83"/>
        <v>#N/A</v>
      </c>
      <c r="GZ125" s="60" t="e">
        <f ca="1">AVERAGE(OFFSET($GY$3,0,0,'Données projet'!$E$18+1,1))-AVERAGE(OFFSET($H$3,0,0,'Données projet'!$E$18+1,1))</f>
        <v>#N/A</v>
      </c>
      <c r="HA125" s="60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5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68">
        <f t="shared" si="56"/>
        <v>256.66666666666669</v>
      </c>
      <c r="I126" s="7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0" t="e">
        <f t="shared" si="55"/>
        <v>#NUM!</v>
      </c>
      <c r="S126" s="60">
        <f ca="1">AVERAGE(OFFSET($R$3,0,0,'Données projet'!$E$9+1,1))-AVERAGE(OFFSET($H$3,0,0,'Données projet'!$E$9+1,1))</f>
        <v>64.775385872852041</v>
      </c>
      <c r="T126" s="60">
        <f t="shared" si="88"/>
        <v>201.69061202990468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5.0944900642198352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6.0708427299766406E-16</v>
      </c>
      <c r="AC126" s="24">
        <f t="shared" si="57"/>
        <v>5.0944900642198361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281.48639999999949</v>
      </c>
      <c r="AK126" s="14">
        <f t="shared" si="89"/>
        <v>67.281031071373235</v>
      </c>
      <c r="AL126" s="22">
        <f t="shared" si="58"/>
        <v>607.43660911597419</v>
      </c>
      <c r="AM126" s="60">
        <f t="shared" si="59"/>
        <v>900.76994244930756</v>
      </c>
      <c r="AN126" s="60">
        <f ca="1">AVERAGE(OFFSET($AM$3,0,0,'Données projet'!$E$10+1,1))-AVERAGE(OFFSET($H$3,0,0,'Données projet'!$E$10+1,1))</f>
        <v>475.47920969424894</v>
      </c>
      <c r="AO126" s="60">
        <f t="shared" si="90"/>
        <v>271.73544012419364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7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6.7984728957526396E-14</v>
      </c>
      <c r="BF126" s="14">
        <f t="shared" si="91"/>
        <v>1.0682447123141398E-12</v>
      </c>
      <c r="BG126" s="22">
        <f t="shared" si="61"/>
        <v>1.978932943548152E-12</v>
      </c>
      <c r="BH126" s="60">
        <f t="shared" si="62"/>
        <v>293.3333333333353</v>
      </c>
      <c r="BI126" s="60">
        <f ca="1">AVERAGE(OFFSET($BH$3,0,0,'Données projet'!$E$11+1,1))-AVERAGE(OFFSET($H$3,0,0,'Données projet'!$E$11+1,1))</f>
        <v>260.02504691866199</v>
      </c>
      <c r="BJ126" s="60">
        <f t="shared" si="92"/>
        <v>270.11268336406368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1.5866487780210261</v>
      </c>
      <c r="BQ126" s="23">
        <f>EXP(-LN(2)/25)*BQ125+(1-EXP(-LN(2)/25))/(LN(2)/25)*Calculateur!BL126*Calculateur!BN126*VLOOKUP('Données projet'!$B$11,Paramètres!$A$1:$I$89,3,0)*0.475*44/12</f>
        <v>1.2472845365307539</v>
      </c>
      <c r="BR126" s="23">
        <f>EXP(-LN(2)/2)*BR125+(1-EXP(-LN(2)/2))/(LN(2)/2)*BL126*BO126*VLOOKUP('Données projet'!$B$11,Paramètres!$A$1:$I$89,3,0)*0.475*44/12</f>
        <v>6.3707679165085952E-14</v>
      </c>
      <c r="BS126" s="24">
        <f t="shared" si="63"/>
        <v>2.8339333145518437</v>
      </c>
      <c r="BT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5.1159076974727213E-13</v>
      </c>
      <c r="BZ126" s="14">
        <f>BY126*VLOOKUP('Données projet'!$B$12,Paramètres!$A$1:$I$89,3,0)*VLOOKUP('Données projet'!$B$12,Paramètres!$A$1:$I$89,5,0)</f>
        <v>2.3942448024172334E-13</v>
      </c>
      <c r="CA126" s="14">
        <f t="shared" si="93"/>
        <v>3.2492669905861755E-12</v>
      </c>
      <c r="CB126" s="22">
        <f t="shared" si="64"/>
        <v>6.0761376450252565E-12</v>
      </c>
      <c r="CC126" s="60">
        <f t="shared" si="65"/>
        <v>293.3333333333394</v>
      </c>
      <c r="CD126" s="60">
        <f ca="1">AVERAGE(OFFSET($CC$3,0,0,'Données projet'!$E$12+1,1))-AVERAGE(OFFSET($H$3,0,0,'Données projet'!$E$12+1,1))</f>
        <v>246.72166704460847</v>
      </c>
      <c r="CE126" s="60">
        <f t="shared" si="94"/>
        <v>145.54897745089966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3.2</v>
      </c>
      <c r="CT126" s="13">
        <f>IF('Données projet'!$A$140&gt;35,CT125+CS126-DB125,IF(A126&lt;'Données projet'!$A$140,$CQ$205^A126,IF(A126='Données projet'!$A$140,'Données projet'!$B$140,CT125+CS126-DB125)))</f>
        <v>277.59999999999945</v>
      </c>
      <c r="CU126" s="18">
        <f>CT126*VLOOKUP('Données projet'!$B$13,Paramètres!$A$1:$I$89,3,0)*VLOOKUP('Données projet'!$B$13,Paramètres!$A$1:$I$89,5,0)</f>
        <v>251.1724799999995</v>
      </c>
      <c r="CV126" s="14">
        <f t="shared" si="95"/>
        <v>60.836941386956575</v>
      </c>
      <c r="CW126" s="22">
        <f t="shared" si="67"/>
        <v>543.41640891561519</v>
      </c>
      <c r="CX126" s="60">
        <f t="shared" si="68"/>
        <v>836.74974224894845</v>
      </c>
      <c r="CY126" s="60">
        <f ca="1">AVERAGE(OFFSET($CX$3,0,0,'Données projet'!$E$13+1,1))-AVERAGE(OFFSET($H$3,0,0,'Données projet'!$E$13+1,1))</f>
        <v>428.8489304403459</v>
      </c>
      <c r="CZ126" s="60">
        <f t="shared" si="96"/>
        <v>247.01165577562966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2.6282051282051269</v>
      </c>
      <c r="DO126" s="13">
        <f>IF('Données projet'!$A$166&gt;35,DO125+DN126-DW125,IF(A126&lt;'Données projet'!$A$166,$DL$205^A126,IF(A126='Données projet'!$A$166,'Données projet'!$B$166,DO125+DN126-DW125)))</f>
        <v>320.70512820512761</v>
      </c>
      <c r="DP126" s="18">
        <f>DO126*VLOOKUP('Données projet'!$B$14,Paramètres!$A$1:$I$89,3,0)*VLOOKUP('Données projet'!$B$14,Paramètres!$A$1:$I$89,5,0)</f>
        <v>335.2009999999994</v>
      </c>
      <c r="DQ126" s="14">
        <f t="shared" si="97"/>
        <v>78.507623830791573</v>
      </c>
      <c r="DR126" s="22">
        <f t="shared" si="70"/>
        <v>720.54251983862753</v>
      </c>
      <c r="DS126" s="60">
        <f t="shared" si="71"/>
        <v>1013.8758531719609</v>
      </c>
      <c r="DT126" s="60">
        <f ca="1">AVERAGE(OFFSET($DS$3,0,0,'Données projet'!$E$14+1,1))-AVERAGE(OFFSET($H$3,0,0,'Données projet'!$E$14+1,1))</f>
        <v>493.70175665335978</v>
      </c>
      <c r="DU126" s="60">
        <f t="shared" si="98"/>
        <v>325.12357781685949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-1.9895196601282805E-13</v>
      </c>
      <c r="EK126" s="18">
        <f>EJ126*VLOOKUP('Données projet'!$B$15,Paramètres!$A$1:$I$89,3,0)*VLOOKUP('Données projet'!$B$15,Paramètres!$A$1:$I$89,5,0)</f>
        <v>-1.6138983482960614E-13</v>
      </c>
      <c r="EL126" s="14" t="e">
        <f t="shared" si="99"/>
        <v>#NUM!</v>
      </c>
      <c r="EM126" s="22" t="e">
        <f t="shared" si="73"/>
        <v>#NUM!</v>
      </c>
      <c r="EN126" s="60" t="e">
        <f t="shared" si="74"/>
        <v>#NUM!</v>
      </c>
      <c r="EO126" s="60">
        <f ca="1">AVERAGE(OFFSET($EN$3,0,0,'Données projet'!$E$15+1,1))-AVERAGE(OFFSET($H$3,0,0,'Données projet'!$E$15+1,1))</f>
        <v>236.22643401787644</v>
      </c>
      <c r="EP126" s="60">
        <f t="shared" si="100"/>
        <v>188.80444043778022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5.4978954722173515E-14</v>
      </c>
      <c r="FG126" s="14">
        <f t="shared" si="101"/>
        <v>8.8550225887742724E-13</v>
      </c>
      <c r="FH126" s="22">
        <f t="shared" si="76"/>
        <v>1.6380047803526383E-12</v>
      </c>
      <c r="FI126" s="60">
        <f t="shared" si="77"/>
        <v>293.33333333333496</v>
      </c>
      <c r="FJ126" s="60">
        <f ca="1">AVERAGE(OFFSET($FI$3,0,0,'Données projet'!$E$16+1,1))-AVERAGE(OFFSET($H$3,0,0,'Données projet'!$E$16+1,1))</f>
        <v>255.59755832175625</v>
      </c>
      <c r="FK126" s="60">
        <f t="shared" si="102"/>
        <v>154.0840647586964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0" t="e">
        <f t="shared" si="80"/>
        <v>#N/A</v>
      </c>
      <c r="GE126" s="60" t="e">
        <f ca="1">AVERAGE(OFFSET($GD$3,0,0,'Données projet'!$E$17+1,1))-AVERAGE(OFFSET($H$3,0,0,'Données projet'!$E$17+1,1))</f>
        <v>#N/A</v>
      </c>
      <c r="GF126" s="60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7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0" t="e">
        <f t="shared" si="83"/>
        <v>#N/A</v>
      </c>
      <c r="GZ126" s="60" t="e">
        <f ca="1">AVERAGE(OFFSET($GY$3,0,0,'Données projet'!$E$18+1,1))-AVERAGE(OFFSET($H$3,0,0,'Données projet'!$E$18+1,1))</f>
        <v>#N/A</v>
      </c>
      <c r="HA126" s="60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5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68">
        <f t="shared" si="56"/>
        <v>256.66666666666669</v>
      </c>
      <c r="I127" s="7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0" t="e">
        <f t="shared" si="55"/>
        <v>#NUM!</v>
      </c>
      <c r="S127" s="60">
        <f ca="1">AVERAGE(OFFSET($R$3,0,0,'Données projet'!$E$9+1,1))-AVERAGE(OFFSET($H$3,0,0,'Données projet'!$E$9+1,1))</f>
        <v>64.775385872852041</v>
      </c>
      <c r="T127" s="60">
        <f t="shared" si="88"/>
        <v>201.69061202990468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4.9945902213925999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4.2927340618835353E-16</v>
      </c>
      <c r="AC127" s="24">
        <f t="shared" si="57"/>
        <v>4.9945902213925999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284.73119999999943</v>
      </c>
      <c r="AK127" s="14">
        <f t="shared" si="89"/>
        <v>67.965870320050826</v>
      </c>
      <c r="AL127" s="22">
        <f t="shared" si="58"/>
        <v>614.28073080742081</v>
      </c>
      <c r="AM127" s="60">
        <f t="shared" si="59"/>
        <v>907.61406414075418</v>
      </c>
      <c r="AN127" s="60">
        <f ca="1">AVERAGE(OFFSET($AM$3,0,0,'Données projet'!$E$10+1,1))-AVERAGE(OFFSET($H$3,0,0,'Données projet'!$E$10+1,1))</f>
        <v>475.47920969424894</v>
      </c>
      <c r="AO127" s="60">
        <f t="shared" si="90"/>
        <v>271.73544012419364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7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6.7984728957526396E-14</v>
      </c>
      <c r="BF127" s="14">
        <f t="shared" si="91"/>
        <v>1.0682447123141398E-12</v>
      </c>
      <c r="BG127" s="22">
        <f t="shared" si="61"/>
        <v>1.978932943548152E-12</v>
      </c>
      <c r="BH127" s="60">
        <f t="shared" si="62"/>
        <v>293.3333333333353</v>
      </c>
      <c r="BI127" s="60">
        <f ca="1">AVERAGE(OFFSET($BH$3,0,0,'Données projet'!$E$11+1,1))-AVERAGE(OFFSET($H$3,0,0,'Données projet'!$E$11+1,1))</f>
        <v>260.02504691866199</v>
      </c>
      <c r="BJ127" s="60">
        <f t="shared" si="92"/>
        <v>270.11268336406368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1.55553556324423</v>
      </c>
      <c r="BQ127" s="23">
        <f>EXP(-LN(2)/25)*BQ126+(1-EXP(-LN(2)/25))/(LN(2)/25)*Calculateur!BL127*Calculateur!BN127*VLOOKUP('Données projet'!$B$11,Paramètres!$A$1:$I$89,3,0)*0.475*44/12</f>
        <v>1.2131774752874773</v>
      </c>
      <c r="BR127" s="23">
        <f>EXP(-LN(2)/2)*BR126+(1-EXP(-LN(2)/2))/(LN(2)/2)*BL127*BO127*VLOOKUP('Données projet'!$B$11,Paramètres!$A$1:$I$89,3,0)*0.475*44/12</f>
        <v>4.5048131951289205E-14</v>
      </c>
      <c r="BS127" s="24">
        <f t="shared" si="63"/>
        <v>2.7687130385317524</v>
      </c>
      <c r="BT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5.1159076974727213E-13</v>
      </c>
      <c r="BZ127" s="14">
        <f>BY127*VLOOKUP('Données projet'!$B$12,Paramètres!$A$1:$I$89,3,0)*VLOOKUP('Données projet'!$B$12,Paramètres!$A$1:$I$89,5,0)</f>
        <v>2.3942448024172334E-13</v>
      </c>
      <c r="CA127" s="14">
        <f t="shared" si="93"/>
        <v>3.2492669905861755E-12</v>
      </c>
      <c r="CB127" s="22">
        <f t="shared" si="64"/>
        <v>6.0761376450252565E-12</v>
      </c>
      <c r="CC127" s="60">
        <f t="shared" si="65"/>
        <v>293.3333333333394</v>
      </c>
      <c r="CD127" s="60">
        <f ca="1">AVERAGE(OFFSET($CC$3,0,0,'Données projet'!$E$12+1,1))-AVERAGE(OFFSET($H$3,0,0,'Données projet'!$E$12+1,1))</f>
        <v>246.72166704460847</v>
      </c>
      <c r="CE127" s="60">
        <f t="shared" si="94"/>
        <v>145.54897745089966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3.2</v>
      </c>
      <c r="CT127" s="13">
        <f>IF('Données projet'!$A$140&gt;35,CT126+CS127-DB126,IF(A127&lt;'Données projet'!$A$140,$CQ$205^A127,IF(A127='Données projet'!$A$140,'Données projet'!$B$140,CT126+CS127-DB126)))</f>
        <v>280.79999999999944</v>
      </c>
      <c r="CU127" s="18">
        <f>CT127*VLOOKUP('Données projet'!$B$13,Paramètres!$A$1:$I$89,3,0)*VLOOKUP('Données projet'!$B$13,Paramètres!$A$1:$I$89,5,0)</f>
        <v>254.06783999999948</v>
      </c>
      <c r="CV127" s="14">
        <f t="shared" si="95"/>
        <v>61.456187622750612</v>
      </c>
      <c r="CW127" s="22">
        <f t="shared" si="67"/>
        <v>549.53768144295634</v>
      </c>
      <c r="CX127" s="60">
        <f t="shared" si="68"/>
        <v>842.87101477628971</v>
      </c>
      <c r="CY127" s="60">
        <f ca="1">AVERAGE(OFFSET($CX$3,0,0,'Données projet'!$E$13+1,1))-AVERAGE(OFFSET($H$3,0,0,'Données projet'!$E$13+1,1))</f>
        <v>428.8489304403459</v>
      </c>
      <c r="CZ127" s="60">
        <f t="shared" si="96"/>
        <v>247.01165577562966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2.6282051282051269</v>
      </c>
      <c r="DO127" s="13">
        <f>IF('Données projet'!$A$166&gt;35,DO126+DN127-DW126,IF(A127&lt;'Données projet'!$A$166,$DL$205^A127,IF(A127='Données projet'!$A$166,'Données projet'!$B$166,DO126+DN127-DW126)))</f>
        <v>323.33333333333275</v>
      </c>
      <c r="DP127" s="18">
        <f>DO127*VLOOKUP('Données projet'!$B$14,Paramètres!$A$1:$I$89,3,0)*VLOOKUP('Données projet'!$B$14,Paramètres!$A$1:$I$89,5,0)</f>
        <v>337.94799999999941</v>
      </c>
      <c r="DQ127" s="14">
        <f t="shared" si="97"/>
        <v>79.075840977982864</v>
      </c>
      <c r="DR127" s="22">
        <f t="shared" si="70"/>
        <v>726.31652303665248</v>
      </c>
      <c r="DS127" s="60">
        <f t="shared" si="71"/>
        <v>1019.6498563699859</v>
      </c>
      <c r="DT127" s="60">
        <f ca="1">AVERAGE(OFFSET($DS$3,0,0,'Données projet'!$E$14+1,1))-AVERAGE(OFFSET($H$3,0,0,'Données projet'!$E$14+1,1))</f>
        <v>493.70175665335978</v>
      </c>
      <c r="DU127" s="60">
        <f t="shared" si="98"/>
        <v>325.12357781685949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-1.9895196601282805E-13</v>
      </c>
      <c r="EK127" s="18">
        <f>EJ127*VLOOKUP('Données projet'!$B$15,Paramètres!$A$1:$I$89,3,0)*VLOOKUP('Données projet'!$B$15,Paramètres!$A$1:$I$89,5,0)</f>
        <v>-1.6138983482960614E-13</v>
      </c>
      <c r="EL127" s="14" t="e">
        <f t="shared" si="99"/>
        <v>#NUM!</v>
      </c>
      <c r="EM127" s="22" t="e">
        <f t="shared" si="73"/>
        <v>#NUM!</v>
      </c>
      <c r="EN127" s="60" t="e">
        <f t="shared" si="74"/>
        <v>#NUM!</v>
      </c>
      <c r="EO127" s="60">
        <f ca="1">AVERAGE(OFFSET($EN$3,0,0,'Données projet'!$E$15+1,1))-AVERAGE(OFFSET($H$3,0,0,'Données projet'!$E$15+1,1))</f>
        <v>236.22643401787644</v>
      </c>
      <c r="EP127" s="60">
        <f t="shared" si="100"/>
        <v>188.80444043778022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5.4978954722173515E-14</v>
      </c>
      <c r="FG127" s="14">
        <f t="shared" si="101"/>
        <v>8.8550225887742724E-13</v>
      </c>
      <c r="FH127" s="22">
        <f t="shared" si="76"/>
        <v>1.6380047803526383E-12</v>
      </c>
      <c r="FI127" s="60">
        <f t="shared" si="77"/>
        <v>293.33333333333496</v>
      </c>
      <c r="FJ127" s="60">
        <f ca="1">AVERAGE(OFFSET($FI$3,0,0,'Données projet'!$E$16+1,1))-AVERAGE(OFFSET($H$3,0,0,'Données projet'!$E$16+1,1))</f>
        <v>255.59755832175625</v>
      </c>
      <c r="FK127" s="60">
        <f t="shared" si="102"/>
        <v>154.0840647586964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0" t="e">
        <f t="shared" si="80"/>
        <v>#N/A</v>
      </c>
      <c r="GE127" s="60" t="e">
        <f ca="1">AVERAGE(OFFSET($GD$3,0,0,'Données projet'!$E$17+1,1))-AVERAGE(OFFSET($H$3,0,0,'Données projet'!$E$17+1,1))</f>
        <v>#N/A</v>
      </c>
      <c r="GF127" s="60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7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0" t="e">
        <f t="shared" si="83"/>
        <v>#N/A</v>
      </c>
      <c r="GZ127" s="60" t="e">
        <f ca="1">AVERAGE(OFFSET($GY$3,0,0,'Données projet'!$E$18+1,1))-AVERAGE(OFFSET($H$3,0,0,'Données projet'!$E$18+1,1))</f>
        <v>#N/A</v>
      </c>
      <c r="HA127" s="60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5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68">
        <f t="shared" si="56"/>
        <v>256.66666666666669</v>
      </c>
      <c r="I128" s="7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0" t="e">
        <f t="shared" si="55"/>
        <v>#NUM!</v>
      </c>
      <c r="S128" s="60">
        <f ca="1">AVERAGE(OFFSET($R$3,0,0,'Données projet'!$E$9+1,1))-AVERAGE(OFFSET($H$3,0,0,'Données projet'!$E$9+1,1))</f>
        <v>64.775385872852041</v>
      </c>
      <c r="T128" s="60">
        <f t="shared" si="88"/>
        <v>201.69061202990468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4.8966493535503188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3.0354213649883203E-16</v>
      </c>
      <c r="AC128" s="24">
        <f t="shared" si="57"/>
        <v>4.8966493535503188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287.97599999999943</v>
      </c>
      <c r="AK128" s="14">
        <f t="shared" si="89"/>
        <v>68.649801713863027</v>
      </c>
      <c r="AL128" s="22">
        <f t="shared" si="58"/>
        <v>621.12327131831046</v>
      </c>
      <c r="AM128" s="60">
        <f t="shared" si="59"/>
        <v>914.45660465164383</v>
      </c>
      <c r="AN128" s="60">
        <f ca="1">AVERAGE(OFFSET($AM$3,0,0,'Données projet'!$E$10+1,1))-AVERAGE(OFFSET($H$3,0,0,'Données projet'!$E$10+1,1))</f>
        <v>475.47920969424894</v>
      </c>
      <c r="AO128" s="60">
        <f t="shared" si="90"/>
        <v>271.73544012419364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7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6.7984728957526396E-14</v>
      </c>
      <c r="BF128" s="14">
        <f t="shared" si="91"/>
        <v>1.0682447123141398E-12</v>
      </c>
      <c r="BG128" s="22">
        <f t="shared" si="61"/>
        <v>1.978932943548152E-12</v>
      </c>
      <c r="BH128" s="60">
        <f t="shared" si="62"/>
        <v>293.3333333333353</v>
      </c>
      <c r="BI128" s="60">
        <f ca="1">AVERAGE(OFFSET($BH$3,0,0,'Données projet'!$E$11+1,1))-AVERAGE(OFFSET($H$3,0,0,'Données projet'!$E$11+1,1))</f>
        <v>260.02504691866199</v>
      </c>
      <c r="BJ128" s="60">
        <f t="shared" si="92"/>
        <v>270.11268336406368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1.5250324596320197</v>
      </c>
      <c r="BQ128" s="23">
        <f>EXP(-LN(2)/25)*BQ127+(1-EXP(-LN(2)/25))/(LN(2)/25)*Calculateur!BL128*Calculateur!BN128*VLOOKUP('Données projet'!$B$11,Paramètres!$A$1:$I$89,3,0)*0.475*44/12</f>
        <v>1.1800030734275107</v>
      </c>
      <c r="BR128" s="23">
        <f>EXP(-LN(2)/2)*BR127+(1-EXP(-LN(2)/2))/(LN(2)/2)*BL128*BO128*VLOOKUP('Données projet'!$B$11,Paramètres!$A$1:$I$89,3,0)*0.475*44/12</f>
        <v>3.1853839582542976E-14</v>
      </c>
      <c r="BS128" s="24">
        <f t="shared" si="63"/>
        <v>2.7050355330595623</v>
      </c>
      <c r="BT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5.1159076974727213E-13</v>
      </c>
      <c r="BZ128" s="14">
        <f>BY128*VLOOKUP('Données projet'!$B$12,Paramètres!$A$1:$I$89,3,0)*VLOOKUP('Données projet'!$B$12,Paramètres!$A$1:$I$89,5,0)</f>
        <v>2.3942448024172334E-13</v>
      </c>
      <c r="CA128" s="14">
        <f t="shared" si="93"/>
        <v>3.2492669905861755E-12</v>
      </c>
      <c r="CB128" s="22">
        <f t="shared" si="64"/>
        <v>6.0761376450252565E-12</v>
      </c>
      <c r="CC128" s="60">
        <f t="shared" si="65"/>
        <v>293.3333333333394</v>
      </c>
      <c r="CD128" s="60">
        <f ca="1">AVERAGE(OFFSET($CC$3,0,0,'Données projet'!$E$12+1,1))-AVERAGE(OFFSET($H$3,0,0,'Données projet'!$E$12+1,1))</f>
        <v>246.72166704460847</v>
      </c>
      <c r="CE128" s="60">
        <f t="shared" si="94"/>
        <v>145.54897745089966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3.2</v>
      </c>
      <c r="CT128" s="13">
        <f>IF('Données projet'!$A$140&gt;35,CT127+CS128-DB127,IF(A128&lt;'Données projet'!$A$140,$CQ$205^A128,IF(A128='Données projet'!$A$140,'Données projet'!$B$140,CT127+CS128-DB127)))</f>
        <v>283.99999999999943</v>
      </c>
      <c r="CU128" s="18">
        <f>CT128*VLOOKUP('Données projet'!$B$13,Paramètres!$A$1:$I$89,3,0)*VLOOKUP('Données projet'!$B$13,Paramètres!$A$1:$I$89,5,0)</f>
        <v>256.96319999999946</v>
      </c>
      <c r="CV128" s="14">
        <f t="shared" si="95"/>
        <v>62.07461295683791</v>
      </c>
      <c r="CW128" s="22">
        <f t="shared" si="67"/>
        <v>555.65752423315837</v>
      </c>
      <c r="CX128" s="60">
        <f t="shared" si="68"/>
        <v>848.99085756649174</v>
      </c>
      <c r="CY128" s="60">
        <f ca="1">AVERAGE(OFFSET($CX$3,0,0,'Données projet'!$E$13+1,1))-AVERAGE(OFFSET($H$3,0,0,'Données projet'!$E$13+1,1))</f>
        <v>428.8489304403459</v>
      </c>
      <c r="CZ128" s="60">
        <f t="shared" si="96"/>
        <v>247.01165577562966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2.6282051282051269</v>
      </c>
      <c r="DO128" s="13">
        <f>IF('Données projet'!$A$166&gt;35,DO127+DN128-DW127,IF(A128&lt;'Données projet'!$A$166,$DL$205^A128,IF(A128='Données projet'!$A$166,'Données projet'!$B$166,DO127+DN128-DW127)))</f>
        <v>325.96153846153788</v>
      </c>
      <c r="DP128" s="18">
        <f>DO128*VLOOKUP('Données projet'!$B$14,Paramètres!$A$1:$I$89,3,0)*VLOOKUP('Données projet'!$B$14,Paramètres!$A$1:$I$89,5,0)</f>
        <v>340.69499999999942</v>
      </c>
      <c r="DQ128" s="14">
        <f t="shared" si="97"/>
        <v>79.643520752331625</v>
      </c>
      <c r="DR128" s="22">
        <f t="shared" si="70"/>
        <v>732.08959031030997</v>
      </c>
      <c r="DS128" s="60">
        <f t="shared" si="71"/>
        <v>1025.4229236436433</v>
      </c>
      <c r="DT128" s="60">
        <f ca="1">AVERAGE(OFFSET($DS$3,0,0,'Données projet'!$E$14+1,1))-AVERAGE(OFFSET($H$3,0,0,'Données projet'!$E$14+1,1))</f>
        <v>493.70175665335978</v>
      </c>
      <c r="DU128" s="60">
        <f t="shared" si="98"/>
        <v>325.12357781685949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-1.9895196601282805E-13</v>
      </c>
      <c r="EK128" s="18">
        <f>EJ128*VLOOKUP('Données projet'!$B$15,Paramètres!$A$1:$I$89,3,0)*VLOOKUP('Données projet'!$B$15,Paramètres!$A$1:$I$89,5,0)</f>
        <v>-1.6138983482960614E-13</v>
      </c>
      <c r="EL128" s="14" t="e">
        <f t="shared" si="99"/>
        <v>#NUM!</v>
      </c>
      <c r="EM128" s="22" t="e">
        <f t="shared" si="73"/>
        <v>#NUM!</v>
      </c>
      <c r="EN128" s="60" t="e">
        <f t="shared" si="74"/>
        <v>#NUM!</v>
      </c>
      <c r="EO128" s="60">
        <f ca="1">AVERAGE(OFFSET($EN$3,0,0,'Données projet'!$E$15+1,1))-AVERAGE(OFFSET($H$3,0,0,'Données projet'!$E$15+1,1))</f>
        <v>236.22643401787644</v>
      </c>
      <c r="EP128" s="60">
        <f t="shared" si="100"/>
        <v>188.80444043778022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5.4978954722173515E-14</v>
      </c>
      <c r="FG128" s="14">
        <f t="shared" si="101"/>
        <v>8.8550225887742724E-13</v>
      </c>
      <c r="FH128" s="22">
        <f t="shared" si="76"/>
        <v>1.6380047803526383E-12</v>
      </c>
      <c r="FI128" s="60">
        <f t="shared" si="77"/>
        <v>293.33333333333496</v>
      </c>
      <c r="FJ128" s="60">
        <f ca="1">AVERAGE(OFFSET($FI$3,0,0,'Données projet'!$E$16+1,1))-AVERAGE(OFFSET($H$3,0,0,'Données projet'!$E$16+1,1))</f>
        <v>255.59755832175625</v>
      </c>
      <c r="FK128" s="60">
        <f t="shared" si="102"/>
        <v>154.0840647586964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0" t="e">
        <f t="shared" si="80"/>
        <v>#N/A</v>
      </c>
      <c r="GE128" s="60" t="e">
        <f ca="1">AVERAGE(OFFSET($GD$3,0,0,'Données projet'!$E$17+1,1))-AVERAGE(OFFSET($H$3,0,0,'Données projet'!$E$17+1,1))</f>
        <v>#N/A</v>
      </c>
      <c r="GF128" s="60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7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0" t="e">
        <f t="shared" si="83"/>
        <v>#N/A</v>
      </c>
      <c r="GZ128" s="60" t="e">
        <f ca="1">AVERAGE(OFFSET($GY$3,0,0,'Données projet'!$E$18+1,1))-AVERAGE(OFFSET($H$3,0,0,'Données projet'!$E$18+1,1))</f>
        <v>#N/A</v>
      </c>
      <c r="HA128" s="60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5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68">
        <f t="shared" si="56"/>
        <v>256.66666666666669</v>
      </c>
      <c r="I129" s="7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0" t="e">
        <f t="shared" si="55"/>
        <v>#NUM!</v>
      </c>
      <c r="S129" s="60">
        <f ca="1">AVERAGE(OFFSET($R$3,0,0,'Données projet'!$E$9+1,1))-AVERAGE(OFFSET($H$3,0,0,'Données projet'!$E$9+1,1))</f>
        <v>64.775385872852041</v>
      </c>
      <c r="T129" s="60">
        <f t="shared" si="88"/>
        <v>201.69061202990468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4.8006290463883943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2.1463670309417676E-16</v>
      </c>
      <c r="AC129" s="24">
        <f t="shared" si="57"/>
        <v>4.8006290463883943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291.22079999999943</v>
      </c>
      <c r="AK129" s="14">
        <f t="shared" si="89"/>
        <v>69.33283666585649</v>
      </c>
      <c r="AL129" s="22">
        <f t="shared" si="58"/>
        <v>627.96425052636573</v>
      </c>
      <c r="AM129" s="60">
        <f t="shared" si="59"/>
        <v>921.29758385969899</v>
      </c>
      <c r="AN129" s="60">
        <f ca="1">AVERAGE(OFFSET($AM$3,0,0,'Données projet'!$E$10+1,1))-AVERAGE(OFFSET($H$3,0,0,'Données projet'!$E$10+1,1))</f>
        <v>475.47920969424894</v>
      </c>
      <c r="AO129" s="60">
        <f t="shared" si="90"/>
        <v>271.73544012419364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7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6.7984728957526396E-14</v>
      </c>
      <c r="BF129" s="14">
        <f t="shared" si="91"/>
        <v>1.0682447123141398E-12</v>
      </c>
      <c r="BG129" s="22">
        <f t="shared" si="61"/>
        <v>1.978932943548152E-12</v>
      </c>
      <c r="BH129" s="60">
        <f t="shared" si="62"/>
        <v>293.3333333333353</v>
      </c>
      <c r="BI129" s="60">
        <f ca="1">AVERAGE(OFFSET($BH$3,0,0,'Données projet'!$E$11+1,1))-AVERAGE(OFFSET($H$3,0,0,'Données projet'!$E$11+1,1))</f>
        <v>260.02504691866199</v>
      </c>
      <c r="BJ129" s="60">
        <f t="shared" si="92"/>
        <v>270.11268336406368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1.4951275032765887</v>
      </c>
      <c r="BQ129" s="23">
        <f>EXP(-LN(2)/25)*BQ128+(1-EXP(-LN(2)/25))/(LN(2)/25)*Calculateur!BL129*Calculateur!BN129*VLOOKUP('Données projet'!$B$11,Paramètres!$A$1:$I$89,3,0)*0.475*44/12</f>
        <v>1.1477358273309706</v>
      </c>
      <c r="BR129" s="23">
        <f>EXP(-LN(2)/2)*BR128+(1-EXP(-LN(2)/2))/(LN(2)/2)*BL129*BO129*VLOOKUP('Données projet'!$B$11,Paramètres!$A$1:$I$89,3,0)*0.475*44/12</f>
        <v>2.2524065975644603E-14</v>
      </c>
      <c r="BS129" s="24">
        <f t="shared" si="63"/>
        <v>2.6428633306075819</v>
      </c>
      <c r="BT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5.1159076974727213E-13</v>
      </c>
      <c r="BZ129" s="14">
        <f>BY129*VLOOKUP('Données projet'!$B$12,Paramètres!$A$1:$I$89,3,0)*VLOOKUP('Données projet'!$B$12,Paramètres!$A$1:$I$89,5,0)</f>
        <v>2.3942448024172334E-13</v>
      </c>
      <c r="CA129" s="14">
        <f t="shared" si="93"/>
        <v>3.2492669905861755E-12</v>
      </c>
      <c r="CB129" s="22">
        <f t="shared" si="64"/>
        <v>6.0761376450252565E-12</v>
      </c>
      <c r="CC129" s="60">
        <f t="shared" si="65"/>
        <v>293.3333333333394</v>
      </c>
      <c r="CD129" s="60">
        <f ca="1">AVERAGE(OFFSET($CC$3,0,0,'Données projet'!$E$12+1,1))-AVERAGE(OFFSET($H$3,0,0,'Données projet'!$E$12+1,1))</f>
        <v>246.72166704460847</v>
      </c>
      <c r="CE129" s="60">
        <f t="shared" si="94"/>
        <v>145.54897745089966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3.2</v>
      </c>
      <c r="CT129" s="13">
        <f>IF('Données projet'!$A$140&gt;35,CT128+CS129-DB128,IF(A129&lt;'Données projet'!$A$140,$CQ$205^A129,IF(A129='Données projet'!$A$140,'Données projet'!$B$140,CT128+CS129-DB128)))</f>
        <v>287.19999999999942</v>
      </c>
      <c r="CU129" s="18">
        <f>CT129*VLOOKUP('Données projet'!$B$13,Paramètres!$A$1:$I$89,3,0)*VLOOKUP('Données projet'!$B$13,Paramètres!$A$1:$I$89,5,0)</f>
        <v>259.85855999999944</v>
      </c>
      <c r="CV129" s="14">
        <f t="shared" si="95"/>
        <v>62.692227709138365</v>
      </c>
      <c r="CW129" s="22">
        <f t="shared" si="67"/>
        <v>561.77595526008167</v>
      </c>
      <c r="CX129" s="60">
        <f t="shared" si="68"/>
        <v>855.10928859341493</v>
      </c>
      <c r="CY129" s="60">
        <f ca="1">AVERAGE(OFFSET($CX$3,0,0,'Données projet'!$E$13+1,1))-AVERAGE(OFFSET($H$3,0,0,'Données projet'!$E$13+1,1))</f>
        <v>428.8489304403459</v>
      </c>
      <c r="CZ129" s="60">
        <f t="shared" si="96"/>
        <v>247.01165577562966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2.6282051282051269</v>
      </c>
      <c r="DO129" s="13">
        <f>IF('Données projet'!$A$166&gt;35,DO128+DN129-DW128,IF(A129&lt;'Données projet'!$A$166,$DL$205^A129,IF(A129='Données projet'!$A$166,'Données projet'!$B$166,DO128+DN129-DW128)))</f>
        <v>328.58974358974302</v>
      </c>
      <c r="DP129" s="18">
        <f>DO129*VLOOKUP('Données projet'!$B$14,Paramètres!$A$1:$I$89,3,0)*VLOOKUP('Données projet'!$B$14,Paramètres!$A$1:$I$89,5,0)</f>
        <v>343.44199999999944</v>
      </c>
      <c r="DQ129" s="14">
        <f t="shared" si="97"/>
        <v>80.210667988811437</v>
      </c>
      <c r="DR129" s="22">
        <f t="shared" si="70"/>
        <v>737.86173008051219</v>
      </c>
      <c r="DS129" s="60">
        <f t="shared" si="71"/>
        <v>1031.1950634138454</v>
      </c>
      <c r="DT129" s="60">
        <f ca="1">AVERAGE(OFFSET($DS$3,0,0,'Données projet'!$E$14+1,1))-AVERAGE(OFFSET($H$3,0,0,'Données projet'!$E$14+1,1))</f>
        <v>493.70175665335978</v>
      </c>
      <c r="DU129" s="60">
        <f t="shared" si="98"/>
        <v>325.12357781685949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-1.9895196601282805E-13</v>
      </c>
      <c r="EK129" s="18">
        <f>EJ129*VLOOKUP('Données projet'!$B$15,Paramètres!$A$1:$I$89,3,0)*VLOOKUP('Données projet'!$B$15,Paramètres!$A$1:$I$89,5,0)</f>
        <v>-1.6138983482960614E-13</v>
      </c>
      <c r="EL129" s="14" t="e">
        <f t="shared" si="99"/>
        <v>#NUM!</v>
      </c>
      <c r="EM129" s="22" t="e">
        <f t="shared" si="73"/>
        <v>#NUM!</v>
      </c>
      <c r="EN129" s="60" t="e">
        <f t="shared" si="74"/>
        <v>#NUM!</v>
      </c>
      <c r="EO129" s="60">
        <f ca="1">AVERAGE(OFFSET($EN$3,0,0,'Données projet'!$E$15+1,1))-AVERAGE(OFFSET($H$3,0,0,'Données projet'!$E$15+1,1))</f>
        <v>236.22643401787644</v>
      </c>
      <c r="EP129" s="60">
        <f t="shared" si="100"/>
        <v>188.80444043778022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5.4978954722173515E-14</v>
      </c>
      <c r="FG129" s="14">
        <f t="shared" si="101"/>
        <v>8.8550225887742724E-13</v>
      </c>
      <c r="FH129" s="22">
        <f t="shared" si="76"/>
        <v>1.6380047803526383E-12</v>
      </c>
      <c r="FI129" s="60">
        <f t="shared" si="77"/>
        <v>293.33333333333496</v>
      </c>
      <c r="FJ129" s="60">
        <f ca="1">AVERAGE(OFFSET($FI$3,0,0,'Données projet'!$E$16+1,1))-AVERAGE(OFFSET($H$3,0,0,'Données projet'!$E$16+1,1))</f>
        <v>255.59755832175625</v>
      </c>
      <c r="FK129" s="60">
        <f t="shared" si="102"/>
        <v>154.0840647586964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0" t="e">
        <f t="shared" si="80"/>
        <v>#N/A</v>
      </c>
      <c r="GE129" s="60" t="e">
        <f ca="1">AVERAGE(OFFSET($GD$3,0,0,'Données projet'!$E$17+1,1))-AVERAGE(OFFSET($H$3,0,0,'Données projet'!$E$17+1,1))</f>
        <v>#N/A</v>
      </c>
      <c r="GF129" s="60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7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0" t="e">
        <f t="shared" si="83"/>
        <v>#N/A</v>
      </c>
      <c r="GZ129" s="60" t="e">
        <f ca="1">AVERAGE(OFFSET($GY$3,0,0,'Données projet'!$E$18+1,1))-AVERAGE(OFFSET($H$3,0,0,'Données projet'!$E$18+1,1))</f>
        <v>#N/A</v>
      </c>
      <c r="HA129" s="60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5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68">
        <f t="shared" si="56"/>
        <v>256.66666666666669</v>
      </c>
      <c r="I130" s="7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0" t="e">
        <f t="shared" si="55"/>
        <v>#NUM!</v>
      </c>
      <c r="S130" s="60">
        <f ca="1">AVERAGE(OFFSET($R$3,0,0,'Données projet'!$E$9+1,1))-AVERAGE(OFFSET($H$3,0,0,'Données projet'!$E$9+1,1))</f>
        <v>64.775385872852041</v>
      </c>
      <c r="T130" s="60">
        <f t="shared" si="88"/>
        <v>201.69061202990468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4.7064916388833105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1.5177106824941602E-16</v>
      </c>
      <c r="AC130" s="24">
        <f t="shared" si="57"/>
        <v>4.7064916388833105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294.46559999999943</v>
      </c>
      <c r="AK130" s="14">
        <f t="shared" si="89"/>
        <v>70.0149863201041</v>
      </c>
      <c r="AL130" s="22">
        <f t="shared" si="58"/>
        <v>634.80368784084692</v>
      </c>
      <c r="AM130" s="60">
        <f t="shared" si="59"/>
        <v>928.13702117418029</v>
      </c>
      <c r="AN130" s="60">
        <f ca="1">AVERAGE(OFFSET($AM$3,0,0,'Données projet'!$E$10+1,1))-AVERAGE(OFFSET($H$3,0,0,'Données projet'!$E$10+1,1))</f>
        <v>475.47920969424894</v>
      </c>
      <c r="AO130" s="60">
        <f t="shared" si="90"/>
        <v>271.73544012419364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7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6.7984728957526396E-14</v>
      </c>
      <c r="BF130" s="14">
        <f t="shared" si="91"/>
        <v>1.0682447123141398E-12</v>
      </c>
      <c r="BG130" s="22">
        <f t="shared" si="61"/>
        <v>1.978932943548152E-12</v>
      </c>
      <c r="BH130" s="60">
        <f t="shared" si="62"/>
        <v>293.3333333333353</v>
      </c>
      <c r="BI130" s="60">
        <f ca="1">AVERAGE(OFFSET($BH$3,0,0,'Données projet'!$E$11+1,1))-AVERAGE(OFFSET($H$3,0,0,'Données projet'!$E$11+1,1))</f>
        <v>260.02504691866199</v>
      </c>
      <c r="BJ130" s="60">
        <f t="shared" si="92"/>
        <v>270.11268336406368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1.4658089648750654</v>
      </c>
      <c r="BQ130" s="23">
        <f>EXP(-LN(2)/25)*BQ129+(1-EXP(-LN(2)/25))/(LN(2)/25)*Calculateur!BL130*Calculateur!BN130*VLOOKUP('Données projet'!$B$11,Paramètres!$A$1:$I$89,3,0)*0.475*44/12</f>
        <v>1.1163509307758013</v>
      </c>
      <c r="BR130" s="23">
        <f>EXP(-LN(2)/2)*BR129+(1-EXP(-LN(2)/2))/(LN(2)/2)*BL130*BO130*VLOOKUP('Données projet'!$B$11,Paramètres!$A$1:$I$89,3,0)*0.475*44/12</f>
        <v>1.5926919791271488E-14</v>
      </c>
      <c r="BS130" s="24">
        <f t="shared" si="63"/>
        <v>2.5821598956508827</v>
      </c>
      <c r="BT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5.1159076974727213E-13</v>
      </c>
      <c r="BZ130" s="14">
        <f>BY130*VLOOKUP('Données projet'!$B$12,Paramètres!$A$1:$I$89,3,0)*VLOOKUP('Données projet'!$B$12,Paramètres!$A$1:$I$89,5,0)</f>
        <v>2.3942448024172334E-13</v>
      </c>
      <c r="CA130" s="14">
        <f t="shared" si="93"/>
        <v>3.2492669905861755E-12</v>
      </c>
      <c r="CB130" s="22">
        <f t="shared" si="64"/>
        <v>6.0761376450252565E-12</v>
      </c>
      <c r="CC130" s="60">
        <f t="shared" si="65"/>
        <v>293.3333333333394</v>
      </c>
      <c r="CD130" s="60">
        <f ca="1">AVERAGE(OFFSET($CC$3,0,0,'Données projet'!$E$12+1,1))-AVERAGE(OFFSET($H$3,0,0,'Données projet'!$E$12+1,1))</f>
        <v>246.72166704460847</v>
      </c>
      <c r="CE130" s="60">
        <f t="shared" si="94"/>
        <v>145.54897745089966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3.2</v>
      </c>
      <c r="CT130" s="13">
        <f>IF('Données projet'!$A$140&gt;35,CT129+CS130-DB129,IF(A130&lt;'Données projet'!$A$140,$CQ$205^A130,IF(A130='Données projet'!$A$140,'Données projet'!$B$140,CT129+CS130-DB129)))</f>
        <v>290.39999999999941</v>
      </c>
      <c r="CU130" s="18">
        <f>CT130*VLOOKUP('Données projet'!$B$13,Paramètres!$A$1:$I$89,3,0)*VLOOKUP('Données projet'!$B$13,Paramètres!$A$1:$I$89,5,0)</f>
        <v>262.75391999999948</v>
      </c>
      <c r="CV130" s="14">
        <f t="shared" si="95"/>
        <v>63.309041956360211</v>
      </c>
      <c r="CW130" s="22">
        <f t="shared" si="67"/>
        <v>567.89299207399313</v>
      </c>
      <c r="CX130" s="60">
        <f t="shared" si="68"/>
        <v>861.22632540732639</v>
      </c>
      <c r="CY130" s="60">
        <f ca="1">AVERAGE(OFFSET($CX$3,0,0,'Données projet'!$E$13+1,1))-AVERAGE(OFFSET($H$3,0,0,'Données projet'!$E$13+1,1))</f>
        <v>428.8489304403459</v>
      </c>
      <c r="CZ130" s="60">
        <f t="shared" si="96"/>
        <v>247.01165577562966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2.6282051282051269</v>
      </c>
      <c r="DO130" s="13">
        <f>IF('Données projet'!$A$166&gt;35,DO129+DN130-DW129,IF(A130&lt;'Données projet'!$A$166,$DL$205^A130,IF(A130='Données projet'!$A$166,'Données projet'!$B$166,DO129+DN130-DW129)))</f>
        <v>331.21794871794816</v>
      </c>
      <c r="DP130" s="18">
        <f>DO130*VLOOKUP('Données projet'!$B$14,Paramètres!$A$1:$I$89,3,0)*VLOOKUP('Données projet'!$B$14,Paramètres!$A$1:$I$89,5,0)</f>
        <v>346.18899999999945</v>
      </c>
      <c r="DQ130" s="14">
        <f t="shared" si="97"/>
        <v>80.77728744058544</v>
      </c>
      <c r="DR130" s="22">
        <f t="shared" si="70"/>
        <v>743.63295062568523</v>
      </c>
      <c r="DS130" s="60">
        <f t="shared" si="71"/>
        <v>1036.9662839590185</v>
      </c>
      <c r="DT130" s="60">
        <f ca="1">AVERAGE(OFFSET($DS$3,0,0,'Données projet'!$E$14+1,1))-AVERAGE(OFFSET($H$3,0,0,'Données projet'!$E$14+1,1))</f>
        <v>493.70175665335978</v>
      </c>
      <c r="DU130" s="60">
        <f t="shared" si="98"/>
        <v>325.12357781685949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-1.9895196601282805E-13</v>
      </c>
      <c r="EK130" s="18">
        <f>EJ130*VLOOKUP('Données projet'!$B$15,Paramètres!$A$1:$I$89,3,0)*VLOOKUP('Données projet'!$B$15,Paramètres!$A$1:$I$89,5,0)</f>
        <v>-1.6138983482960614E-13</v>
      </c>
      <c r="EL130" s="14" t="e">
        <f t="shared" si="99"/>
        <v>#NUM!</v>
      </c>
      <c r="EM130" s="22" t="e">
        <f t="shared" si="73"/>
        <v>#NUM!</v>
      </c>
      <c r="EN130" s="60" t="e">
        <f t="shared" si="74"/>
        <v>#NUM!</v>
      </c>
      <c r="EO130" s="60">
        <f ca="1">AVERAGE(OFFSET($EN$3,0,0,'Données projet'!$E$15+1,1))-AVERAGE(OFFSET($H$3,0,0,'Données projet'!$E$15+1,1))</f>
        <v>236.22643401787644</v>
      </c>
      <c r="EP130" s="60">
        <f t="shared" si="100"/>
        <v>188.80444043778022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5.4978954722173515E-14</v>
      </c>
      <c r="FG130" s="14">
        <f t="shared" si="101"/>
        <v>8.8550225887742724E-13</v>
      </c>
      <c r="FH130" s="22">
        <f t="shared" si="76"/>
        <v>1.6380047803526383E-12</v>
      </c>
      <c r="FI130" s="60">
        <f t="shared" si="77"/>
        <v>293.33333333333496</v>
      </c>
      <c r="FJ130" s="60">
        <f ca="1">AVERAGE(OFFSET($FI$3,0,0,'Données projet'!$E$16+1,1))-AVERAGE(OFFSET($H$3,0,0,'Données projet'!$E$16+1,1))</f>
        <v>255.59755832175625</v>
      </c>
      <c r="FK130" s="60">
        <f t="shared" si="102"/>
        <v>154.0840647586964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0" t="e">
        <f t="shared" si="80"/>
        <v>#N/A</v>
      </c>
      <c r="GE130" s="60" t="e">
        <f ca="1">AVERAGE(OFFSET($GD$3,0,0,'Données projet'!$E$17+1,1))-AVERAGE(OFFSET($H$3,0,0,'Données projet'!$E$17+1,1))</f>
        <v>#N/A</v>
      </c>
      <c r="GF130" s="60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7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0" t="e">
        <f t="shared" si="83"/>
        <v>#N/A</v>
      </c>
      <c r="GZ130" s="60" t="e">
        <f ca="1">AVERAGE(OFFSET($GY$3,0,0,'Données projet'!$E$18+1,1))-AVERAGE(OFFSET($H$3,0,0,'Données projet'!$E$18+1,1))</f>
        <v>#N/A</v>
      </c>
      <c r="HA130" s="60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5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68">
        <f t="shared" si="56"/>
        <v>256.66666666666669</v>
      </c>
      <c r="I131" s="7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0" t="e">
        <f t="shared" ref="R131:R194" si="109">Q131+(I131+J131)*44/12</f>
        <v>#NUM!</v>
      </c>
      <c r="S131" s="60">
        <f ca="1">AVERAGE(OFFSET($R$3,0,0,'Données projet'!$E$9+1,1))-AVERAGE(OFFSET($H$3,0,0,'Données projet'!$E$9+1,1))</f>
        <v>64.775385872852041</v>
      </c>
      <c r="T131" s="60">
        <f t="shared" si="88"/>
        <v>201.69061202990468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4.614200208521253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1.0731835154708838E-16</v>
      </c>
      <c r="AC131" s="24">
        <f t="shared" si="57"/>
        <v>4.614200208521253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297.71039999999937</v>
      </c>
      <c r="AK131" s="14">
        <f t="shared" si="89"/>
        <v>70.696261560936534</v>
      </c>
      <c r="AL131" s="22">
        <f t="shared" si="58"/>
        <v>641.64160221862994</v>
      </c>
      <c r="AM131" s="60">
        <f t="shared" si="59"/>
        <v>934.9749355519632</v>
      </c>
      <c r="AN131" s="60">
        <f ca="1">AVERAGE(OFFSET($AM$3,0,0,'Données projet'!$E$10+1,1))-AVERAGE(OFFSET($H$3,0,0,'Données projet'!$E$10+1,1))</f>
        <v>475.47920969424894</v>
      </c>
      <c r="AO131" s="60">
        <f t="shared" si="90"/>
        <v>271.73544012419364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7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6.7984728957526396E-14</v>
      </c>
      <c r="BF131" s="14">
        <f t="shared" si="91"/>
        <v>1.0682447123141398E-12</v>
      </c>
      <c r="BG131" s="22">
        <f t="shared" si="61"/>
        <v>1.978932943548152E-12</v>
      </c>
      <c r="BH131" s="60">
        <f t="shared" si="62"/>
        <v>293.3333333333353</v>
      </c>
      <c r="BI131" s="60">
        <f ca="1">AVERAGE(OFFSET($BH$3,0,0,'Données projet'!$E$11+1,1))-AVERAGE(OFFSET($H$3,0,0,'Données projet'!$E$11+1,1))</f>
        <v>260.02504691866199</v>
      </c>
      <c r="BJ131" s="60">
        <f t="shared" si="92"/>
        <v>270.11268336406368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1.4370653451290534</v>
      </c>
      <c r="BQ131" s="23">
        <f>EXP(-LN(2)/25)*BQ130+(1-EXP(-LN(2)/25))/(LN(2)/25)*Calculateur!BL131*Calculateur!BN131*VLOOKUP('Données projet'!$B$11,Paramètres!$A$1:$I$89,3,0)*0.475*44/12</f>
        <v>1.085824255867393</v>
      </c>
      <c r="BR131" s="23">
        <f>EXP(-LN(2)/2)*BR130+(1-EXP(-LN(2)/2))/(LN(2)/2)*BL131*BO131*VLOOKUP('Données projet'!$B$11,Paramètres!$A$1:$I$89,3,0)*0.475*44/12</f>
        <v>1.1262032987822301E-14</v>
      </c>
      <c r="BS131" s="24">
        <f t="shared" si="63"/>
        <v>2.5228896009964576</v>
      </c>
      <c r="BT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5.1159076974727213E-13</v>
      </c>
      <c r="BZ131" s="14">
        <f>BY131*VLOOKUP('Données projet'!$B$12,Paramètres!$A$1:$I$89,3,0)*VLOOKUP('Données projet'!$B$12,Paramètres!$A$1:$I$89,5,0)</f>
        <v>2.3942448024172334E-13</v>
      </c>
      <c r="CA131" s="14">
        <f t="shared" si="93"/>
        <v>3.2492669905861755E-12</v>
      </c>
      <c r="CB131" s="22">
        <f t="shared" si="64"/>
        <v>6.0761376450252565E-12</v>
      </c>
      <c r="CC131" s="60">
        <f t="shared" si="65"/>
        <v>293.3333333333394</v>
      </c>
      <c r="CD131" s="60">
        <f ca="1">AVERAGE(OFFSET($CC$3,0,0,'Données projet'!$E$12+1,1))-AVERAGE(OFFSET($H$3,0,0,'Données projet'!$E$12+1,1))</f>
        <v>246.72166704460847</v>
      </c>
      <c r="CE131" s="60">
        <f t="shared" si="94"/>
        <v>145.54897745089966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3.2</v>
      </c>
      <c r="CT131" s="13">
        <f>IF('Données projet'!$A$140&gt;35,CT130+CS131-DB130,IF(A131&lt;'Données projet'!$A$140,$CQ$205^A131,IF(A131='Données projet'!$A$140,'Données projet'!$B$140,CT130+CS131-DB130)))</f>
        <v>293.5999999999994</v>
      </c>
      <c r="CU131" s="18">
        <f>CT131*VLOOKUP('Données projet'!$B$13,Paramètres!$A$1:$I$89,3,0)*VLOOKUP('Données projet'!$B$13,Paramètres!$A$1:$I$89,5,0)</f>
        <v>265.64927999999946</v>
      </c>
      <c r="CV131" s="14">
        <f t="shared" si="95"/>
        <v>63.925065540346907</v>
      </c>
      <c r="CW131" s="22">
        <f t="shared" si="67"/>
        <v>574.00865181610322</v>
      </c>
      <c r="CX131" s="60">
        <f t="shared" si="68"/>
        <v>867.3419851494366</v>
      </c>
      <c r="CY131" s="60">
        <f ca="1">AVERAGE(OFFSET($CX$3,0,0,'Données projet'!$E$13+1,1))-AVERAGE(OFFSET($H$3,0,0,'Données projet'!$E$13+1,1))</f>
        <v>428.8489304403459</v>
      </c>
      <c r="CZ131" s="60">
        <f t="shared" si="96"/>
        <v>247.01165577562966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2.6282051282051269</v>
      </c>
      <c r="DO131" s="13">
        <f>IF('Données projet'!$A$166&gt;35,DO130+DN131-DW130,IF(A131&lt;'Données projet'!$A$166,$DL$205^A131,IF(A131='Données projet'!$A$166,'Données projet'!$B$166,DO130+DN131-DW130)))</f>
        <v>333.8461538461533</v>
      </c>
      <c r="DP131" s="18">
        <f>DO131*VLOOKUP('Données projet'!$B$14,Paramètres!$A$1:$I$89,3,0)*VLOOKUP('Données projet'!$B$14,Paramètres!$A$1:$I$89,5,0)</f>
        <v>348.93599999999947</v>
      </c>
      <c r="DQ131" s="14">
        <f t="shared" si="97"/>
        <v>81.343383781028564</v>
      </c>
      <c r="DR131" s="22">
        <f t="shared" si="70"/>
        <v>749.40326008529053</v>
      </c>
      <c r="DS131" s="60">
        <f t="shared" si="71"/>
        <v>1042.7365934186239</v>
      </c>
      <c r="DT131" s="60">
        <f ca="1">AVERAGE(OFFSET($DS$3,0,0,'Données projet'!$E$14+1,1))-AVERAGE(OFFSET($H$3,0,0,'Données projet'!$E$14+1,1))</f>
        <v>493.70175665335978</v>
      </c>
      <c r="DU131" s="60">
        <f t="shared" si="98"/>
        <v>325.12357781685949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-1.9895196601282805E-13</v>
      </c>
      <c r="EK131" s="18">
        <f>EJ131*VLOOKUP('Données projet'!$B$15,Paramètres!$A$1:$I$89,3,0)*VLOOKUP('Données projet'!$B$15,Paramètres!$A$1:$I$89,5,0)</f>
        <v>-1.6138983482960614E-13</v>
      </c>
      <c r="EL131" s="14" t="e">
        <f t="shared" si="99"/>
        <v>#NUM!</v>
      </c>
      <c r="EM131" s="22" t="e">
        <f t="shared" si="73"/>
        <v>#NUM!</v>
      </c>
      <c r="EN131" s="60" t="e">
        <f t="shared" si="74"/>
        <v>#NUM!</v>
      </c>
      <c r="EO131" s="60">
        <f ca="1">AVERAGE(OFFSET($EN$3,0,0,'Données projet'!$E$15+1,1))-AVERAGE(OFFSET($H$3,0,0,'Données projet'!$E$15+1,1))</f>
        <v>236.22643401787644</v>
      </c>
      <c r="EP131" s="60">
        <f t="shared" si="100"/>
        <v>188.80444043778022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5.4978954722173515E-14</v>
      </c>
      <c r="FG131" s="14">
        <f t="shared" si="101"/>
        <v>8.8550225887742724E-13</v>
      </c>
      <c r="FH131" s="22">
        <f t="shared" si="76"/>
        <v>1.6380047803526383E-12</v>
      </c>
      <c r="FI131" s="60">
        <f t="shared" si="77"/>
        <v>293.33333333333496</v>
      </c>
      <c r="FJ131" s="60">
        <f ca="1">AVERAGE(OFFSET($FI$3,0,0,'Données projet'!$E$16+1,1))-AVERAGE(OFFSET($H$3,0,0,'Données projet'!$E$16+1,1))</f>
        <v>255.59755832175625</v>
      </c>
      <c r="FK131" s="60">
        <f t="shared" si="102"/>
        <v>154.0840647586964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0" t="e">
        <f t="shared" si="80"/>
        <v>#N/A</v>
      </c>
      <c r="GE131" s="60" t="e">
        <f ca="1">AVERAGE(OFFSET($GD$3,0,0,'Données projet'!$E$17+1,1))-AVERAGE(OFFSET($H$3,0,0,'Données projet'!$E$17+1,1))</f>
        <v>#N/A</v>
      </c>
      <c r="GF131" s="60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7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0" t="e">
        <f t="shared" si="83"/>
        <v>#N/A</v>
      </c>
      <c r="GZ131" s="60" t="e">
        <f ca="1">AVERAGE(OFFSET($GY$3,0,0,'Données projet'!$E$18+1,1))-AVERAGE(OFFSET($H$3,0,0,'Données projet'!$E$18+1,1))</f>
        <v>#N/A</v>
      </c>
      <c r="HA131" s="60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5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68">
        <f t="shared" ref="H132:H195" si="110">(B132+E132+F132)*44/12+(C132+D132)*0.475*44/12</f>
        <v>256.66666666666669</v>
      </c>
      <c r="I132" s="7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0" t="e">
        <f t="shared" si="109"/>
        <v>#NUM!</v>
      </c>
      <c r="S132" s="60">
        <f ca="1">AVERAGE(OFFSET($R$3,0,0,'Données projet'!$E$9+1,1))-AVERAGE(OFFSET($H$3,0,0,'Données projet'!$E$9+1,1))</f>
        <v>64.775385872852041</v>
      </c>
      <c r="T132" s="60">
        <f t="shared" si="88"/>
        <v>201.69061202990468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4.5237185568163811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7.5885534124708008E-17</v>
      </c>
      <c r="AC132" s="24">
        <f t="shared" ref="AC132:AC153" si="111">SUM(Z132:AB132)</f>
        <v>4.5237185568163811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300.95519999999942</v>
      </c>
      <c r="AK132" s="14">
        <f t="shared" si="89"/>
        <v>71.376673021759657</v>
      </c>
      <c r="AL132" s="22">
        <f t="shared" ref="AL132:AL153" si="112">(AJ132+AK132)*0.475*44/12</f>
        <v>648.47801217956373</v>
      </c>
      <c r="AM132" s="60">
        <f t="shared" ref="AM132:AM195" si="113">AL132+(AD132+AE132)*44/12</f>
        <v>941.81134551289711</v>
      </c>
      <c r="AN132" s="60">
        <f ca="1">AVERAGE(OFFSET($AM$3,0,0,'Données projet'!$E$10+1,1))-AVERAGE(OFFSET($H$3,0,0,'Données projet'!$E$10+1,1))</f>
        <v>475.47920969424894</v>
      </c>
      <c r="AO132" s="60">
        <f t="shared" si="90"/>
        <v>271.73544012419364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7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6.7984728957526396E-14</v>
      </c>
      <c r="BF132" s="14">
        <f t="shared" si="91"/>
        <v>1.0682447123141398E-12</v>
      </c>
      <c r="BG132" s="22">
        <f t="shared" ref="BG132:BG153" si="115">(BE132+BF132)*0.475*44/12</f>
        <v>1.978932943548152E-12</v>
      </c>
      <c r="BH132" s="60">
        <f t="shared" ref="BH132:BH195" si="116">BG132+(AY132+AZ132)*44/12</f>
        <v>293.3333333333353</v>
      </c>
      <c r="BI132" s="60">
        <f ca="1">AVERAGE(OFFSET($BH$3,0,0,'Données projet'!$E$11+1,1))-AVERAGE(OFFSET($H$3,0,0,'Données projet'!$E$11+1,1))</f>
        <v>260.02504691866199</v>
      </c>
      <c r="BJ132" s="60">
        <f t="shared" si="92"/>
        <v>270.11268336406368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1.4088853702343838</v>
      </c>
      <c r="BQ132" s="23">
        <f>EXP(-LN(2)/25)*BQ131+(1-EXP(-LN(2)/25))/(LN(2)/25)*Calculateur!BL132*Calculateur!BN132*VLOOKUP('Données projet'!$B$11,Paramètres!$A$1:$I$89,3,0)*0.475*44/12</f>
        <v>1.0561323344896831</v>
      </c>
      <c r="BR132" s="23">
        <f>EXP(-LN(2)/2)*BR131+(1-EXP(-LN(2)/2))/(LN(2)/2)*BL132*BO132*VLOOKUP('Données projet'!$B$11,Paramètres!$A$1:$I$89,3,0)*0.475*44/12</f>
        <v>7.963459895635744E-15</v>
      </c>
      <c r="BS132" s="24">
        <f t="shared" ref="BS132:BS153" si="117">SUM(BP132:BR132)</f>
        <v>2.4650177047240751</v>
      </c>
      <c r="BT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5.1159076974727213E-13</v>
      </c>
      <c r="BZ132" s="14">
        <f>BY132*VLOOKUP('Données projet'!$B$12,Paramètres!$A$1:$I$89,3,0)*VLOOKUP('Données projet'!$B$12,Paramètres!$A$1:$I$89,5,0)</f>
        <v>2.3942448024172334E-13</v>
      </c>
      <c r="CA132" s="14">
        <f t="shared" si="93"/>
        <v>3.2492669905861755E-12</v>
      </c>
      <c r="CB132" s="22">
        <f t="shared" ref="CB132:CB153" si="118">(BZ132+CA132)*0.475*44/12</f>
        <v>6.0761376450252565E-12</v>
      </c>
      <c r="CC132" s="60">
        <f t="shared" ref="CC132:CC195" si="119">CB132+(BT132+BU132)*44/12</f>
        <v>293.3333333333394</v>
      </c>
      <c r="CD132" s="60">
        <f ca="1">AVERAGE(OFFSET($CC$3,0,0,'Données projet'!$E$12+1,1))-AVERAGE(OFFSET($H$3,0,0,'Données projet'!$E$12+1,1))</f>
        <v>246.72166704460847</v>
      </c>
      <c r="CE132" s="60">
        <f t="shared" si="94"/>
        <v>145.54897745089966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3.2</v>
      </c>
      <c r="CT132" s="13">
        <f>IF('Données projet'!$A$140&gt;35,CT131+CS132-DB131,IF(A132&lt;'Données projet'!$A$140,$CQ$205^A132,IF(A132='Données projet'!$A$140,'Données projet'!$B$140,CT131+CS132-DB131)))</f>
        <v>296.79999999999939</v>
      </c>
      <c r="CU132" s="18">
        <f>CT132*VLOOKUP('Données projet'!$B$13,Paramètres!$A$1:$I$89,3,0)*VLOOKUP('Données projet'!$B$13,Paramètres!$A$1:$I$89,5,0)</f>
        <v>268.54463999999945</v>
      </c>
      <c r="CV132" s="14">
        <f t="shared" si="95"/>
        <v>64.540308076050593</v>
      </c>
      <c r="CW132" s="22">
        <f t="shared" ref="CW132:CW153" si="121">(CU132+CV132)*0.475*44/12</f>
        <v>580.12295123245383</v>
      </c>
      <c r="CX132" s="60">
        <f t="shared" ref="CX132:CX195" si="122">CW132+(CO132+CP132)*44/12</f>
        <v>873.4562845657872</v>
      </c>
      <c r="CY132" s="60">
        <f ca="1">AVERAGE(OFFSET($CX$3,0,0,'Données projet'!$E$13+1,1))-AVERAGE(OFFSET($H$3,0,0,'Données projet'!$E$13+1,1))</f>
        <v>428.8489304403459</v>
      </c>
      <c r="CZ132" s="60">
        <f t="shared" si="96"/>
        <v>247.01165577562966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2.6282051282051269</v>
      </c>
      <c r="DO132" s="13">
        <f>IF('Données projet'!$A$166&gt;35,DO131+DN132-DW131,IF(A132&lt;'Données projet'!$A$166,$DL$205^A132,IF(A132='Données projet'!$A$166,'Données projet'!$B$166,DO131+DN132-DW131)))</f>
        <v>336.47435897435844</v>
      </c>
      <c r="DP132" s="18">
        <f>DO132*VLOOKUP('Données projet'!$B$14,Paramètres!$A$1:$I$89,3,0)*VLOOKUP('Données projet'!$B$14,Paramètres!$A$1:$I$89,5,0)</f>
        <v>351.68299999999948</v>
      </c>
      <c r="DQ132" s="14">
        <f t="shared" si="97"/>
        <v>81.908961605684084</v>
      </c>
      <c r="DR132" s="22">
        <f t="shared" ref="DR132:DR153" si="124">(DP132+DQ132)*0.475*44/12</f>
        <v>755.17266646323208</v>
      </c>
      <c r="DS132" s="60">
        <f t="shared" ref="DS132:DS195" si="125">DR132+(DJ132+DK132)*44/12</f>
        <v>1048.5059997965654</v>
      </c>
      <c r="DT132" s="60">
        <f ca="1">AVERAGE(OFFSET($DS$3,0,0,'Données projet'!$E$14+1,1))-AVERAGE(OFFSET($H$3,0,0,'Données projet'!$E$14+1,1))</f>
        <v>493.70175665335978</v>
      </c>
      <c r="DU132" s="60">
        <f t="shared" si="98"/>
        <v>325.12357781685949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-1.9895196601282805E-13</v>
      </c>
      <c r="EK132" s="18">
        <f>EJ132*VLOOKUP('Données projet'!$B$15,Paramètres!$A$1:$I$89,3,0)*VLOOKUP('Données projet'!$B$15,Paramètres!$A$1:$I$89,5,0)</f>
        <v>-1.6138983482960614E-13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0" t="e">
        <f t="shared" ref="EN132:EN195" si="128">EM132+(EE132+EF132)*44/12</f>
        <v>#NUM!</v>
      </c>
      <c r="EO132" s="60">
        <f ca="1">AVERAGE(OFFSET($EN$3,0,0,'Données projet'!$E$15+1,1))-AVERAGE(OFFSET($H$3,0,0,'Données projet'!$E$15+1,1))</f>
        <v>236.22643401787644</v>
      </c>
      <c r="EP132" s="60">
        <f t="shared" si="100"/>
        <v>188.80444043778022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5.4978954722173515E-14</v>
      </c>
      <c r="FG132" s="14">
        <f t="shared" si="101"/>
        <v>8.8550225887742724E-13</v>
      </c>
      <c r="FH132" s="22">
        <f t="shared" ref="FH132:FH153" si="130">(FF132+FG132)*0.475*44/12</f>
        <v>1.6380047803526383E-12</v>
      </c>
      <c r="FI132" s="60">
        <f t="shared" ref="FI132:FI195" si="131">FH132+(EZ132+FA132)*44/12</f>
        <v>293.33333333333496</v>
      </c>
      <c r="FJ132" s="60">
        <f ca="1">AVERAGE(OFFSET($FI$3,0,0,'Données projet'!$E$16+1,1))-AVERAGE(OFFSET($H$3,0,0,'Données projet'!$E$16+1,1))</f>
        <v>255.59755832175625</v>
      </c>
      <c r="FK132" s="60">
        <f t="shared" si="102"/>
        <v>154.0840647586964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0" t="e">
        <f t="shared" ref="GD132:GD195" si="134">GC132+(FU132+FV132)*44/12</f>
        <v>#N/A</v>
      </c>
      <c r="GE132" s="60" t="e">
        <f ca="1">AVERAGE(OFFSET($GD$3,0,0,'Données projet'!$E$17+1,1))-AVERAGE(OFFSET($H$3,0,0,'Données projet'!$E$17+1,1))</f>
        <v>#N/A</v>
      </c>
      <c r="GF132" s="60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7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0" t="e">
        <f t="shared" ref="GY132:GY195" si="137">GX132+(GP132+GQ132)*44/12</f>
        <v>#N/A</v>
      </c>
      <c r="GZ132" s="60" t="e">
        <f ca="1">AVERAGE(OFFSET($GY$3,0,0,'Données projet'!$E$18+1,1))-AVERAGE(OFFSET($H$3,0,0,'Données projet'!$E$18+1,1))</f>
        <v>#N/A</v>
      </c>
      <c r="HA132" s="60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5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68">
        <f t="shared" si="110"/>
        <v>256.66666666666669</v>
      </c>
      <c r="I133" s="7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0" t="e">
        <f t="shared" si="109"/>
        <v>#NUM!</v>
      </c>
      <c r="S133" s="60">
        <f ca="1">AVERAGE(OFFSET($R$3,0,0,'Données projet'!$E$9+1,1))-AVERAGE(OFFSET($H$3,0,0,'Données projet'!$E$9+1,1))</f>
        <v>64.775385872852041</v>
      </c>
      <c r="T133" s="60">
        <f t="shared" ref="T133:T196" si="142">$T$3</f>
        <v>201.69061202990468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4.4350111951130833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5.3659175773544191E-17</v>
      </c>
      <c r="AC133" s="24">
        <f t="shared" si="111"/>
        <v>4.4350111951130833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304.19999999999936</v>
      </c>
      <c r="AK133" s="14">
        <f t="shared" ref="AK133:AK153" si="143">EXP(-1.0587+0.8836*LN(AJ133)+0.284)</f>
        <v>72.056231093480946</v>
      </c>
      <c r="AL133" s="22">
        <f t="shared" si="112"/>
        <v>655.31293582114483</v>
      </c>
      <c r="AM133" s="60">
        <f t="shared" si="113"/>
        <v>948.6462691544782</v>
      </c>
      <c r="AN133" s="60">
        <f ca="1">AVERAGE(OFFSET($AM$3,0,0,'Données projet'!$E$10+1,1))-AVERAGE(OFFSET($H$3,0,0,'Données projet'!$E$10+1,1))</f>
        <v>475.47920969424894</v>
      </c>
      <c r="AO133" s="60">
        <f t="shared" ref="AO133:AO196" si="144">$AO$3</f>
        <v>271.73544012419364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7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6.7984728957526396E-14</v>
      </c>
      <c r="BF133" s="14">
        <f t="shared" ref="BF133:BF153" si="145">EXP(-1.0587+0.8836*LN(BE133)+0.284)</f>
        <v>1.0682447123141398E-12</v>
      </c>
      <c r="BG133" s="22">
        <f t="shared" si="115"/>
        <v>1.978932943548152E-12</v>
      </c>
      <c r="BH133" s="60">
        <f t="shared" si="116"/>
        <v>293.3333333333353</v>
      </c>
      <c r="BI133" s="60">
        <f ca="1">AVERAGE(OFFSET($BH$3,0,0,'Données projet'!$E$11+1,1))-AVERAGE(OFFSET($H$3,0,0,'Données projet'!$E$11+1,1))</f>
        <v>260.02504691866199</v>
      </c>
      <c r="BJ133" s="60">
        <f t="shared" ref="BJ133:BJ196" si="146">$BJ$3</f>
        <v>270.11268336406368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1.3812579874593109</v>
      </c>
      <c r="BQ133" s="23">
        <f>EXP(-LN(2)/25)*BQ132+(1-EXP(-LN(2)/25))/(LN(2)/25)*Calculateur!BL133*Calculateur!BN133*VLOOKUP('Données projet'!$B$11,Paramètres!$A$1:$I$89,3,0)*0.475*44/12</f>
        <v>1.027252340263477</v>
      </c>
      <c r="BR133" s="23">
        <f>EXP(-LN(2)/2)*BR132+(1-EXP(-LN(2)/2))/(LN(2)/2)*BL133*BO133*VLOOKUP('Données projet'!$B$11,Paramètres!$A$1:$I$89,3,0)*0.475*44/12</f>
        <v>5.6310164939111507E-15</v>
      </c>
      <c r="BS133" s="24">
        <f t="shared" si="117"/>
        <v>2.4085103277227939</v>
      </c>
      <c r="BT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5.1159076974727213E-13</v>
      </c>
      <c r="BZ133" s="14">
        <f>BY133*VLOOKUP('Données projet'!$B$12,Paramètres!$A$1:$I$89,3,0)*VLOOKUP('Données projet'!$B$12,Paramètres!$A$1:$I$89,5,0)</f>
        <v>2.3942448024172334E-13</v>
      </c>
      <c r="CA133" s="14">
        <f t="shared" ref="CA133:CA153" si="147">EXP(-1.0587+0.8836*LN(BZ133)+0.284)</f>
        <v>3.2492669905861755E-12</v>
      </c>
      <c r="CB133" s="22">
        <f t="shared" si="118"/>
        <v>6.0761376450252565E-12</v>
      </c>
      <c r="CC133" s="60">
        <f t="shared" si="119"/>
        <v>293.3333333333394</v>
      </c>
      <c r="CD133" s="60">
        <f ca="1">AVERAGE(OFFSET($CC$3,0,0,'Données projet'!$E$12+1,1))-AVERAGE(OFFSET($H$3,0,0,'Données projet'!$E$12+1,1))</f>
        <v>246.72166704460847</v>
      </c>
      <c r="CE133" s="60">
        <f t="shared" ref="CE133:CE196" si="148">$CE$3</f>
        <v>145.54897745089966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>
        <f>VLOOKUP(A133,'Données projet'!$A$139:$I$159,2,0)</f>
        <v>300</v>
      </c>
      <c r="CR133" s="13">
        <f>VLOOKUP(A133,'Données projet'!$A$139:$I$159,9,0)</f>
        <v>3.2</v>
      </c>
      <c r="CS133" s="13">
        <f t="array" ref="CS133">INDEX(CR:CR,MIN(IF(ISNUMBER(CR133:CR329),ROW(CR133:CR329),"")))</f>
        <v>3.2</v>
      </c>
      <c r="CT133" s="13">
        <f>IF('Données projet'!$A$140&gt;35,CT132+CS133-DB132,IF(A133&lt;'Données projet'!$A$140,$CQ$205^A133,IF(A133='Données projet'!$A$140,'Données projet'!$B$140,CT132+CS133-DB132)))</f>
        <v>299.99999999999937</v>
      </c>
      <c r="CU133" s="18">
        <f>CT133*VLOOKUP('Données projet'!$B$13,Paramètres!$A$1:$I$89,3,0)*VLOOKUP('Données projet'!$B$13,Paramètres!$A$1:$I$89,5,0)</f>
        <v>271.43999999999943</v>
      </c>
      <c r="CV133" s="14">
        <f t="shared" ref="CV133:CV153" si="149">EXP(-1.0587+0.8836*LN(CU133)+0.284)</f>
        <v>65.154778959151116</v>
      </c>
      <c r="CW133" s="22">
        <f t="shared" si="121"/>
        <v>586.23590668718714</v>
      </c>
      <c r="CX133" s="60">
        <f t="shared" si="122"/>
        <v>879.56924002052051</v>
      </c>
      <c r="CY133" s="60">
        <f ca="1">AVERAGE(OFFSET($CX$3,0,0,'Données projet'!$E$13+1,1))-AVERAGE(OFFSET($H$3,0,0,'Données projet'!$E$13+1,1))</f>
        <v>428.8489304403459</v>
      </c>
      <c r="CZ133" s="60">
        <f t="shared" ref="CZ133:CZ196" si="150">$CZ$3</f>
        <v>247.01165577562966</v>
      </c>
      <c r="DA133" s="16">
        <f>IF(ISNA(VLOOKUP(A133,'Données projet'!$A$139:$I$159,3,0)),0,VLOOKUP(A133,'Données projet'!$A$139:$I$159,3,0))</f>
        <v>11</v>
      </c>
      <c r="DB133" s="16">
        <f>IF(ISNA(VLOOKUP(A133,'Données projet'!$A$139:$I$159,4,0)),0,VLOOKUP(A133,'Données projet'!$A$139:$I$159,4,0))</f>
        <v>31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>
        <f>VLOOKUP(A133,'Données projet'!$A$165:$I$185,2,0)</f>
        <v>339.10256410256409</v>
      </c>
      <c r="DM133" s="13">
        <f>VLOOKUP(A133,'Données projet'!$A$165:$I$185,9,0)</f>
        <v>2.6282051282051269</v>
      </c>
      <c r="DN133" s="13">
        <f t="array" ref="DN133">INDEX(DM:DM,MIN(IF(ISNUMBER(DM133:DM329),ROW(DM133:DM329),"")))</f>
        <v>2.6282051282051269</v>
      </c>
      <c r="DO133" s="13">
        <f>IF('Données projet'!$A$166&gt;35,DO132+DN133-DW132,IF(A133&lt;'Données projet'!$A$166,$DL$205^A133,IF(A133='Données projet'!$A$166,'Données projet'!$B$166,DO132+DN133-DW132)))</f>
        <v>339.10256410256358</v>
      </c>
      <c r="DP133" s="18">
        <f>DO133*VLOOKUP('Données projet'!$B$14,Paramètres!$A$1:$I$89,3,0)*VLOOKUP('Données projet'!$B$14,Paramètres!$A$1:$I$89,5,0)</f>
        <v>354.4299999999995</v>
      </c>
      <c r="DQ133" s="14">
        <f t="shared" ref="DQ133:DQ153" si="151">EXP(-1.0587+0.8836*LN(DP133)+0.284)</f>
        <v>82.474025434157767</v>
      </c>
      <c r="DR133" s="22">
        <f t="shared" si="124"/>
        <v>760.94117763115719</v>
      </c>
      <c r="DS133" s="60">
        <f t="shared" si="125"/>
        <v>1054.2745109644904</v>
      </c>
      <c r="DT133" s="60">
        <f ca="1">AVERAGE(OFFSET($DS$3,0,0,'Données projet'!$E$14+1,1))-AVERAGE(OFFSET($H$3,0,0,'Données projet'!$E$14+1,1))</f>
        <v>493.70175665335978</v>
      </c>
      <c r="DU133" s="60">
        <f t="shared" ref="DU133:DU196" si="152">$DU$3</f>
        <v>325.12357781685949</v>
      </c>
      <c r="DV133" s="16">
        <f>IF(ISNA(VLOOKUP(A133,'Données projet'!$A$165:$I$185,3,0)),0,VLOOKUP(A133,'Données projet'!$A$165:$I$185,3,0))</f>
        <v>11</v>
      </c>
      <c r="DW133" s="16">
        <f>IF(ISNA(VLOOKUP(A133,'Données projet'!$A$165:$I$185,4,0)),0,VLOOKUP(A133,'Données projet'!$A$165:$I$185,4,0))</f>
        <v>339.10256410256409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-1.9895196601282805E-13</v>
      </c>
      <c r="EK133" s="18">
        <f>EJ133*VLOOKUP('Données projet'!$B$15,Paramètres!$A$1:$I$89,3,0)*VLOOKUP('Données projet'!$B$15,Paramètres!$A$1:$I$89,5,0)</f>
        <v>-1.6138983482960614E-13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0" t="e">
        <f t="shared" si="128"/>
        <v>#NUM!</v>
      </c>
      <c r="EO133" s="60">
        <f ca="1">AVERAGE(OFFSET($EN$3,0,0,'Données projet'!$E$15+1,1))-AVERAGE(OFFSET($H$3,0,0,'Données projet'!$E$15+1,1))</f>
        <v>236.22643401787644</v>
      </c>
      <c r="EP133" s="60">
        <f t="shared" ref="EP133:EP196" si="154">$EP$3</f>
        <v>188.80444043778022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5.4978954722173515E-14</v>
      </c>
      <c r="FG133" s="14">
        <f t="shared" ref="FG133:FG153" si="155">EXP(-1.0587+0.8836*LN(FF133)+0.284)</f>
        <v>8.8550225887742724E-13</v>
      </c>
      <c r="FH133" s="22">
        <f t="shared" si="130"/>
        <v>1.6380047803526383E-12</v>
      </c>
      <c r="FI133" s="60">
        <f t="shared" si="131"/>
        <v>293.33333333333496</v>
      </c>
      <c r="FJ133" s="60">
        <f ca="1">AVERAGE(OFFSET($FI$3,0,0,'Données projet'!$E$16+1,1))-AVERAGE(OFFSET($H$3,0,0,'Données projet'!$E$16+1,1))</f>
        <v>255.59755832175625</v>
      </c>
      <c r="FK133" s="60">
        <f t="shared" ref="FK133:FK196" si="156">$FK$3</f>
        <v>154.0840647586964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0" t="e">
        <f t="shared" si="134"/>
        <v>#N/A</v>
      </c>
      <c r="GE133" s="60" t="e">
        <f ca="1">AVERAGE(OFFSET($GD$3,0,0,'Données projet'!$E$17+1,1))-AVERAGE(OFFSET($H$3,0,0,'Données projet'!$E$17+1,1))</f>
        <v>#N/A</v>
      </c>
      <c r="GF133" s="60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7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0" t="e">
        <f t="shared" si="137"/>
        <v>#N/A</v>
      </c>
      <c r="GZ133" s="60" t="e">
        <f ca="1">AVERAGE(OFFSET($GY$3,0,0,'Données projet'!$E$18+1,1))-AVERAGE(OFFSET($H$3,0,0,'Données projet'!$E$18+1,1))</f>
        <v>#N/A</v>
      </c>
      <c r="HA133" s="60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5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68">
        <f t="shared" si="110"/>
        <v>256.66666666666669</v>
      </c>
      <c r="I134" s="7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0" t="e">
        <f t="shared" si="109"/>
        <v>#NUM!</v>
      </c>
      <c r="S134" s="60">
        <f ca="1">AVERAGE(OFFSET($R$3,0,0,'Données projet'!$E$9+1,1))-AVERAGE(OFFSET($H$3,0,0,'Données projet'!$E$9+1,1))</f>
        <v>64.775385872852041</v>
      </c>
      <c r="T134" s="60">
        <f t="shared" si="142"/>
        <v>201.69061202990468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4.3480433306666395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3.7942767062354004E-17</v>
      </c>
      <c r="AC134" s="24">
        <f t="shared" si="111"/>
        <v>4.3480433306666395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275.50379999999939</v>
      </c>
      <c r="AK134" s="14">
        <f t="shared" si="143"/>
        <v>66.015939215007748</v>
      </c>
      <c r="AL134" s="22">
        <f t="shared" si="112"/>
        <v>594.81354579947072</v>
      </c>
      <c r="AM134" s="60">
        <f t="shared" si="113"/>
        <v>888.14687913280409</v>
      </c>
      <c r="AN134" s="60">
        <f ca="1">AVERAGE(OFFSET($AM$3,0,0,'Données projet'!$E$10+1,1))-AVERAGE(OFFSET($H$3,0,0,'Données projet'!$E$10+1,1))</f>
        <v>475.47920969424894</v>
      </c>
      <c r="AO134" s="60">
        <f t="shared" si="144"/>
        <v>271.73544012419364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7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6.7984728957526396E-14</v>
      </c>
      <c r="BF134" s="14">
        <f t="shared" si="145"/>
        <v>1.0682447123141398E-12</v>
      </c>
      <c r="BG134" s="22">
        <f t="shared" si="115"/>
        <v>1.978932943548152E-12</v>
      </c>
      <c r="BH134" s="60">
        <f t="shared" si="116"/>
        <v>293.3333333333353</v>
      </c>
      <c r="BI134" s="60">
        <f ca="1">AVERAGE(OFFSET($BH$3,0,0,'Données projet'!$E$11+1,1))-AVERAGE(OFFSET($H$3,0,0,'Données projet'!$E$11+1,1))</f>
        <v>260.02504691866199</v>
      </c>
      <c r="BJ134" s="60">
        <f t="shared" si="146"/>
        <v>270.11268336406368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1.3541723608094178</v>
      </c>
      <c r="BQ134" s="23">
        <f>EXP(-LN(2)/25)*BQ133+(1-EXP(-LN(2)/25))/(LN(2)/25)*Calculateur!BL134*Calculateur!BN134*VLOOKUP('Données projet'!$B$11,Paramètres!$A$1:$I$89,3,0)*0.475*44/12</f>
        <v>0.99916207099811949</v>
      </c>
      <c r="BR134" s="23">
        <f>EXP(-LN(2)/2)*BR133+(1-EXP(-LN(2)/2))/(LN(2)/2)*BL134*BO134*VLOOKUP('Données projet'!$B$11,Paramètres!$A$1:$I$89,3,0)*0.475*44/12</f>
        <v>3.981729947817872E-15</v>
      </c>
      <c r="BS134" s="24">
        <f t="shared" si="117"/>
        <v>2.3533344318075415</v>
      </c>
      <c r="BT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5.1159076974727213E-13</v>
      </c>
      <c r="BZ134" s="14">
        <f>BY134*VLOOKUP('Données projet'!$B$12,Paramètres!$A$1:$I$89,3,0)*VLOOKUP('Données projet'!$B$12,Paramètres!$A$1:$I$89,5,0)</f>
        <v>2.3942448024172334E-13</v>
      </c>
      <c r="CA134" s="14">
        <f t="shared" si="147"/>
        <v>3.2492669905861755E-12</v>
      </c>
      <c r="CB134" s="22">
        <f t="shared" si="118"/>
        <v>6.0761376450252565E-12</v>
      </c>
      <c r="CC134" s="60">
        <f t="shared" si="119"/>
        <v>293.3333333333394</v>
      </c>
      <c r="CD134" s="60">
        <f ca="1">AVERAGE(OFFSET($CC$3,0,0,'Données projet'!$E$12+1,1))-AVERAGE(OFFSET($H$3,0,0,'Données projet'!$E$12+1,1))</f>
        <v>246.72166704460847</v>
      </c>
      <c r="CE134" s="60">
        <f t="shared" si="148"/>
        <v>145.54897745089966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2.7</v>
      </c>
      <c r="CT134" s="13">
        <f>IF('Données projet'!$A$140&gt;35,CT133+CS134-DB133,IF(A134&lt;'Données projet'!$A$140,$CQ$205^A134,IF(A134='Données projet'!$A$140,'Données projet'!$B$140,CT133+CS134-DB133)))</f>
        <v>271.69999999999936</v>
      </c>
      <c r="CU134" s="18">
        <f>CT134*VLOOKUP('Données projet'!$B$13,Paramètres!$A$1:$I$89,3,0)*VLOOKUP('Données projet'!$B$13,Paramètres!$A$1:$I$89,5,0)</f>
        <v>245.8341599999994</v>
      </c>
      <c r="CV134" s="14">
        <f t="shared" si="149"/>
        <v>59.693018383856675</v>
      </c>
      <c r="CW134" s="22">
        <f t="shared" si="121"/>
        <v>532.12650235188266</v>
      </c>
      <c r="CX134" s="60">
        <f t="shared" si="122"/>
        <v>825.45983568521592</v>
      </c>
      <c r="CY134" s="60">
        <f ca="1">AVERAGE(OFFSET($CX$3,0,0,'Données projet'!$E$13+1,1))-AVERAGE(OFFSET($H$3,0,0,'Données projet'!$E$13+1,1))</f>
        <v>428.8489304403459</v>
      </c>
      <c r="CZ134" s="60">
        <f t="shared" si="150"/>
        <v>247.01165577562966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-5.1159076974727213E-13</v>
      </c>
      <c r="DP134" s="18">
        <f>DO134*VLOOKUP('Données projet'!$B$14,Paramètres!$A$1:$I$89,3,0)*VLOOKUP('Données projet'!$B$14,Paramètres!$A$1:$I$89,5,0)</f>
        <v>-5.3471467253984886E-13</v>
      </c>
      <c r="DQ134" s="14" t="e">
        <f t="shared" si="151"/>
        <v>#NUM!</v>
      </c>
      <c r="DR134" s="22" t="e">
        <f t="shared" si="124"/>
        <v>#NUM!</v>
      </c>
      <c r="DS134" s="60" t="e">
        <f t="shared" si="125"/>
        <v>#NUM!</v>
      </c>
      <c r="DT134" s="60">
        <f ca="1">AVERAGE(OFFSET($DS$3,0,0,'Données projet'!$E$14+1,1))-AVERAGE(OFFSET($H$3,0,0,'Données projet'!$E$14+1,1))</f>
        <v>493.70175665335978</v>
      </c>
      <c r="DU134" s="60">
        <f t="shared" si="152"/>
        <v>325.12357781685949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-1.9895196601282805E-13</v>
      </c>
      <c r="EK134" s="18">
        <f>EJ134*VLOOKUP('Données projet'!$B$15,Paramètres!$A$1:$I$89,3,0)*VLOOKUP('Données projet'!$B$15,Paramètres!$A$1:$I$89,5,0)</f>
        <v>-1.6138983482960614E-13</v>
      </c>
      <c r="EL134" s="14" t="e">
        <f t="shared" si="153"/>
        <v>#NUM!</v>
      </c>
      <c r="EM134" s="22" t="e">
        <f t="shared" si="127"/>
        <v>#NUM!</v>
      </c>
      <c r="EN134" s="60" t="e">
        <f t="shared" si="128"/>
        <v>#NUM!</v>
      </c>
      <c r="EO134" s="60">
        <f ca="1">AVERAGE(OFFSET($EN$3,0,0,'Données projet'!$E$15+1,1))-AVERAGE(OFFSET($H$3,0,0,'Données projet'!$E$15+1,1))</f>
        <v>236.22643401787644</v>
      </c>
      <c r="EP134" s="60">
        <f t="shared" si="154"/>
        <v>188.80444043778022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5.4978954722173515E-14</v>
      </c>
      <c r="FG134" s="14">
        <f t="shared" si="155"/>
        <v>8.8550225887742724E-13</v>
      </c>
      <c r="FH134" s="22">
        <f t="shared" si="130"/>
        <v>1.6380047803526383E-12</v>
      </c>
      <c r="FI134" s="60">
        <f t="shared" si="131"/>
        <v>293.33333333333496</v>
      </c>
      <c r="FJ134" s="60">
        <f ca="1">AVERAGE(OFFSET($FI$3,0,0,'Données projet'!$E$16+1,1))-AVERAGE(OFFSET($H$3,0,0,'Données projet'!$E$16+1,1))</f>
        <v>255.59755832175625</v>
      </c>
      <c r="FK134" s="60">
        <f t="shared" si="156"/>
        <v>154.0840647586964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0" t="e">
        <f t="shared" si="134"/>
        <v>#N/A</v>
      </c>
      <c r="GE134" s="60" t="e">
        <f ca="1">AVERAGE(OFFSET($GD$3,0,0,'Données projet'!$E$17+1,1))-AVERAGE(OFFSET($H$3,0,0,'Données projet'!$E$17+1,1))</f>
        <v>#N/A</v>
      </c>
      <c r="GF134" s="60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7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0" t="e">
        <f t="shared" si="137"/>
        <v>#N/A</v>
      </c>
      <c r="GZ134" s="60" t="e">
        <f ca="1">AVERAGE(OFFSET($GY$3,0,0,'Données projet'!$E$18+1,1))-AVERAGE(OFFSET($H$3,0,0,'Données projet'!$E$18+1,1))</f>
        <v>#N/A</v>
      </c>
      <c r="HA134" s="60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5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68">
        <f t="shared" si="110"/>
        <v>256.66666666666669</v>
      </c>
      <c r="I135" s="7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0" t="e">
        <f t="shared" si="109"/>
        <v>#NUM!</v>
      </c>
      <c r="S135" s="60">
        <f ca="1">AVERAGE(OFFSET($R$3,0,0,'Données projet'!$E$9+1,1))-AVERAGE(OFFSET($H$3,0,0,'Données projet'!$E$9+1,1))</f>
        <v>64.775385872852041</v>
      </c>
      <c r="T135" s="60">
        <f t="shared" si="142"/>
        <v>201.69061202990468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4.2627808529968307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2.6829587886772095E-17</v>
      </c>
      <c r="AC135" s="24">
        <f t="shared" si="111"/>
        <v>4.2627808529968307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278.24159999999938</v>
      </c>
      <c r="AK135" s="14">
        <f t="shared" si="143"/>
        <v>66.595272276139625</v>
      </c>
      <c r="AL135" s="22">
        <f t="shared" si="112"/>
        <v>600.59088588094198</v>
      </c>
      <c r="AM135" s="60">
        <f t="shared" si="113"/>
        <v>893.92421921427535</v>
      </c>
      <c r="AN135" s="60">
        <f ca="1">AVERAGE(OFFSET($AM$3,0,0,'Données projet'!$E$10+1,1))-AVERAGE(OFFSET($H$3,0,0,'Données projet'!$E$10+1,1))</f>
        <v>475.47920969424894</v>
      </c>
      <c r="AO135" s="60">
        <f t="shared" si="144"/>
        <v>271.73544012419364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7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6.7984728957526396E-14</v>
      </c>
      <c r="BF135" s="14">
        <f t="shared" si="145"/>
        <v>1.0682447123141398E-12</v>
      </c>
      <c r="BG135" s="22">
        <f t="shared" si="115"/>
        <v>1.978932943548152E-12</v>
      </c>
      <c r="BH135" s="60">
        <f t="shared" si="116"/>
        <v>293.3333333333353</v>
      </c>
      <c r="BI135" s="60">
        <f ca="1">AVERAGE(OFFSET($BH$3,0,0,'Données projet'!$E$11+1,1))-AVERAGE(OFFSET($H$3,0,0,'Données projet'!$E$11+1,1))</f>
        <v>260.02504691866199</v>
      </c>
      <c r="BJ135" s="60">
        <f t="shared" si="146"/>
        <v>270.11268336406368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1.327617866777528</v>
      </c>
      <c r="BQ135" s="23">
        <f>EXP(-LN(2)/25)*BQ134+(1-EXP(-LN(2)/25))/(LN(2)/25)*Calculateur!BL135*Calculateur!BN135*VLOOKUP('Données projet'!$B$11,Paramètres!$A$1:$I$89,3,0)*0.475*44/12</f>
        <v>0.97183993162302618</v>
      </c>
      <c r="BR135" s="23">
        <f>EXP(-LN(2)/2)*BR134+(1-EXP(-LN(2)/2))/(LN(2)/2)*BL135*BO135*VLOOKUP('Données projet'!$B$11,Paramètres!$A$1:$I$89,3,0)*0.475*44/12</f>
        <v>2.8155082469555753E-15</v>
      </c>
      <c r="BS135" s="24">
        <f t="shared" si="117"/>
        <v>2.2994577984005566</v>
      </c>
      <c r="BT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5.1159076974727213E-13</v>
      </c>
      <c r="BZ135" s="14">
        <f>BY135*VLOOKUP('Données projet'!$B$12,Paramètres!$A$1:$I$89,3,0)*VLOOKUP('Données projet'!$B$12,Paramètres!$A$1:$I$89,5,0)</f>
        <v>2.3942448024172334E-13</v>
      </c>
      <c r="CA135" s="14">
        <f t="shared" si="147"/>
        <v>3.2492669905861755E-12</v>
      </c>
      <c r="CB135" s="22">
        <f t="shared" si="118"/>
        <v>6.0761376450252565E-12</v>
      </c>
      <c r="CC135" s="60">
        <f t="shared" si="119"/>
        <v>293.3333333333394</v>
      </c>
      <c r="CD135" s="60">
        <f ca="1">AVERAGE(OFFSET($CC$3,0,0,'Données projet'!$E$12+1,1))-AVERAGE(OFFSET($H$3,0,0,'Données projet'!$E$12+1,1))</f>
        <v>246.72166704460847</v>
      </c>
      <c r="CE135" s="60">
        <f t="shared" si="148"/>
        <v>145.54897745089966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2.7</v>
      </c>
      <c r="CT135" s="13">
        <f>IF('Données projet'!$A$140&gt;35,CT134+CS135-DB134,IF(A135&lt;'Données projet'!$A$140,$CQ$205^A135,IF(A135='Données projet'!$A$140,'Données projet'!$B$140,CT134+CS135-DB134)))</f>
        <v>274.39999999999935</v>
      </c>
      <c r="CU135" s="18">
        <f>CT135*VLOOKUP('Données projet'!$B$13,Paramètres!$A$1:$I$89,3,0)*VLOOKUP('Données projet'!$B$13,Paramètres!$A$1:$I$89,5,0)</f>
        <v>248.2771199999994</v>
      </c>
      <c r="CV135" s="14">
        <f t="shared" si="149"/>
        <v>60.216863677580257</v>
      </c>
      <c r="CW135" s="22">
        <f t="shared" si="121"/>
        <v>537.29368823845118</v>
      </c>
      <c r="CX135" s="60">
        <f t="shared" si="122"/>
        <v>830.62702157178455</v>
      </c>
      <c r="CY135" s="60">
        <f ca="1">AVERAGE(OFFSET($CX$3,0,0,'Données projet'!$E$13+1,1))-AVERAGE(OFFSET($H$3,0,0,'Données projet'!$E$13+1,1))</f>
        <v>428.8489304403459</v>
      </c>
      <c r="CZ135" s="60">
        <f t="shared" si="150"/>
        <v>247.01165577562966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-5.1159076974727213E-13</v>
      </c>
      <c r="DP135" s="18">
        <f>DO135*VLOOKUP('Données projet'!$B$14,Paramètres!$A$1:$I$89,3,0)*VLOOKUP('Données projet'!$B$14,Paramètres!$A$1:$I$89,5,0)</f>
        <v>-5.3471467253984886E-13</v>
      </c>
      <c r="DQ135" s="14" t="e">
        <f t="shared" si="151"/>
        <v>#NUM!</v>
      </c>
      <c r="DR135" s="22" t="e">
        <f t="shared" si="124"/>
        <v>#NUM!</v>
      </c>
      <c r="DS135" s="60" t="e">
        <f t="shared" si="125"/>
        <v>#NUM!</v>
      </c>
      <c r="DT135" s="60">
        <f ca="1">AVERAGE(OFFSET($DS$3,0,0,'Données projet'!$E$14+1,1))-AVERAGE(OFFSET($H$3,0,0,'Données projet'!$E$14+1,1))</f>
        <v>493.70175665335978</v>
      </c>
      <c r="DU135" s="60">
        <f t="shared" si="152"/>
        <v>325.12357781685949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-1.9895196601282805E-13</v>
      </c>
      <c r="EK135" s="18">
        <f>EJ135*VLOOKUP('Données projet'!$B$15,Paramètres!$A$1:$I$89,3,0)*VLOOKUP('Données projet'!$B$15,Paramètres!$A$1:$I$89,5,0)</f>
        <v>-1.6138983482960614E-13</v>
      </c>
      <c r="EL135" s="14" t="e">
        <f t="shared" si="153"/>
        <v>#NUM!</v>
      </c>
      <c r="EM135" s="22" t="e">
        <f t="shared" si="127"/>
        <v>#NUM!</v>
      </c>
      <c r="EN135" s="60" t="e">
        <f t="shared" si="128"/>
        <v>#NUM!</v>
      </c>
      <c r="EO135" s="60">
        <f ca="1">AVERAGE(OFFSET($EN$3,0,0,'Données projet'!$E$15+1,1))-AVERAGE(OFFSET($H$3,0,0,'Données projet'!$E$15+1,1))</f>
        <v>236.22643401787644</v>
      </c>
      <c r="EP135" s="60">
        <f t="shared" si="154"/>
        <v>188.80444043778022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5.4978954722173515E-14</v>
      </c>
      <c r="FG135" s="14">
        <f t="shared" si="155"/>
        <v>8.8550225887742724E-13</v>
      </c>
      <c r="FH135" s="22">
        <f t="shared" si="130"/>
        <v>1.6380047803526383E-12</v>
      </c>
      <c r="FI135" s="60">
        <f t="shared" si="131"/>
        <v>293.33333333333496</v>
      </c>
      <c r="FJ135" s="60">
        <f ca="1">AVERAGE(OFFSET($FI$3,0,0,'Données projet'!$E$16+1,1))-AVERAGE(OFFSET($H$3,0,0,'Données projet'!$E$16+1,1))</f>
        <v>255.59755832175625</v>
      </c>
      <c r="FK135" s="60">
        <f t="shared" si="156"/>
        <v>154.0840647586964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0" t="e">
        <f t="shared" si="134"/>
        <v>#N/A</v>
      </c>
      <c r="GE135" s="60" t="e">
        <f ca="1">AVERAGE(OFFSET($GD$3,0,0,'Données projet'!$E$17+1,1))-AVERAGE(OFFSET($H$3,0,0,'Données projet'!$E$17+1,1))</f>
        <v>#N/A</v>
      </c>
      <c r="GF135" s="60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7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0" t="e">
        <f t="shared" si="137"/>
        <v>#N/A</v>
      </c>
      <c r="GZ135" s="60" t="e">
        <f ca="1">AVERAGE(OFFSET($GY$3,0,0,'Données projet'!$E$18+1,1))-AVERAGE(OFFSET($H$3,0,0,'Données projet'!$E$18+1,1))</f>
        <v>#N/A</v>
      </c>
      <c r="HA135" s="60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5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68">
        <f t="shared" si="110"/>
        <v>256.66666666666669</v>
      </c>
      <c r="I136" s="7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0" t="e">
        <f t="shared" si="109"/>
        <v>#NUM!</v>
      </c>
      <c r="S136" s="60">
        <f ca="1">AVERAGE(OFFSET($R$3,0,0,'Données projet'!$E$9+1,1))-AVERAGE(OFFSET($H$3,0,0,'Données projet'!$E$9+1,1))</f>
        <v>64.775385872852041</v>
      </c>
      <c r="T136" s="60">
        <f t="shared" si="142"/>
        <v>201.69061202990468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4.179190320509151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1.8971383531177002E-17</v>
      </c>
      <c r="AC136" s="24">
        <f t="shared" si="111"/>
        <v>4.179190320509151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280.97939999999937</v>
      </c>
      <c r="AK136" s="14">
        <f t="shared" si="143"/>
        <v>67.173942175199301</v>
      </c>
      <c r="AL136" s="22">
        <f t="shared" si="112"/>
        <v>606.36707095513759</v>
      </c>
      <c r="AM136" s="60">
        <f t="shared" si="113"/>
        <v>899.70040428847096</v>
      </c>
      <c r="AN136" s="60">
        <f ca="1">AVERAGE(OFFSET($AM$3,0,0,'Données projet'!$E$10+1,1))-AVERAGE(OFFSET($H$3,0,0,'Données projet'!$E$10+1,1))</f>
        <v>475.47920969424894</v>
      </c>
      <c r="AO136" s="60">
        <f t="shared" si="144"/>
        <v>271.73544012419364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7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6.7984728957526396E-14</v>
      </c>
      <c r="BF136" s="14">
        <f t="shared" si="145"/>
        <v>1.0682447123141398E-12</v>
      </c>
      <c r="BG136" s="22">
        <f t="shared" si="115"/>
        <v>1.978932943548152E-12</v>
      </c>
      <c r="BH136" s="60">
        <f t="shared" si="116"/>
        <v>293.3333333333353</v>
      </c>
      <c r="BI136" s="60">
        <f ca="1">AVERAGE(OFFSET($BH$3,0,0,'Données projet'!$E$11+1,1))-AVERAGE(OFFSET($H$3,0,0,'Données projet'!$E$11+1,1))</f>
        <v>260.02504691866199</v>
      </c>
      <c r="BJ136" s="60">
        <f t="shared" si="146"/>
        <v>270.11268336406368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1.3015840901769615</v>
      </c>
      <c r="BQ136" s="23">
        <f>EXP(-LN(2)/25)*BQ135+(1-EXP(-LN(2)/25))/(LN(2)/25)*Calculateur!BL136*Calculateur!BN136*VLOOKUP('Données projet'!$B$11,Paramètres!$A$1:$I$89,3,0)*0.475*44/12</f>
        <v>0.94526491758595366</v>
      </c>
      <c r="BR136" s="23">
        <f>EXP(-LN(2)/2)*BR135+(1-EXP(-LN(2)/2))/(LN(2)/2)*BL136*BO136*VLOOKUP('Données projet'!$B$11,Paramètres!$A$1:$I$89,3,0)*0.475*44/12</f>
        <v>1.990864973908936E-15</v>
      </c>
      <c r="BS136" s="24">
        <f t="shared" si="117"/>
        <v>2.2468490077629171</v>
      </c>
      <c r="BT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5.1159076974727213E-13</v>
      </c>
      <c r="BZ136" s="14">
        <f>BY136*VLOOKUP('Données projet'!$B$12,Paramètres!$A$1:$I$89,3,0)*VLOOKUP('Données projet'!$B$12,Paramètres!$A$1:$I$89,5,0)</f>
        <v>2.3942448024172334E-13</v>
      </c>
      <c r="CA136" s="14">
        <f t="shared" si="147"/>
        <v>3.2492669905861755E-12</v>
      </c>
      <c r="CB136" s="22">
        <f t="shared" si="118"/>
        <v>6.0761376450252565E-12</v>
      </c>
      <c r="CC136" s="60">
        <f t="shared" si="119"/>
        <v>293.3333333333394</v>
      </c>
      <c r="CD136" s="60">
        <f ca="1">AVERAGE(OFFSET($CC$3,0,0,'Données projet'!$E$12+1,1))-AVERAGE(OFFSET($H$3,0,0,'Données projet'!$E$12+1,1))</f>
        <v>246.72166704460847</v>
      </c>
      <c r="CE136" s="60">
        <f t="shared" si="148"/>
        <v>145.54897745089966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2.7</v>
      </c>
      <c r="CT136" s="13">
        <f>IF('Données projet'!$A$140&gt;35,CT135+CS136-DB135,IF(A136&lt;'Données projet'!$A$140,$CQ$205^A136,IF(A136='Données projet'!$A$140,'Données projet'!$B$140,CT135+CS136-DB135)))</f>
        <v>277.09999999999934</v>
      </c>
      <c r="CU136" s="18">
        <f>CT136*VLOOKUP('Données projet'!$B$13,Paramètres!$A$1:$I$89,3,0)*VLOOKUP('Données projet'!$B$13,Paramètres!$A$1:$I$89,5,0)</f>
        <v>250.72007999999943</v>
      </c>
      <c r="CV136" s="14">
        <f t="shared" si="149"/>
        <v>60.740109326032709</v>
      </c>
      <c r="CW136" s="22">
        <f t="shared" si="121"/>
        <v>542.45982974283925</v>
      </c>
      <c r="CX136" s="60">
        <f t="shared" si="122"/>
        <v>835.7931630761725</v>
      </c>
      <c r="CY136" s="60">
        <f ca="1">AVERAGE(OFFSET($CX$3,0,0,'Données projet'!$E$13+1,1))-AVERAGE(OFFSET($H$3,0,0,'Données projet'!$E$13+1,1))</f>
        <v>428.8489304403459</v>
      </c>
      <c r="CZ136" s="60">
        <f t="shared" si="150"/>
        <v>247.01165577562966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-5.1159076974727213E-13</v>
      </c>
      <c r="DP136" s="18">
        <f>DO136*VLOOKUP('Données projet'!$B$14,Paramètres!$A$1:$I$89,3,0)*VLOOKUP('Données projet'!$B$14,Paramètres!$A$1:$I$89,5,0)</f>
        <v>-5.3471467253984886E-13</v>
      </c>
      <c r="DQ136" s="14" t="e">
        <f t="shared" si="151"/>
        <v>#NUM!</v>
      </c>
      <c r="DR136" s="22" t="e">
        <f t="shared" si="124"/>
        <v>#NUM!</v>
      </c>
      <c r="DS136" s="60" t="e">
        <f t="shared" si="125"/>
        <v>#NUM!</v>
      </c>
      <c r="DT136" s="60">
        <f ca="1">AVERAGE(OFFSET($DS$3,0,0,'Données projet'!$E$14+1,1))-AVERAGE(OFFSET($H$3,0,0,'Données projet'!$E$14+1,1))</f>
        <v>493.70175665335978</v>
      </c>
      <c r="DU136" s="60">
        <f t="shared" si="152"/>
        <v>325.12357781685949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-1.9895196601282805E-13</v>
      </c>
      <c r="EK136" s="18">
        <f>EJ136*VLOOKUP('Données projet'!$B$15,Paramètres!$A$1:$I$89,3,0)*VLOOKUP('Données projet'!$B$15,Paramètres!$A$1:$I$89,5,0)</f>
        <v>-1.6138983482960614E-13</v>
      </c>
      <c r="EL136" s="14" t="e">
        <f t="shared" si="153"/>
        <v>#NUM!</v>
      </c>
      <c r="EM136" s="22" t="e">
        <f t="shared" si="127"/>
        <v>#NUM!</v>
      </c>
      <c r="EN136" s="60" t="e">
        <f t="shared" si="128"/>
        <v>#NUM!</v>
      </c>
      <c r="EO136" s="60">
        <f ca="1">AVERAGE(OFFSET($EN$3,0,0,'Données projet'!$E$15+1,1))-AVERAGE(OFFSET($H$3,0,0,'Données projet'!$E$15+1,1))</f>
        <v>236.22643401787644</v>
      </c>
      <c r="EP136" s="60">
        <f t="shared" si="154"/>
        <v>188.80444043778022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5.4978954722173515E-14</v>
      </c>
      <c r="FG136" s="14">
        <f t="shared" si="155"/>
        <v>8.8550225887742724E-13</v>
      </c>
      <c r="FH136" s="22">
        <f t="shared" si="130"/>
        <v>1.6380047803526383E-12</v>
      </c>
      <c r="FI136" s="60">
        <f t="shared" si="131"/>
        <v>293.33333333333496</v>
      </c>
      <c r="FJ136" s="60">
        <f ca="1">AVERAGE(OFFSET($FI$3,0,0,'Données projet'!$E$16+1,1))-AVERAGE(OFFSET($H$3,0,0,'Données projet'!$E$16+1,1))</f>
        <v>255.59755832175625</v>
      </c>
      <c r="FK136" s="60">
        <f t="shared" si="156"/>
        <v>154.0840647586964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0" t="e">
        <f t="shared" si="134"/>
        <v>#N/A</v>
      </c>
      <c r="GE136" s="60" t="e">
        <f ca="1">AVERAGE(OFFSET($GD$3,0,0,'Données projet'!$E$17+1,1))-AVERAGE(OFFSET($H$3,0,0,'Données projet'!$E$17+1,1))</f>
        <v>#N/A</v>
      </c>
      <c r="GF136" s="60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7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0" t="e">
        <f t="shared" si="137"/>
        <v>#N/A</v>
      </c>
      <c r="GZ136" s="60" t="e">
        <f ca="1">AVERAGE(OFFSET($GY$3,0,0,'Données projet'!$E$18+1,1))-AVERAGE(OFFSET($H$3,0,0,'Données projet'!$E$18+1,1))</f>
        <v>#N/A</v>
      </c>
      <c r="HA136" s="60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5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68">
        <f t="shared" si="110"/>
        <v>256.66666666666669</v>
      </c>
      <c r="I137" s="7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0" t="e">
        <f t="shared" si="109"/>
        <v>#NUM!</v>
      </c>
      <c r="S137" s="60">
        <f ca="1">AVERAGE(OFFSET($R$3,0,0,'Données projet'!$E$9+1,1))-AVERAGE(OFFSET($H$3,0,0,'Données projet'!$E$9+1,1))</f>
        <v>64.775385872852041</v>
      </c>
      <c r="T137" s="60">
        <f t="shared" si="142"/>
        <v>201.69061202990468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4.0972389473783641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1.3414793943386048E-17</v>
      </c>
      <c r="AC137" s="24">
        <f t="shared" si="111"/>
        <v>4.0972389473783641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283.71719999999937</v>
      </c>
      <c r="AK137" s="14">
        <f t="shared" si="143"/>
        <v>67.751956122170526</v>
      </c>
      <c r="AL137" s="22">
        <f t="shared" si="112"/>
        <v>612.14211357944589</v>
      </c>
      <c r="AM137" s="60">
        <f t="shared" si="113"/>
        <v>905.47544691277926</v>
      </c>
      <c r="AN137" s="60">
        <f ca="1">AVERAGE(OFFSET($AM$3,0,0,'Données projet'!$E$10+1,1))-AVERAGE(OFFSET($H$3,0,0,'Données projet'!$E$10+1,1))</f>
        <v>475.47920969424894</v>
      </c>
      <c r="AO137" s="60">
        <f t="shared" si="144"/>
        <v>271.73544012419364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7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6.7984728957526396E-14</v>
      </c>
      <c r="BF137" s="14">
        <f t="shared" si="145"/>
        <v>1.0682447123141398E-12</v>
      </c>
      <c r="BG137" s="22">
        <f t="shared" si="115"/>
        <v>1.978932943548152E-12</v>
      </c>
      <c r="BH137" s="60">
        <f t="shared" si="116"/>
        <v>293.3333333333353</v>
      </c>
      <c r="BI137" s="60">
        <f ca="1">AVERAGE(OFFSET($BH$3,0,0,'Données projet'!$E$11+1,1))-AVERAGE(OFFSET($H$3,0,0,'Données projet'!$E$11+1,1))</f>
        <v>260.02504691866199</v>
      </c>
      <c r="BJ137" s="60">
        <f t="shared" si="146"/>
        <v>270.11268336406368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1.2760608200564965</v>
      </c>
      <c r="BQ137" s="23">
        <f>EXP(-LN(2)/25)*BQ136+(1-EXP(-LN(2)/25))/(LN(2)/25)*Calculateur!BL137*Calculateur!BN137*VLOOKUP('Données projet'!$B$11,Paramètres!$A$1:$I$89,3,0)*0.475*44/12</f>
        <v>0.91941659870524417</v>
      </c>
      <c r="BR137" s="23">
        <f>EXP(-LN(2)/2)*BR136+(1-EXP(-LN(2)/2))/(LN(2)/2)*BL137*BO137*VLOOKUP('Données projet'!$B$11,Paramètres!$A$1:$I$89,3,0)*0.475*44/12</f>
        <v>1.4077541234777877E-15</v>
      </c>
      <c r="BS137" s="24">
        <f t="shared" si="117"/>
        <v>2.1954774187617421</v>
      </c>
      <c r="BT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5.1159076974727213E-13</v>
      </c>
      <c r="BZ137" s="14">
        <f>BY137*VLOOKUP('Données projet'!$B$12,Paramètres!$A$1:$I$89,3,0)*VLOOKUP('Données projet'!$B$12,Paramètres!$A$1:$I$89,5,0)</f>
        <v>2.3942448024172334E-13</v>
      </c>
      <c r="CA137" s="14">
        <f t="shared" si="147"/>
        <v>3.2492669905861755E-12</v>
      </c>
      <c r="CB137" s="22">
        <f t="shared" si="118"/>
        <v>6.0761376450252565E-12</v>
      </c>
      <c r="CC137" s="60">
        <f t="shared" si="119"/>
        <v>293.3333333333394</v>
      </c>
      <c r="CD137" s="60">
        <f ca="1">AVERAGE(OFFSET($CC$3,0,0,'Données projet'!$E$12+1,1))-AVERAGE(OFFSET($H$3,0,0,'Données projet'!$E$12+1,1))</f>
        <v>246.72166704460847</v>
      </c>
      <c r="CE137" s="60">
        <f t="shared" si="148"/>
        <v>145.54897745089966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2.7</v>
      </c>
      <c r="CT137" s="13">
        <f>IF('Données projet'!$A$140&gt;35,CT136+CS137-DB136,IF(A137&lt;'Données projet'!$A$140,$CQ$205^A137,IF(A137='Données projet'!$A$140,'Données projet'!$B$140,CT136+CS137-DB136)))</f>
        <v>279.79999999999933</v>
      </c>
      <c r="CU137" s="18">
        <f>CT137*VLOOKUP('Données projet'!$B$13,Paramètres!$A$1:$I$89,3,0)*VLOOKUP('Données projet'!$B$13,Paramètres!$A$1:$I$89,5,0)</f>
        <v>253.16303999999937</v>
      </c>
      <c r="CV137" s="14">
        <f t="shared" si="149"/>
        <v>61.262761848634923</v>
      </c>
      <c r="CW137" s="22">
        <f t="shared" si="121"/>
        <v>547.62493821970475</v>
      </c>
      <c r="CX137" s="60">
        <f t="shared" si="122"/>
        <v>840.958271553038</v>
      </c>
      <c r="CY137" s="60">
        <f ca="1">AVERAGE(OFFSET($CX$3,0,0,'Données projet'!$E$13+1,1))-AVERAGE(OFFSET($H$3,0,0,'Données projet'!$E$13+1,1))</f>
        <v>428.8489304403459</v>
      </c>
      <c r="CZ137" s="60">
        <f t="shared" si="150"/>
        <v>247.01165577562966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-5.1159076974727213E-13</v>
      </c>
      <c r="DP137" s="18">
        <f>DO137*VLOOKUP('Données projet'!$B$14,Paramètres!$A$1:$I$89,3,0)*VLOOKUP('Données projet'!$B$14,Paramètres!$A$1:$I$89,5,0)</f>
        <v>-5.3471467253984886E-13</v>
      </c>
      <c r="DQ137" s="14" t="e">
        <f t="shared" si="151"/>
        <v>#NUM!</v>
      </c>
      <c r="DR137" s="22" t="e">
        <f t="shared" si="124"/>
        <v>#NUM!</v>
      </c>
      <c r="DS137" s="60" t="e">
        <f t="shared" si="125"/>
        <v>#NUM!</v>
      </c>
      <c r="DT137" s="60">
        <f ca="1">AVERAGE(OFFSET($DS$3,0,0,'Données projet'!$E$14+1,1))-AVERAGE(OFFSET($H$3,0,0,'Données projet'!$E$14+1,1))</f>
        <v>493.70175665335978</v>
      </c>
      <c r="DU137" s="60">
        <f t="shared" si="152"/>
        <v>325.12357781685949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-1.9895196601282805E-13</v>
      </c>
      <c r="EK137" s="18">
        <f>EJ137*VLOOKUP('Données projet'!$B$15,Paramètres!$A$1:$I$89,3,0)*VLOOKUP('Données projet'!$B$15,Paramètres!$A$1:$I$89,5,0)</f>
        <v>-1.6138983482960614E-13</v>
      </c>
      <c r="EL137" s="14" t="e">
        <f t="shared" si="153"/>
        <v>#NUM!</v>
      </c>
      <c r="EM137" s="22" t="e">
        <f t="shared" si="127"/>
        <v>#NUM!</v>
      </c>
      <c r="EN137" s="60" t="e">
        <f t="shared" si="128"/>
        <v>#NUM!</v>
      </c>
      <c r="EO137" s="60">
        <f ca="1">AVERAGE(OFFSET($EN$3,0,0,'Données projet'!$E$15+1,1))-AVERAGE(OFFSET($H$3,0,0,'Données projet'!$E$15+1,1))</f>
        <v>236.22643401787644</v>
      </c>
      <c r="EP137" s="60">
        <f t="shared" si="154"/>
        <v>188.80444043778022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5.4978954722173515E-14</v>
      </c>
      <c r="FG137" s="14">
        <f t="shared" si="155"/>
        <v>8.8550225887742724E-13</v>
      </c>
      <c r="FH137" s="22">
        <f t="shared" si="130"/>
        <v>1.6380047803526383E-12</v>
      </c>
      <c r="FI137" s="60">
        <f t="shared" si="131"/>
        <v>293.33333333333496</v>
      </c>
      <c r="FJ137" s="60">
        <f ca="1">AVERAGE(OFFSET($FI$3,0,0,'Données projet'!$E$16+1,1))-AVERAGE(OFFSET($H$3,0,0,'Données projet'!$E$16+1,1))</f>
        <v>255.59755832175625</v>
      </c>
      <c r="FK137" s="60">
        <f t="shared" si="156"/>
        <v>154.0840647586964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0" t="e">
        <f t="shared" si="134"/>
        <v>#N/A</v>
      </c>
      <c r="GE137" s="60" t="e">
        <f ca="1">AVERAGE(OFFSET($GD$3,0,0,'Données projet'!$E$17+1,1))-AVERAGE(OFFSET($H$3,0,0,'Données projet'!$E$17+1,1))</f>
        <v>#N/A</v>
      </c>
      <c r="GF137" s="60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7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0" t="e">
        <f t="shared" si="137"/>
        <v>#N/A</v>
      </c>
      <c r="GZ137" s="60" t="e">
        <f ca="1">AVERAGE(OFFSET($GY$3,0,0,'Données projet'!$E$18+1,1))-AVERAGE(OFFSET($H$3,0,0,'Données projet'!$E$18+1,1))</f>
        <v>#N/A</v>
      </c>
      <c r="HA137" s="60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5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68">
        <f t="shared" si="110"/>
        <v>256.66666666666669</v>
      </c>
      <c r="I138" s="7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0" t="e">
        <f t="shared" si="109"/>
        <v>#NUM!</v>
      </c>
      <c r="S138" s="60">
        <f ca="1">AVERAGE(OFFSET($R$3,0,0,'Données projet'!$E$9+1,1))-AVERAGE(OFFSET($H$3,0,0,'Données projet'!$E$9+1,1))</f>
        <v>64.775385872852041</v>
      </c>
      <c r="T138" s="60">
        <f t="shared" si="142"/>
        <v>201.69061202990468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4.0168945906892697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9.4856917655885009E-18</v>
      </c>
      <c r="AC138" s="24">
        <f t="shared" si="111"/>
        <v>4.0168945906892697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286.45499999999936</v>
      </c>
      <c r="AK138" s="14">
        <f t="shared" si="143"/>
        <v>68.329321179865531</v>
      </c>
      <c r="AL138" s="22">
        <f t="shared" si="112"/>
        <v>617.91602605493142</v>
      </c>
      <c r="AM138" s="60">
        <f t="shared" si="113"/>
        <v>911.24935938826479</v>
      </c>
      <c r="AN138" s="60">
        <f ca="1">AVERAGE(OFFSET($AM$3,0,0,'Données projet'!$E$10+1,1))-AVERAGE(OFFSET($H$3,0,0,'Données projet'!$E$10+1,1))</f>
        <v>475.47920969424894</v>
      </c>
      <c r="AO138" s="60">
        <f t="shared" si="144"/>
        <v>271.73544012419364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7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6.7984728957526396E-14</v>
      </c>
      <c r="BF138" s="14">
        <f t="shared" si="145"/>
        <v>1.0682447123141398E-12</v>
      </c>
      <c r="BG138" s="22">
        <f t="shared" si="115"/>
        <v>1.978932943548152E-12</v>
      </c>
      <c r="BH138" s="60">
        <f t="shared" si="116"/>
        <v>293.3333333333353</v>
      </c>
      <c r="BI138" s="60">
        <f ca="1">AVERAGE(OFFSET($BH$3,0,0,'Données projet'!$E$11+1,1))-AVERAGE(OFFSET($H$3,0,0,'Données projet'!$E$11+1,1))</f>
        <v>260.02504691866199</v>
      </c>
      <c r="BJ138" s="60">
        <f t="shared" si="146"/>
        <v>270.11268336406368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1.251038045695436</v>
      </c>
      <c r="BQ138" s="23">
        <f>EXP(-LN(2)/25)*BQ137+(1-EXP(-LN(2)/25))/(LN(2)/25)*Calculateur!BL138*Calculateur!BN138*VLOOKUP('Données projet'!$B$11,Paramètres!$A$1:$I$89,3,0)*0.475*44/12</f>
        <v>0.8942751034636317</v>
      </c>
      <c r="BR138" s="23">
        <f>EXP(-LN(2)/2)*BR137+(1-EXP(-LN(2)/2))/(LN(2)/2)*BL138*BO138*VLOOKUP('Données projet'!$B$11,Paramètres!$A$1:$I$89,3,0)*0.475*44/12</f>
        <v>9.9543248695446801E-16</v>
      </c>
      <c r="BS138" s="24">
        <f t="shared" si="117"/>
        <v>2.1453131491590685</v>
      </c>
      <c r="BT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5.1159076974727213E-13</v>
      </c>
      <c r="BZ138" s="14">
        <f>BY138*VLOOKUP('Données projet'!$B$12,Paramètres!$A$1:$I$89,3,0)*VLOOKUP('Données projet'!$B$12,Paramètres!$A$1:$I$89,5,0)</f>
        <v>2.3942448024172334E-13</v>
      </c>
      <c r="CA138" s="14">
        <f t="shared" si="147"/>
        <v>3.2492669905861755E-12</v>
      </c>
      <c r="CB138" s="22">
        <f t="shared" si="118"/>
        <v>6.0761376450252565E-12</v>
      </c>
      <c r="CC138" s="60">
        <f t="shared" si="119"/>
        <v>293.3333333333394</v>
      </c>
      <c r="CD138" s="60">
        <f ca="1">AVERAGE(OFFSET($CC$3,0,0,'Données projet'!$E$12+1,1))-AVERAGE(OFFSET($H$3,0,0,'Données projet'!$E$12+1,1))</f>
        <v>246.72166704460847</v>
      </c>
      <c r="CE138" s="60">
        <f t="shared" si="148"/>
        <v>145.54897745089966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2.7</v>
      </c>
      <c r="CT138" s="13">
        <f>IF('Données projet'!$A$140&gt;35,CT137+CS138-DB137,IF(A138&lt;'Données projet'!$A$140,$CQ$205^A138,IF(A138='Données projet'!$A$140,'Données projet'!$B$140,CT137+CS138-DB137)))</f>
        <v>282.49999999999932</v>
      </c>
      <c r="CU138" s="18">
        <f>CT138*VLOOKUP('Données projet'!$B$13,Paramètres!$A$1:$I$89,3,0)*VLOOKUP('Données projet'!$B$13,Paramètres!$A$1:$I$89,5,0)</f>
        <v>255.60599999999937</v>
      </c>
      <c r="CV138" s="14">
        <f t="shared" si="149"/>
        <v>61.784827631732192</v>
      </c>
      <c r="CW138" s="22">
        <f t="shared" si="121"/>
        <v>552.78902479193243</v>
      </c>
      <c r="CX138" s="60">
        <f t="shared" si="122"/>
        <v>846.12235812526569</v>
      </c>
      <c r="CY138" s="60">
        <f ca="1">AVERAGE(OFFSET($CX$3,0,0,'Données projet'!$E$13+1,1))-AVERAGE(OFFSET($H$3,0,0,'Données projet'!$E$13+1,1))</f>
        <v>428.8489304403459</v>
      </c>
      <c r="CZ138" s="60">
        <f t="shared" si="150"/>
        <v>247.01165577562966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-5.1159076974727213E-13</v>
      </c>
      <c r="DP138" s="18">
        <f>DO138*VLOOKUP('Données projet'!$B$14,Paramètres!$A$1:$I$89,3,0)*VLOOKUP('Données projet'!$B$14,Paramètres!$A$1:$I$89,5,0)</f>
        <v>-5.3471467253984886E-13</v>
      </c>
      <c r="DQ138" s="14" t="e">
        <f t="shared" si="151"/>
        <v>#NUM!</v>
      </c>
      <c r="DR138" s="22" t="e">
        <f t="shared" si="124"/>
        <v>#NUM!</v>
      </c>
      <c r="DS138" s="60" t="e">
        <f t="shared" si="125"/>
        <v>#NUM!</v>
      </c>
      <c r="DT138" s="60">
        <f ca="1">AVERAGE(OFFSET($DS$3,0,0,'Données projet'!$E$14+1,1))-AVERAGE(OFFSET($H$3,0,0,'Données projet'!$E$14+1,1))</f>
        <v>493.70175665335978</v>
      </c>
      <c r="DU138" s="60">
        <f t="shared" si="152"/>
        <v>325.12357781685949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-1.9895196601282805E-13</v>
      </c>
      <c r="EK138" s="18">
        <f>EJ138*VLOOKUP('Données projet'!$B$15,Paramètres!$A$1:$I$89,3,0)*VLOOKUP('Données projet'!$B$15,Paramètres!$A$1:$I$89,5,0)</f>
        <v>-1.6138983482960614E-13</v>
      </c>
      <c r="EL138" s="14" t="e">
        <f t="shared" si="153"/>
        <v>#NUM!</v>
      </c>
      <c r="EM138" s="22" t="e">
        <f t="shared" si="127"/>
        <v>#NUM!</v>
      </c>
      <c r="EN138" s="60" t="e">
        <f t="shared" si="128"/>
        <v>#NUM!</v>
      </c>
      <c r="EO138" s="60">
        <f ca="1">AVERAGE(OFFSET($EN$3,0,0,'Données projet'!$E$15+1,1))-AVERAGE(OFFSET($H$3,0,0,'Données projet'!$E$15+1,1))</f>
        <v>236.22643401787644</v>
      </c>
      <c r="EP138" s="60">
        <f t="shared" si="154"/>
        <v>188.80444043778022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5.4978954722173515E-14</v>
      </c>
      <c r="FG138" s="14">
        <f t="shared" si="155"/>
        <v>8.8550225887742724E-13</v>
      </c>
      <c r="FH138" s="22">
        <f t="shared" si="130"/>
        <v>1.6380047803526383E-12</v>
      </c>
      <c r="FI138" s="60">
        <f t="shared" si="131"/>
        <v>293.33333333333496</v>
      </c>
      <c r="FJ138" s="60">
        <f ca="1">AVERAGE(OFFSET($FI$3,0,0,'Données projet'!$E$16+1,1))-AVERAGE(OFFSET($H$3,0,0,'Données projet'!$E$16+1,1))</f>
        <v>255.59755832175625</v>
      </c>
      <c r="FK138" s="60">
        <f t="shared" si="156"/>
        <v>154.0840647586964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0" t="e">
        <f t="shared" si="134"/>
        <v>#N/A</v>
      </c>
      <c r="GE138" s="60" t="e">
        <f ca="1">AVERAGE(OFFSET($GD$3,0,0,'Données projet'!$E$17+1,1))-AVERAGE(OFFSET($H$3,0,0,'Données projet'!$E$17+1,1))</f>
        <v>#N/A</v>
      </c>
      <c r="GF138" s="60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7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0" t="e">
        <f t="shared" si="137"/>
        <v>#N/A</v>
      </c>
      <c r="GZ138" s="60" t="e">
        <f ca="1">AVERAGE(OFFSET($GY$3,0,0,'Données projet'!$E$18+1,1))-AVERAGE(OFFSET($H$3,0,0,'Données projet'!$E$18+1,1))</f>
        <v>#N/A</v>
      </c>
      <c r="HA138" s="60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5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68">
        <f t="shared" si="110"/>
        <v>256.66666666666669</v>
      </c>
      <c r="I139" s="7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0" t="e">
        <f t="shared" si="109"/>
        <v>#NUM!</v>
      </c>
      <c r="S139" s="60">
        <f ca="1">AVERAGE(OFFSET($R$3,0,0,'Données projet'!$E$9+1,1))-AVERAGE(OFFSET($H$3,0,0,'Données projet'!$E$9+1,1))</f>
        <v>64.775385872852041</v>
      </c>
      <c r="T139" s="60">
        <f t="shared" si="142"/>
        <v>201.69061202990468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3.9381257378296297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6.7073969716930239E-18</v>
      </c>
      <c r="AC139" s="24">
        <f t="shared" si="111"/>
        <v>3.9381257378296297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289.19279999999935</v>
      </c>
      <c r="AK139" s="14">
        <f t="shared" si="143"/>
        <v>68.906044268306161</v>
      </c>
      <c r="AL139" s="22">
        <f t="shared" si="112"/>
        <v>623.68882043396547</v>
      </c>
      <c r="AM139" s="60">
        <f t="shared" si="113"/>
        <v>917.02215376729873</v>
      </c>
      <c r="AN139" s="60">
        <f ca="1">AVERAGE(OFFSET($AM$3,0,0,'Données projet'!$E$10+1,1))-AVERAGE(OFFSET($H$3,0,0,'Données projet'!$E$10+1,1))</f>
        <v>475.47920969424894</v>
      </c>
      <c r="AO139" s="60">
        <f t="shared" si="144"/>
        <v>271.73544012419364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7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6.7984728957526396E-14</v>
      </c>
      <c r="BF139" s="14">
        <f t="shared" si="145"/>
        <v>1.0682447123141398E-12</v>
      </c>
      <c r="BG139" s="22">
        <f t="shared" si="115"/>
        <v>1.978932943548152E-12</v>
      </c>
      <c r="BH139" s="60">
        <f t="shared" si="116"/>
        <v>293.3333333333353</v>
      </c>
      <c r="BI139" s="60">
        <f ca="1">AVERAGE(OFFSET($BH$3,0,0,'Données projet'!$E$11+1,1))-AVERAGE(OFFSET($H$3,0,0,'Données projet'!$E$11+1,1))</f>
        <v>260.02504691866199</v>
      </c>
      <c r="BJ139" s="60">
        <f t="shared" si="146"/>
        <v>270.11268336406368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1.2265059526772106</v>
      </c>
      <c r="BQ139" s="23">
        <f>EXP(-LN(2)/25)*BQ138+(1-EXP(-LN(2)/25))/(LN(2)/25)*Calculateur!BL139*Calculateur!BN139*VLOOKUP('Données projet'!$B$11,Paramètres!$A$1:$I$89,3,0)*0.475*44/12</f>
        <v>0.86982110373153487</v>
      </c>
      <c r="BR139" s="23">
        <f>EXP(-LN(2)/2)*BR138+(1-EXP(-LN(2)/2))/(LN(2)/2)*BL139*BO139*VLOOKUP('Données projet'!$B$11,Paramètres!$A$1:$I$89,3,0)*0.475*44/12</f>
        <v>7.0387706173889383E-16</v>
      </c>
      <c r="BS139" s="24">
        <f t="shared" si="117"/>
        <v>2.0963270564087466</v>
      </c>
      <c r="BT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5.1159076974727213E-13</v>
      </c>
      <c r="BZ139" s="14">
        <f>BY139*VLOOKUP('Données projet'!$B$12,Paramètres!$A$1:$I$89,3,0)*VLOOKUP('Données projet'!$B$12,Paramètres!$A$1:$I$89,5,0)</f>
        <v>2.3942448024172334E-13</v>
      </c>
      <c r="CA139" s="14">
        <f t="shared" si="147"/>
        <v>3.2492669905861755E-12</v>
      </c>
      <c r="CB139" s="22">
        <f t="shared" si="118"/>
        <v>6.0761376450252565E-12</v>
      </c>
      <c r="CC139" s="60">
        <f t="shared" si="119"/>
        <v>293.3333333333394</v>
      </c>
      <c r="CD139" s="60">
        <f ca="1">AVERAGE(OFFSET($CC$3,0,0,'Données projet'!$E$12+1,1))-AVERAGE(OFFSET($H$3,0,0,'Données projet'!$E$12+1,1))</f>
        <v>246.72166704460847</v>
      </c>
      <c r="CE139" s="60">
        <f t="shared" si="148"/>
        <v>145.54897745089966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2.7</v>
      </c>
      <c r="CT139" s="13">
        <f>IF('Données projet'!$A$140&gt;35,CT138+CS139-DB138,IF(A139&lt;'Données projet'!$A$140,$CQ$205^A139,IF(A139='Données projet'!$A$140,'Données projet'!$B$140,CT138+CS139-DB138)))</f>
        <v>285.19999999999931</v>
      </c>
      <c r="CU139" s="18">
        <f>CT139*VLOOKUP('Données projet'!$B$13,Paramètres!$A$1:$I$89,3,0)*VLOOKUP('Données projet'!$B$13,Paramètres!$A$1:$I$89,5,0)</f>
        <v>258.0489599999994</v>
      </c>
      <c r="CV139" s="14">
        <f t="shared" si="149"/>
        <v>62.306312932555649</v>
      </c>
      <c r="CW139" s="22">
        <f t="shared" si="121"/>
        <v>557.95210035753337</v>
      </c>
      <c r="CX139" s="60">
        <f t="shared" si="122"/>
        <v>851.28543369086674</v>
      </c>
      <c r="CY139" s="60">
        <f ca="1">AVERAGE(OFFSET($CX$3,0,0,'Données projet'!$E$13+1,1))-AVERAGE(OFFSET($H$3,0,0,'Données projet'!$E$13+1,1))</f>
        <v>428.8489304403459</v>
      </c>
      <c r="CZ139" s="60">
        <f t="shared" si="150"/>
        <v>247.01165577562966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-5.1159076974727213E-13</v>
      </c>
      <c r="DP139" s="18">
        <f>DO139*VLOOKUP('Données projet'!$B$14,Paramètres!$A$1:$I$89,3,0)*VLOOKUP('Données projet'!$B$14,Paramètres!$A$1:$I$89,5,0)</f>
        <v>-5.3471467253984886E-13</v>
      </c>
      <c r="DQ139" s="14" t="e">
        <f t="shared" si="151"/>
        <v>#NUM!</v>
      </c>
      <c r="DR139" s="22" t="e">
        <f t="shared" si="124"/>
        <v>#NUM!</v>
      </c>
      <c r="DS139" s="60" t="e">
        <f t="shared" si="125"/>
        <v>#NUM!</v>
      </c>
      <c r="DT139" s="60">
        <f ca="1">AVERAGE(OFFSET($DS$3,0,0,'Données projet'!$E$14+1,1))-AVERAGE(OFFSET($H$3,0,0,'Données projet'!$E$14+1,1))</f>
        <v>493.70175665335978</v>
      </c>
      <c r="DU139" s="60">
        <f t="shared" si="152"/>
        <v>325.12357781685949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-1.9895196601282805E-13</v>
      </c>
      <c r="EK139" s="18">
        <f>EJ139*VLOOKUP('Données projet'!$B$15,Paramètres!$A$1:$I$89,3,0)*VLOOKUP('Données projet'!$B$15,Paramètres!$A$1:$I$89,5,0)</f>
        <v>-1.6138983482960614E-13</v>
      </c>
      <c r="EL139" s="14" t="e">
        <f t="shared" si="153"/>
        <v>#NUM!</v>
      </c>
      <c r="EM139" s="22" t="e">
        <f t="shared" si="127"/>
        <v>#NUM!</v>
      </c>
      <c r="EN139" s="60" t="e">
        <f t="shared" si="128"/>
        <v>#NUM!</v>
      </c>
      <c r="EO139" s="60">
        <f ca="1">AVERAGE(OFFSET($EN$3,0,0,'Données projet'!$E$15+1,1))-AVERAGE(OFFSET($H$3,0,0,'Données projet'!$E$15+1,1))</f>
        <v>236.22643401787644</v>
      </c>
      <c r="EP139" s="60">
        <f t="shared" si="154"/>
        <v>188.80444043778022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5.4978954722173515E-14</v>
      </c>
      <c r="FG139" s="14">
        <f t="shared" si="155"/>
        <v>8.8550225887742724E-13</v>
      </c>
      <c r="FH139" s="22">
        <f t="shared" si="130"/>
        <v>1.6380047803526383E-12</v>
      </c>
      <c r="FI139" s="60">
        <f t="shared" si="131"/>
        <v>293.33333333333496</v>
      </c>
      <c r="FJ139" s="60">
        <f ca="1">AVERAGE(OFFSET($FI$3,0,0,'Données projet'!$E$16+1,1))-AVERAGE(OFFSET($H$3,0,0,'Données projet'!$E$16+1,1))</f>
        <v>255.59755832175625</v>
      </c>
      <c r="FK139" s="60">
        <f t="shared" si="156"/>
        <v>154.0840647586964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0" t="e">
        <f t="shared" si="134"/>
        <v>#N/A</v>
      </c>
      <c r="GE139" s="60" t="e">
        <f ca="1">AVERAGE(OFFSET($GD$3,0,0,'Données projet'!$E$17+1,1))-AVERAGE(OFFSET($H$3,0,0,'Données projet'!$E$17+1,1))</f>
        <v>#N/A</v>
      </c>
      <c r="GF139" s="60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7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0" t="e">
        <f t="shared" si="137"/>
        <v>#N/A</v>
      </c>
      <c r="GZ139" s="60" t="e">
        <f ca="1">AVERAGE(OFFSET($GY$3,0,0,'Données projet'!$E$18+1,1))-AVERAGE(OFFSET($H$3,0,0,'Données projet'!$E$18+1,1))</f>
        <v>#N/A</v>
      </c>
      <c r="HA139" s="60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5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68">
        <f t="shared" si="110"/>
        <v>256.66666666666669</v>
      </c>
      <c r="I140" s="7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0" t="e">
        <f t="shared" si="109"/>
        <v>#NUM!</v>
      </c>
      <c r="S140" s="60">
        <f ca="1">AVERAGE(OFFSET($R$3,0,0,'Données projet'!$E$9+1,1))-AVERAGE(OFFSET($H$3,0,0,'Données projet'!$E$9+1,1))</f>
        <v>64.775385872852041</v>
      </c>
      <c r="T140" s="60">
        <f t="shared" si="142"/>
        <v>201.69061202990468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3.860901494130311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4.7428458827942505E-18</v>
      </c>
      <c r="AC140" s="24">
        <f t="shared" si="111"/>
        <v>3.860901494130311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291.93059999999929</v>
      </c>
      <c r="AK140" s="14">
        <f t="shared" si="143"/>
        <v>69.482132168934584</v>
      </c>
      <c r="AL140" s="22">
        <f t="shared" si="112"/>
        <v>629.4605085275598</v>
      </c>
      <c r="AM140" s="60">
        <f t="shared" si="113"/>
        <v>922.79384186089305</v>
      </c>
      <c r="AN140" s="60">
        <f ca="1">AVERAGE(OFFSET($AM$3,0,0,'Données projet'!$E$10+1,1))-AVERAGE(OFFSET($H$3,0,0,'Données projet'!$E$10+1,1))</f>
        <v>475.47920969424894</v>
      </c>
      <c r="AO140" s="60">
        <f t="shared" si="144"/>
        <v>271.73544012419364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7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6.7984728957526396E-14</v>
      </c>
      <c r="BF140" s="14">
        <f t="shared" si="145"/>
        <v>1.0682447123141398E-12</v>
      </c>
      <c r="BG140" s="22">
        <f t="shared" si="115"/>
        <v>1.978932943548152E-12</v>
      </c>
      <c r="BH140" s="60">
        <f t="shared" si="116"/>
        <v>293.3333333333353</v>
      </c>
      <c r="BI140" s="60">
        <f ca="1">AVERAGE(OFFSET($BH$3,0,0,'Données projet'!$E$11+1,1))-AVERAGE(OFFSET($H$3,0,0,'Données projet'!$E$11+1,1))</f>
        <v>260.02504691866199</v>
      </c>
      <c r="BJ140" s="60">
        <f t="shared" si="146"/>
        <v>270.11268336406368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1.2024549190399734</v>
      </c>
      <c r="BQ140" s="23">
        <f>EXP(-LN(2)/25)*BQ139+(1-EXP(-LN(2)/25))/(LN(2)/25)*Calculateur!BL140*Calculateur!BN140*VLOOKUP('Données projet'!$B$11,Paramètres!$A$1:$I$89,3,0)*0.475*44/12</f>
        <v>0.84603579990809219</v>
      </c>
      <c r="BR140" s="23">
        <f>EXP(-LN(2)/2)*BR139+(1-EXP(-LN(2)/2))/(LN(2)/2)*BL140*BO140*VLOOKUP('Données projet'!$B$11,Paramètres!$A$1:$I$89,3,0)*0.475*44/12</f>
        <v>4.97716243477234E-16</v>
      </c>
      <c r="BS140" s="24">
        <f t="shared" si="117"/>
        <v>2.0484907189480661</v>
      </c>
      <c r="BT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5.1159076974727213E-13</v>
      </c>
      <c r="BZ140" s="14">
        <f>BY140*VLOOKUP('Données projet'!$B$12,Paramètres!$A$1:$I$89,3,0)*VLOOKUP('Données projet'!$B$12,Paramètres!$A$1:$I$89,5,0)</f>
        <v>2.3942448024172334E-13</v>
      </c>
      <c r="CA140" s="14">
        <f t="shared" si="147"/>
        <v>3.2492669905861755E-12</v>
      </c>
      <c r="CB140" s="22">
        <f t="shared" si="118"/>
        <v>6.0761376450252565E-12</v>
      </c>
      <c r="CC140" s="60">
        <f t="shared" si="119"/>
        <v>293.3333333333394</v>
      </c>
      <c r="CD140" s="60">
        <f ca="1">AVERAGE(OFFSET($CC$3,0,0,'Données projet'!$E$12+1,1))-AVERAGE(OFFSET($H$3,0,0,'Données projet'!$E$12+1,1))</f>
        <v>246.72166704460847</v>
      </c>
      <c r="CE140" s="60">
        <f t="shared" si="148"/>
        <v>145.54897745089966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2.7</v>
      </c>
      <c r="CT140" s="13">
        <f>IF('Données projet'!$A$140&gt;35,CT139+CS140-DB139,IF(A140&lt;'Données projet'!$A$140,$CQ$205^A140,IF(A140='Données projet'!$A$140,'Données projet'!$B$140,CT139+CS140-DB139)))</f>
        <v>287.8999999999993</v>
      </c>
      <c r="CU140" s="18">
        <f>CT140*VLOOKUP('Données projet'!$B$13,Paramètres!$A$1:$I$89,3,0)*VLOOKUP('Données projet'!$B$13,Paramètres!$A$1:$I$89,5,0)</f>
        <v>260.49191999999937</v>
      </c>
      <c r="CV140" s="14">
        <f t="shared" si="149"/>
        <v>62.827223883029681</v>
      </c>
      <c r="CW140" s="22">
        <f t="shared" si="121"/>
        <v>563.11417559627546</v>
      </c>
      <c r="CX140" s="60">
        <f t="shared" si="122"/>
        <v>856.44750892960883</v>
      </c>
      <c r="CY140" s="60">
        <f ca="1">AVERAGE(OFFSET($CX$3,0,0,'Données projet'!$E$13+1,1))-AVERAGE(OFFSET($H$3,0,0,'Données projet'!$E$13+1,1))</f>
        <v>428.8489304403459</v>
      </c>
      <c r="CZ140" s="60">
        <f t="shared" si="150"/>
        <v>247.01165577562966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-5.1159076974727213E-13</v>
      </c>
      <c r="DP140" s="18">
        <f>DO140*VLOOKUP('Données projet'!$B$14,Paramètres!$A$1:$I$89,3,0)*VLOOKUP('Données projet'!$B$14,Paramètres!$A$1:$I$89,5,0)</f>
        <v>-5.3471467253984886E-13</v>
      </c>
      <c r="DQ140" s="14" t="e">
        <f t="shared" si="151"/>
        <v>#NUM!</v>
      </c>
      <c r="DR140" s="22" t="e">
        <f t="shared" si="124"/>
        <v>#NUM!</v>
      </c>
      <c r="DS140" s="60" t="e">
        <f t="shared" si="125"/>
        <v>#NUM!</v>
      </c>
      <c r="DT140" s="60">
        <f ca="1">AVERAGE(OFFSET($DS$3,0,0,'Données projet'!$E$14+1,1))-AVERAGE(OFFSET($H$3,0,0,'Données projet'!$E$14+1,1))</f>
        <v>493.70175665335978</v>
      </c>
      <c r="DU140" s="60">
        <f t="shared" si="152"/>
        <v>325.12357781685949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-1.9895196601282805E-13</v>
      </c>
      <c r="EK140" s="18">
        <f>EJ140*VLOOKUP('Données projet'!$B$15,Paramètres!$A$1:$I$89,3,0)*VLOOKUP('Données projet'!$B$15,Paramètres!$A$1:$I$89,5,0)</f>
        <v>-1.6138983482960614E-13</v>
      </c>
      <c r="EL140" s="14" t="e">
        <f t="shared" si="153"/>
        <v>#NUM!</v>
      </c>
      <c r="EM140" s="22" t="e">
        <f t="shared" si="127"/>
        <v>#NUM!</v>
      </c>
      <c r="EN140" s="60" t="e">
        <f t="shared" si="128"/>
        <v>#NUM!</v>
      </c>
      <c r="EO140" s="60">
        <f ca="1">AVERAGE(OFFSET($EN$3,0,0,'Données projet'!$E$15+1,1))-AVERAGE(OFFSET($H$3,0,0,'Données projet'!$E$15+1,1))</f>
        <v>236.22643401787644</v>
      </c>
      <c r="EP140" s="60">
        <f t="shared" si="154"/>
        <v>188.80444043778022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5.4978954722173515E-14</v>
      </c>
      <c r="FG140" s="14">
        <f t="shared" si="155"/>
        <v>8.8550225887742724E-13</v>
      </c>
      <c r="FH140" s="22">
        <f t="shared" si="130"/>
        <v>1.6380047803526383E-12</v>
      </c>
      <c r="FI140" s="60">
        <f t="shared" si="131"/>
        <v>293.33333333333496</v>
      </c>
      <c r="FJ140" s="60">
        <f ca="1">AVERAGE(OFFSET($FI$3,0,0,'Données projet'!$E$16+1,1))-AVERAGE(OFFSET($H$3,0,0,'Données projet'!$E$16+1,1))</f>
        <v>255.59755832175625</v>
      </c>
      <c r="FK140" s="60">
        <f t="shared" si="156"/>
        <v>154.0840647586964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0" t="e">
        <f t="shared" si="134"/>
        <v>#N/A</v>
      </c>
      <c r="GE140" s="60" t="e">
        <f ca="1">AVERAGE(OFFSET($GD$3,0,0,'Données projet'!$E$17+1,1))-AVERAGE(OFFSET($H$3,0,0,'Données projet'!$E$17+1,1))</f>
        <v>#N/A</v>
      </c>
      <c r="GF140" s="60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7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0" t="e">
        <f t="shared" si="137"/>
        <v>#N/A</v>
      </c>
      <c r="GZ140" s="60" t="e">
        <f ca="1">AVERAGE(OFFSET($GY$3,0,0,'Données projet'!$E$18+1,1))-AVERAGE(OFFSET($H$3,0,0,'Données projet'!$E$18+1,1))</f>
        <v>#N/A</v>
      </c>
      <c r="HA140" s="60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5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68">
        <f t="shared" si="110"/>
        <v>256.66666666666669</v>
      </c>
      <c r="I141" s="7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0" t="e">
        <f t="shared" si="109"/>
        <v>#NUM!</v>
      </c>
      <c r="S141" s="60">
        <f ca="1">AVERAGE(OFFSET($R$3,0,0,'Données projet'!$E$9+1,1))-AVERAGE(OFFSET($H$3,0,0,'Données projet'!$E$9+1,1))</f>
        <v>64.775385872852041</v>
      </c>
      <c r="T141" s="60">
        <f t="shared" si="142"/>
        <v>201.69061202990468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3.7851915707477981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3.3536984858465119E-18</v>
      </c>
      <c r="AC141" s="24">
        <f t="shared" si="111"/>
        <v>3.7851915707477981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294.66839999999928</v>
      </c>
      <c r="AK141" s="14">
        <f t="shared" si="143"/>
        <v>70.057591528661433</v>
      </c>
      <c r="AL141" s="22">
        <f t="shared" si="112"/>
        <v>635.23110191241733</v>
      </c>
      <c r="AM141" s="60">
        <f t="shared" si="113"/>
        <v>928.5644352457507</v>
      </c>
      <c r="AN141" s="60">
        <f ca="1">AVERAGE(OFFSET($AM$3,0,0,'Données projet'!$E$10+1,1))-AVERAGE(OFFSET($H$3,0,0,'Données projet'!$E$10+1,1))</f>
        <v>475.47920969424894</v>
      </c>
      <c r="AO141" s="60">
        <f t="shared" si="144"/>
        <v>271.73544012419364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7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6.7984728957526396E-14</v>
      </c>
      <c r="BF141" s="14">
        <f t="shared" si="145"/>
        <v>1.0682447123141398E-12</v>
      </c>
      <c r="BG141" s="22">
        <f t="shared" si="115"/>
        <v>1.978932943548152E-12</v>
      </c>
      <c r="BH141" s="60">
        <f t="shared" si="116"/>
        <v>293.3333333333353</v>
      </c>
      <c r="BI141" s="60">
        <f ca="1">AVERAGE(OFFSET($BH$3,0,0,'Données projet'!$E$11+1,1))-AVERAGE(OFFSET($H$3,0,0,'Données projet'!$E$11+1,1))</f>
        <v>260.02504691866199</v>
      </c>
      <c r="BJ141" s="60">
        <f t="shared" si="146"/>
        <v>270.11268336406368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1.1788755115026803</v>
      </c>
      <c r="BQ141" s="23">
        <f>EXP(-LN(2)/25)*BQ140+(1-EXP(-LN(2)/25))/(LN(2)/25)*Calculateur!BL141*Calculateur!BN141*VLOOKUP('Données projet'!$B$11,Paramètres!$A$1:$I$89,3,0)*0.475*44/12</f>
        <v>0.82290090646851632</v>
      </c>
      <c r="BR141" s="23">
        <f>EXP(-LN(2)/2)*BR140+(1-EXP(-LN(2)/2))/(LN(2)/2)*BL141*BO141*VLOOKUP('Données projet'!$B$11,Paramètres!$A$1:$I$89,3,0)*0.475*44/12</f>
        <v>3.5193853086944692E-16</v>
      </c>
      <c r="BS141" s="24">
        <f t="shared" si="117"/>
        <v>2.0017764179711972</v>
      </c>
      <c r="BT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5.1159076974727213E-13</v>
      </c>
      <c r="BZ141" s="14">
        <f>BY141*VLOOKUP('Données projet'!$B$12,Paramètres!$A$1:$I$89,3,0)*VLOOKUP('Données projet'!$B$12,Paramètres!$A$1:$I$89,5,0)</f>
        <v>2.3942448024172334E-13</v>
      </c>
      <c r="CA141" s="14">
        <f t="shared" si="147"/>
        <v>3.2492669905861755E-12</v>
      </c>
      <c r="CB141" s="22">
        <f t="shared" si="118"/>
        <v>6.0761376450252565E-12</v>
      </c>
      <c r="CC141" s="60">
        <f t="shared" si="119"/>
        <v>293.3333333333394</v>
      </c>
      <c r="CD141" s="60">
        <f ca="1">AVERAGE(OFFSET($CC$3,0,0,'Données projet'!$E$12+1,1))-AVERAGE(OFFSET($H$3,0,0,'Données projet'!$E$12+1,1))</f>
        <v>246.72166704460847</v>
      </c>
      <c r="CE141" s="60">
        <f t="shared" si="148"/>
        <v>145.54897745089966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2.7</v>
      </c>
      <c r="CT141" s="13">
        <f>IF('Données projet'!$A$140&gt;35,CT140+CS141-DB140,IF(A141&lt;'Données projet'!$A$140,$CQ$205^A141,IF(A141='Données projet'!$A$140,'Données projet'!$B$140,CT140+CS141-DB140)))</f>
        <v>290.59999999999928</v>
      </c>
      <c r="CU141" s="18">
        <f>CT141*VLOOKUP('Données projet'!$B$13,Paramètres!$A$1:$I$89,3,0)*VLOOKUP('Données projet'!$B$13,Paramètres!$A$1:$I$89,5,0)</f>
        <v>262.93487999999934</v>
      </c>
      <c r="CV141" s="14">
        <f t="shared" si="149"/>
        <v>63.347566493432652</v>
      </c>
      <c r="CW141" s="22">
        <f t="shared" si="121"/>
        <v>568.27526097606062</v>
      </c>
      <c r="CX141" s="60">
        <f t="shared" si="122"/>
        <v>861.60859430939399</v>
      </c>
      <c r="CY141" s="60">
        <f ca="1">AVERAGE(OFFSET($CX$3,0,0,'Données projet'!$E$13+1,1))-AVERAGE(OFFSET($H$3,0,0,'Données projet'!$E$13+1,1))</f>
        <v>428.8489304403459</v>
      </c>
      <c r="CZ141" s="60">
        <f t="shared" si="150"/>
        <v>247.01165577562966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-5.1159076974727213E-13</v>
      </c>
      <c r="DP141" s="18">
        <f>DO141*VLOOKUP('Données projet'!$B$14,Paramètres!$A$1:$I$89,3,0)*VLOOKUP('Données projet'!$B$14,Paramètres!$A$1:$I$89,5,0)</f>
        <v>-5.3471467253984886E-13</v>
      </c>
      <c r="DQ141" s="14" t="e">
        <f t="shared" si="151"/>
        <v>#NUM!</v>
      </c>
      <c r="DR141" s="22" t="e">
        <f t="shared" si="124"/>
        <v>#NUM!</v>
      </c>
      <c r="DS141" s="60" t="e">
        <f t="shared" si="125"/>
        <v>#NUM!</v>
      </c>
      <c r="DT141" s="60">
        <f ca="1">AVERAGE(OFFSET($DS$3,0,0,'Données projet'!$E$14+1,1))-AVERAGE(OFFSET($H$3,0,0,'Données projet'!$E$14+1,1))</f>
        <v>493.70175665335978</v>
      </c>
      <c r="DU141" s="60">
        <f t="shared" si="152"/>
        <v>325.12357781685949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-1.9895196601282805E-13</v>
      </c>
      <c r="EK141" s="18">
        <f>EJ141*VLOOKUP('Données projet'!$B$15,Paramètres!$A$1:$I$89,3,0)*VLOOKUP('Données projet'!$B$15,Paramètres!$A$1:$I$89,5,0)</f>
        <v>-1.6138983482960614E-13</v>
      </c>
      <c r="EL141" s="14" t="e">
        <f t="shared" si="153"/>
        <v>#NUM!</v>
      </c>
      <c r="EM141" s="22" t="e">
        <f t="shared" si="127"/>
        <v>#NUM!</v>
      </c>
      <c r="EN141" s="60" t="e">
        <f t="shared" si="128"/>
        <v>#NUM!</v>
      </c>
      <c r="EO141" s="60">
        <f ca="1">AVERAGE(OFFSET($EN$3,0,0,'Données projet'!$E$15+1,1))-AVERAGE(OFFSET($H$3,0,0,'Données projet'!$E$15+1,1))</f>
        <v>236.22643401787644</v>
      </c>
      <c r="EP141" s="60">
        <f t="shared" si="154"/>
        <v>188.80444043778022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5.4978954722173515E-14</v>
      </c>
      <c r="FG141" s="14">
        <f t="shared" si="155"/>
        <v>8.8550225887742724E-13</v>
      </c>
      <c r="FH141" s="22">
        <f t="shared" si="130"/>
        <v>1.6380047803526383E-12</v>
      </c>
      <c r="FI141" s="60">
        <f t="shared" si="131"/>
        <v>293.33333333333496</v>
      </c>
      <c r="FJ141" s="60">
        <f ca="1">AVERAGE(OFFSET($FI$3,0,0,'Données projet'!$E$16+1,1))-AVERAGE(OFFSET($H$3,0,0,'Données projet'!$E$16+1,1))</f>
        <v>255.59755832175625</v>
      </c>
      <c r="FK141" s="60">
        <f t="shared" si="156"/>
        <v>154.0840647586964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0" t="e">
        <f t="shared" si="134"/>
        <v>#N/A</v>
      </c>
      <c r="GE141" s="60" t="e">
        <f ca="1">AVERAGE(OFFSET($GD$3,0,0,'Données projet'!$E$17+1,1))-AVERAGE(OFFSET($H$3,0,0,'Données projet'!$E$17+1,1))</f>
        <v>#N/A</v>
      </c>
      <c r="GF141" s="60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7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0" t="e">
        <f t="shared" si="137"/>
        <v>#N/A</v>
      </c>
      <c r="GZ141" s="60" t="e">
        <f ca="1">AVERAGE(OFFSET($GY$3,0,0,'Données projet'!$E$18+1,1))-AVERAGE(OFFSET($H$3,0,0,'Données projet'!$E$18+1,1))</f>
        <v>#N/A</v>
      </c>
      <c r="HA141" s="60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5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68">
        <f t="shared" si="110"/>
        <v>256.66666666666669</v>
      </c>
      <c r="I142" s="7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0" t="e">
        <f t="shared" si="109"/>
        <v>#NUM!</v>
      </c>
      <c r="S142" s="60">
        <f ca="1">AVERAGE(OFFSET($R$3,0,0,'Données projet'!$E$9+1,1))-AVERAGE(OFFSET($H$3,0,0,'Données projet'!$E$9+1,1))</f>
        <v>64.775385872852041</v>
      </c>
      <c r="T142" s="60">
        <f t="shared" si="142"/>
        <v>201.69061202990468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3.7109662727843231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2.3714229413971252E-18</v>
      </c>
      <c r="AC142" s="24">
        <f t="shared" si="111"/>
        <v>3.7109662727843231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297.40619999999927</v>
      </c>
      <c r="AK142" s="14">
        <f t="shared" si="143"/>
        <v>70.632428863759543</v>
      </c>
      <c r="AL142" s="22">
        <f t="shared" si="112"/>
        <v>641.0006119377133</v>
      </c>
      <c r="AM142" s="60">
        <f t="shared" si="113"/>
        <v>934.33394527104656</v>
      </c>
      <c r="AN142" s="60">
        <f ca="1">AVERAGE(OFFSET($AM$3,0,0,'Données projet'!$E$10+1,1))-AVERAGE(OFFSET($H$3,0,0,'Données projet'!$E$10+1,1))</f>
        <v>475.47920969424894</v>
      </c>
      <c r="AO142" s="60">
        <f t="shared" si="144"/>
        <v>271.73544012419364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7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6.7984728957526396E-14</v>
      </c>
      <c r="BF142" s="14">
        <f t="shared" si="145"/>
        <v>1.0682447123141398E-12</v>
      </c>
      <c r="BG142" s="22">
        <f t="shared" si="115"/>
        <v>1.978932943548152E-12</v>
      </c>
      <c r="BH142" s="60">
        <f t="shared" si="116"/>
        <v>293.3333333333353</v>
      </c>
      <c r="BI142" s="60">
        <f ca="1">AVERAGE(OFFSET($BH$3,0,0,'Données projet'!$E$11+1,1))-AVERAGE(OFFSET($H$3,0,0,'Données projet'!$E$11+1,1))</f>
        <v>260.02504691866199</v>
      </c>
      <c r="BJ142" s="60">
        <f t="shared" si="146"/>
        <v>270.11268336406368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1.1557584817651751</v>
      </c>
      <c r="BQ142" s="23">
        <f>EXP(-LN(2)/25)*BQ141+(1-EXP(-LN(2)/25))/(LN(2)/25)*Calculateur!BL142*Calculateur!BN142*VLOOKUP('Données projet'!$B$11,Paramètres!$A$1:$I$89,3,0)*0.475*44/12</f>
        <v>0.80039863790665688</v>
      </c>
      <c r="BR142" s="23">
        <f>EXP(-LN(2)/2)*BR141+(1-EXP(-LN(2)/2))/(LN(2)/2)*BL142*BO142*VLOOKUP('Données projet'!$B$11,Paramètres!$A$1:$I$89,3,0)*0.475*44/12</f>
        <v>2.48858121738617E-16</v>
      </c>
      <c r="BS142" s="24">
        <f t="shared" si="117"/>
        <v>1.9561571196718324</v>
      </c>
      <c r="BT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5.1159076974727213E-13</v>
      </c>
      <c r="BZ142" s="14">
        <f>BY142*VLOOKUP('Données projet'!$B$12,Paramètres!$A$1:$I$89,3,0)*VLOOKUP('Données projet'!$B$12,Paramètres!$A$1:$I$89,5,0)</f>
        <v>2.3942448024172334E-13</v>
      </c>
      <c r="CA142" s="14">
        <f t="shared" si="147"/>
        <v>3.2492669905861755E-12</v>
      </c>
      <c r="CB142" s="22">
        <f t="shared" si="118"/>
        <v>6.0761376450252565E-12</v>
      </c>
      <c r="CC142" s="60">
        <f t="shared" si="119"/>
        <v>293.3333333333394</v>
      </c>
      <c r="CD142" s="60">
        <f ca="1">AVERAGE(OFFSET($CC$3,0,0,'Données projet'!$E$12+1,1))-AVERAGE(OFFSET($H$3,0,0,'Données projet'!$E$12+1,1))</f>
        <v>246.72166704460847</v>
      </c>
      <c r="CE142" s="60">
        <f t="shared" si="148"/>
        <v>145.54897745089966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2.7</v>
      </c>
      <c r="CT142" s="13">
        <f>IF('Données projet'!$A$140&gt;35,CT141+CS142-DB141,IF(A142&lt;'Données projet'!$A$140,$CQ$205^A142,IF(A142='Données projet'!$A$140,'Données projet'!$B$140,CT141+CS142-DB141)))</f>
        <v>293.29999999999927</v>
      </c>
      <c r="CU142" s="18">
        <f>CT142*VLOOKUP('Données projet'!$B$13,Paramètres!$A$1:$I$89,3,0)*VLOOKUP('Données projet'!$B$13,Paramètres!$A$1:$I$89,5,0)</f>
        <v>265.37783999999937</v>
      </c>
      <c r="CV142" s="14">
        <f t="shared" si="149"/>
        <v>63.867346655917089</v>
      </c>
      <c r="CW142" s="22">
        <f t="shared" si="121"/>
        <v>573.43536675905443</v>
      </c>
      <c r="CX142" s="60">
        <f t="shared" si="122"/>
        <v>866.76870009238769</v>
      </c>
      <c r="CY142" s="60">
        <f ca="1">AVERAGE(OFFSET($CX$3,0,0,'Données projet'!$E$13+1,1))-AVERAGE(OFFSET($H$3,0,0,'Données projet'!$E$13+1,1))</f>
        <v>428.8489304403459</v>
      </c>
      <c r="CZ142" s="60">
        <f t="shared" si="150"/>
        <v>247.01165577562966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-5.1159076974727213E-13</v>
      </c>
      <c r="DP142" s="18">
        <f>DO142*VLOOKUP('Données projet'!$B$14,Paramètres!$A$1:$I$89,3,0)*VLOOKUP('Données projet'!$B$14,Paramètres!$A$1:$I$89,5,0)</f>
        <v>-5.3471467253984886E-13</v>
      </c>
      <c r="DQ142" s="14" t="e">
        <f t="shared" si="151"/>
        <v>#NUM!</v>
      </c>
      <c r="DR142" s="22" t="e">
        <f t="shared" si="124"/>
        <v>#NUM!</v>
      </c>
      <c r="DS142" s="60" t="e">
        <f t="shared" si="125"/>
        <v>#NUM!</v>
      </c>
      <c r="DT142" s="60">
        <f ca="1">AVERAGE(OFFSET($DS$3,0,0,'Données projet'!$E$14+1,1))-AVERAGE(OFFSET($H$3,0,0,'Données projet'!$E$14+1,1))</f>
        <v>493.70175665335978</v>
      </c>
      <c r="DU142" s="60">
        <f t="shared" si="152"/>
        <v>325.12357781685949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-1.9895196601282805E-13</v>
      </c>
      <c r="EK142" s="18">
        <f>EJ142*VLOOKUP('Données projet'!$B$15,Paramètres!$A$1:$I$89,3,0)*VLOOKUP('Données projet'!$B$15,Paramètres!$A$1:$I$89,5,0)</f>
        <v>-1.6138983482960614E-13</v>
      </c>
      <c r="EL142" s="14" t="e">
        <f t="shared" si="153"/>
        <v>#NUM!</v>
      </c>
      <c r="EM142" s="22" t="e">
        <f t="shared" si="127"/>
        <v>#NUM!</v>
      </c>
      <c r="EN142" s="60" t="e">
        <f t="shared" si="128"/>
        <v>#NUM!</v>
      </c>
      <c r="EO142" s="60">
        <f ca="1">AVERAGE(OFFSET($EN$3,0,0,'Données projet'!$E$15+1,1))-AVERAGE(OFFSET($H$3,0,0,'Données projet'!$E$15+1,1))</f>
        <v>236.22643401787644</v>
      </c>
      <c r="EP142" s="60">
        <f t="shared" si="154"/>
        <v>188.80444043778022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5.4978954722173515E-14</v>
      </c>
      <c r="FG142" s="14">
        <f t="shared" si="155"/>
        <v>8.8550225887742724E-13</v>
      </c>
      <c r="FH142" s="22">
        <f t="shared" si="130"/>
        <v>1.6380047803526383E-12</v>
      </c>
      <c r="FI142" s="60">
        <f t="shared" si="131"/>
        <v>293.33333333333496</v>
      </c>
      <c r="FJ142" s="60">
        <f ca="1">AVERAGE(OFFSET($FI$3,0,0,'Données projet'!$E$16+1,1))-AVERAGE(OFFSET($H$3,0,0,'Données projet'!$E$16+1,1))</f>
        <v>255.59755832175625</v>
      </c>
      <c r="FK142" s="60">
        <f t="shared" si="156"/>
        <v>154.0840647586964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0" t="e">
        <f t="shared" si="134"/>
        <v>#N/A</v>
      </c>
      <c r="GE142" s="60" t="e">
        <f ca="1">AVERAGE(OFFSET($GD$3,0,0,'Données projet'!$E$17+1,1))-AVERAGE(OFFSET($H$3,0,0,'Données projet'!$E$17+1,1))</f>
        <v>#N/A</v>
      </c>
      <c r="GF142" s="60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7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0" t="e">
        <f t="shared" si="137"/>
        <v>#N/A</v>
      </c>
      <c r="GZ142" s="60" t="e">
        <f ca="1">AVERAGE(OFFSET($GY$3,0,0,'Données projet'!$E$18+1,1))-AVERAGE(OFFSET($H$3,0,0,'Données projet'!$E$18+1,1))</f>
        <v>#N/A</v>
      </c>
      <c r="HA142" s="60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5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68">
        <f t="shared" si="110"/>
        <v>256.66666666666669</v>
      </c>
      <c r="I143" s="7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0" t="e">
        <f t="shared" si="109"/>
        <v>#NUM!</v>
      </c>
      <c r="S143" s="60">
        <f ca="1">AVERAGE(OFFSET($R$3,0,0,'Données projet'!$E$9+1,1))-AVERAGE(OFFSET($H$3,0,0,'Données projet'!$E$9+1,1))</f>
        <v>64.775385872852041</v>
      </c>
      <c r="T143" s="60">
        <f t="shared" si="142"/>
        <v>201.69061202990468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3.63819648764095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1.676849242923256E-18</v>
      </c>
      <c r="AC143" s="24">
        <f t="shared" si="111"/>
        <v>3.63819648764095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300.14399999999927</v>
      </c>
      <c r="AK143" s="14">
        <f t="shared" si="143"/>
        <v>71.206650563609728</v>
      </c>
      <c r="AL143" s="22">
        <f t="shared" si="112"/>
        <v>646.76904973161891</v>
      </c>
      <c r="AM143" s="60">
        <f t="shared" si="113"/>
        <v>940.10238306495216</v>
      </c>
      <c r="AN143" s="60">
        <f ca="1">AVERAGE(OFFSET($AM$3,0,0,'Données projet'!$E$10+1,1))-AVERAGE(OFFSET($H$3,0,0,'Données projet'!$E$10+1,1))</f>
        <v>475.47920969424894</v>
      </c>
      <c r="AO143" s="60">
        <f t="shared" si="144"/>
        <v>271.73544012419364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7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6.7984728957526396E-14</v>
      </c>
      <c r="BF143" s="14">
        <f t="shared" si="145"/>
        <v>1.0682447123141398E-12</v>
      </c>
      <c r="BG143" s="22">
        <f t="shared" si="115"/>
        <v>1.978932943548152E-12</v>
      </c>
      <c r="BH143" s="60">
        <f t="shared" si="116"/>
        <v>293.3333333333353</v>
      </c>
      <c r="BI143" s="60">
        <f ca="1">AVERAGE(OFFSET($BH$3,0,0,'Données projet'!$E$11+1,1))-AVERAGE(OFFSET($H$3,0,0,'Données projet'!$E$11+1,1))</f>
        <v>260.02504691866199</v>
      </c>
      <c r="BJ143" s="60">
        <f t="shared" si="146"/>
        <v>270.11268336406368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1.1330947628808266</v>
      </c>
      <c r="BQ143" s="23">
        <f>EXP(-LN(2)/25)*BQ142+(1-EXP(-LN(2)/25))/(LN(2)/25)*Calculateur!BL143*Calculateur!BN143*VLOOKUP('Données projet'!$B$11,Paramètres!$A$1:$I$89,3,0)*0.475*44/12</f>
        <v>0.77851169506196427</v>
      </c>
      <c r="BR143" s="23">
        <f>EXP(-LN(2)/2)*BR142+(1-EXP(-LN(2)/2))/(LN(2)/2)*BL143*BO143*VLOOKUP('Données projet'!$B$11,Paramètres!$A$1:$I$89,3,0)*0.475*44/12</f>
        <v>1.7596926543472346E-16</v>
      </c>
      <c r="BS143" s="24">
        <f t="shared" si="117"/>
        <v>1.9116064579427909</v>
      </c>
      <c r="BT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5.1159076974727213E-13</v>
      </c>
      <c r="BZ143" s="14">
        <f>BY143*VLOOKUP('Données projet'!$B$12,Paramètres!$A$1:$I$89,3,0)*VLOOKUP('Données projet'!$B$12,Paramètres!$A$1:$I$89,5,0)</f>
        <v>2.3942448024172334E-13</v>
      </c>
      <c r="CA143" s="14">
        <f t="shared" si="147"/>
        <v>3.2492669905861755E-12</v>
      </c>
      <c r="CB143" s="22">
        <f t="shared" si="118"/>
        <v>6.0761376450252565E-12</v>
      </c>
      <c r="CC143" s="60">
        <f t="shared" si="119"/>
        <v>293.3333333333394</v>
      </c>
      <c r="CD143" s="60">
        <f ca="1">AVERAGE(OFFSET($CC$3,0,0,'Données projet'!$E$12+1,1))-AVERAGE(OFFSET($H$3,0,0,'Données projet'!$E$12+1,1))</f>
        <v>246.72166704460847</v>
      </c>
      <c r="CE143" s="60">
        <f t="shared" si="148"/>
        <v>145.54897745089966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>
        <f>VLOOKUP(A143,'Données projet'!$A$139:$I$159,2,0)</f>
        <v>296</v>
      </c>
      <c r="CR143" s="13">
        <f>VLOOKUP(A143,'Données projet'!$A$139:$I$159,9,0)</f>
        <v>2.7</v>
      </c>
      <c r="CS143" s="13">
        <f t="array" ref="CS143">INDEX(CR:CR,MIN(IF(ISNUMBER(CR143:CR339),ROW(CR143:CR339),"")))</f>
        <v>2.7</v>
      </c>
      <c r="CT143" s="13">
        <f>IF('Données projet'!$A$140&gt;35,CT142+CS143-DB142,IF(A143&lt;'Données projet'!$A$140,$CQ$205^A143,IF(A143='Données projet'!$A$140,'Données projet'!$B$140,CT142+CS143-DB142)))</f>
        <v>295.99999999999926</v>
      </c>
      <c r="CU143" s="18">
        <f>CT143*VLOOKUP('Données projet'!$B$13,Paramètres!$A$1:$I$89,3,0)*VLOOKUP('Données projet'!$B$13,Paramètres!$A$1:$I$89,5,0)</f>
        <v>267.82079999999934</v>
      </c>
      <c r="CV143" s="14">
        <f t="shared" si="149"/>
        <v>64.386570147897245</v>
      </c>
      <c r="CW143" s="22">
        <f t="shared" si="121"/>
        <v>578.59450300758647</v>
      </c>
      <c r="CX143" s="60">
        <f t="shared" si="122"/>
        <v>871.92783634091984</v>
      </c>
      <c r="CY143" s="60">
        <f ca="1">AVERAGE(OFFSET($CX$3,0,0,'Données projet'!$E$13+1,1))-AVERAGE(OFFSET($H$3,0,0,'Données projet'!$E$13+1,1))</f>
        <v>428.8489304403459</v>
      </c>
      <c r="CZ143" s="60">
        <f t="shared" si="150"/>
        <v>247.01165577562966</v>
      </c>
      <c r="DA143" s="16">
        <f>IF(ISNA(VLOOKUP(A143,'Données projet'!$A$139:$I$159,3,0)),0,VLOOKUP(A143,'Données projet'!$A$139:$I$159,3,0))</f>
        <v>12</v>
      </c>
      <c r="DB143" s="16">
        <f>IF(ISNA(VLOOKUP(A143,'Données projet'!$A$139:$I$159,4,0)),0,VLOOKUP(A143,'Données projet'!$A$139:$I$159,4,0))</f>
        <v>27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-5.1159076974727213E-13</v>
      </c>
      <c r="DP143" s="18">
        <f>DO143*VLOOKUP('Données projet'!$B$14,Paramètres!$A$1:$I$89,3,0)*VLOOKUP('Données projet'!$B$14,Paramètres!$A$1:$I$89,5,0)</f>
        <v>-5.3471467253984886E-13</v>
      </c>
      <c r="DQ143" s="14" t="e">
        <f t="shared" si="151"/>
        <v>#NUM!</v>
      </c>
      <c r="DR143" s="22" t="e">
        <f t="shared" si="124"/>
        <v>#NUM!</v>
      </c>
      <c r="DS143" s="60" t="e">
        <f t="shared" si="125"/>
        <v>#NUM!</v>
      </c>
      <c r="DT143" s="60">
        <f ca="1">AVERAGE(OFFSET($DS$3,0,0,'Données projet'!$E$14+1,1))-AVERAGE(OFFSET($H$3,0,0,'Données projet'!$E$14+1,1))</f>
        <v>493.70175665335978</v>
      </c>
      <c r="DU143" s="60">
        <f t="shared" si="152"/>
        <v>325.12357781685949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-1.9895196601282805E-13</v>
      </c>
      <c r="EK143" s="18">
        <f>EJ143*VLOOKUP('Données projet'!$B$15,Paramètres!$A$1:$I$89,3,0)*VLOOKUP('Données projet'!$B$15,Paramètres!$A$1:$I$89,5,0)</f>
        <v>-1.6138983482960614E-13</v>
      </c>
      <c r="EL143" s="14" t="e">
        <f t="shared" si="153"/>
        <v>#NUM!</v>
      </c>
      <c r="EM143" s="22" t="e">
        <f t="shared" si="127"/>
        <v>#NUM!</v>
      </c>
      <c r="EN143" s="60" t="e">
        <f t="shared" si="128"/>
        <v>#NUM!</v>
      </c>
      <c r="EO143" s="60">
        <f ca="1">AVERAGE(OFFSET($EN$3,0,0,'Données projet'!$E$15+1,1))-AVERAGE(OFFSET($H$3,0,0,'Données projet'!$E$15+1,1))</f>
        <v>236.22643401787644</v>
      </c>
      <c r="EP143" s="60">
        <f t="shared" si="154"/>
        <v>188.80444043778022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5.4978954722173515E-14</v>
      </c>
      <c r="FG143" s="14">
        <f t="shared" si="155"/>
        <v>8.8550225887742724E-13</v>
      </c>
      <c r="FH143" s="22">
        <f t="shared" si="130"/>
        <v>1.6380047803526383E-12</v>
      </c>
      <c r="FI143" s="60">
        <f t="shared" si="131"/>
        <v>293.33333333333496</v>
      </c>
      <c r="FJ143" s="60">
        <f ca="1">AVERAGE(OFFSET($FI$3,0,0,'Données projet'!$E$16+1,1))-AVERAGE(OFFSET($H$3,0,0,'Données projet'!$E$16+1,1))</f>
        <v>255.59755832175625</v>
      </c>
      <c r="FK143" s="60">
        <f t="shared" si="156"/>
        <v>154.0840647586964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0" t="e">
        <f t="shared" si="134"/>
        <v>#N/A</v>
      </c>
      <c r="GE143" s="60" t="e">
        <f ca="1">AVERAGE(OFFSET($GD$3,0,0,'Données projet'!$E$17+1,1))-AVERAGE(OFFSET($H$3,0,0,'Données projet'!$E$17+1,1))</f>
        <v>#N/A</v>
      </c>
      <c r="GF143" s="60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7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0" t="e">
        <f t="shared" si="137"/>
        <v>#N/A</v>
      </c>
      <c r="GZ143" s="60" t="e">
        <f ca="1">AVERAGE(OFFSET($GY$3,0,0,'Données projet'!$E$18+1,1))-AVERAGE(OFFSET($H$3,0,0,'Données projet'!$E$18+1,1))</f>
        <v>#N/A</v>
      </c>
      <c r="HA143" s="60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5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68">
        <f t="shared" si="110"/>
        <v>256.66666666666669</v>
      </c>
      <c r="I144" s="7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0" t="e">
        <f t="shared" si="109"/>
        <v>#NUM!</v>
      </c>
      <c r="S144" s="60">
        <f ca="1">AVERAGE(OFFSET($R$3,0,0,'Données projet'!$E$9+1,1))-AVERAGE(OFFSET($H$3,0,0,'Données projet'!$E$9+1,1))</f>
        <v>64.775385872852041</v>
      </c>
      <c r="T144" s="60">
        <f t="shared" si="142"/>
        <v>201.69061202990468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3.5668536735990526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1.1857114706985626E-18</v>
      </c>
      <c r="AC144" s="24">
        <f t="shared" si="111"/>
        <v>3.5668536735990526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275.19959999999924</v>
      </c>
      <c r="AK144" s="14">
        <f t="shared" si="143"/>
        <v>65.951527620662489</v>
      </c>
      <c r="AL144" s="22">
        <f t="shared" si="112"/>
        <v>594.17154727265245</v>
      </c>
      <c r="AM144" s="60">
        <f t="shared" si="113"/>
        <v>887.50488060598582</v>
      </c>
      <c r="AN144" s="60">
        <f ca="1">AVERAGE(OFFSET($AM$3,0,0,'Données projet'!$E$10+1,1))-AVERAGE(OFFSET($H$3,0,0,'Données projet'!$E$10+1,1))</f>
        <v>475.47920969424894</v>
      </c>
      <c r="AO144" s="60">
        <f t="shared" si="144"/>
        <v>271.73544012419364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7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6.7984728957526396E-14</v>
      </c>
      <c r="BF144" s="14">
        <f t="shared" si="145"/>
        <v>1.0682447123141398E-12</v>
      </c>
      <c r="BG144" s="22">
        <f t="shared" si="115"/>
        <v>1.978932943548152E-12</v>
      </c>
      <c r="BH144" s="60">
        <f t="shared" si="116"/>
        <v>293.3333333333353</v>
      </c>
      <c r="BI144" s="60">
        <f ca="1">AVERAGE(OFFSET($BH$3,0,0,'Données projet'!$E$11+1,1))-AVERAGE(OFFSET($H$3,0,0,'Données projet'!$E$11+1,1))</f>
        <v>260.02504691866199</v>
      </c>
      <c r="BJ144" s="60">
        <f t="shared" si="146"/>
        <v>270.11268336406368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1.1108754657002966</v>
      </c>
      <c r="BQ144" s="23">
        <f>EXP(-LN(2)/25)*BQ143+(1-EXP(-LN(2)/25))/(LN(2)/25)*Calculateur!BL144*Calculateur!BN144*VLOOKUP('Données projet'!$B$11,Paramètres!$A$1:$I$89,3,0)*0.475*44/12</f>
        <v>0.75722325182034411</v>
      </c>
      <c r="BR144" s="23">
        <f>EXP(-LN(2)/2)*BR143+(1-EXP(-LN(2)/2))/(LN(2)/2)*BL144*BO144*VLOOKUP('Données projet'!$B$11,Paramètres!$A$1:$I$89,3,0)*0.475*44/12</f>
        <v>1.244290608693085E-16</v>
      </c>
      <c r="BS144" s="24">
        <f t="shared" si="117"/>
        <v>1.8680987175206409</v>
      </c>
      <c r="BT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5.1159076974727213E-13</v>
      </c>
      <c r="BZ144" s="14">
        <f>BY144*VLOOKUP('Données projet'!$B$12,Paramètres!$A$1:$I$89,3,0)*VLOOKUP('Données projet'!$B$12,Paramètres!$A$1:$I$89,5,0)</f>
        <v>2.3942448024172334E-13</v>
      </c>
      <c r="CA144" s="14">
        <f t="shared" si="147"/>
        <v>3.2492669905861755E-12</v>
      </c>
      <c r="CB144" s="22">
        <f t="shared" si="118"/>
        <v>6.0761376450252565E-12</v>
      </c>
      <c r="CC144" s="60">
        <f t="shared" si="119"/>
        <v>293.3333333333394</v>
      </c>
      <c r="CD144" s="60">
        <f ca="1">AVERAGE(OFFSET($CC$3,0,0,'Données projet'!$E$12+1,1))-AVERAGE(OFFSET($H$3,0,0,'Données projet'!$E$12+1,1))</f>
        <v>246.72166704460847</v>
      </c>
      <c r="CE144" s="60">
        <f t="shared" si="148"/>
        <v>145.54897745089966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2.4</v>
      </c>
      <c r="CT144" s="13">
        <f>IF('Données projet'!$A$140&gt;35,CT143+CS144-DB143,IF(A144&lt;'Données projet'!$A$140,$CQ$205^A144,IF(A144='Données projet'!$A$140,'Données projet'!$B$140,CT143+CS144-DB143)))</f>
        <v>271.39999999999924</v>
      </c>
      <c r="CU144" s="18">
        <f>CT144*VLOOKUP('Données projet'!$B$13,Paramètres!$A$1:$I$89,3,0)*VLOOKUP('Données projet'!$B$13,Paramètres!$A$1:$I$89,5,0)</f>
        <v>245.5627199999993</v>
      </c>
      <c r="CV144" s="14">
        <f t="shared" si="149"/>
        <v>59.634776048276741</v>
      </c>
      <c r="CW144" s="22">
        <f t="shared" si="121"/>
        <v>531.55230561741405</v>
      </c>
      <c r="CX144" s="60">
        <f t="shared" si="122"/>
        <v>824.88563895074731</v>
      </c>
      <c r="CY144" s="60">
        <f ca="1">AVERAGE(OFFSET($CX$3,0,0,'Données projet'!$E$13+1,1))-AVERAGE(OFFSET($H$3,0,0,'Données projet'!$E$13+1,1))</f>
        <v>428.8489304403459</v>
      </c>
      <c r="CZ144" s="60">
        <f t="shared" si="150"/>
        <v>247.01165577562966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-5.1159076974727213E-13</v>
      </c>
      <c r="DP144" s="18">
        <f>DO144*VLOOKUP('Données projet'!$B$14,Paramètres!$A$1:$I$89,3,0)*VLOOKUP('Données projet'!$B$14,Paramètres!$A$1:$I$89,5,0)</f>
        <v>-5.3471467253984886E-13</v>
      </c>
      <c r="DQ144" s="14" t="e">
        <f t="shared" si="151"/>
        <v>#NUM!</v>
      </c>
      <c r="DR144" s="22" t="e">
        <f t="shared" si="124"/>
        <v>#NUM!</v>
      </c>
      <c r="DS144" s="60" t="e">
        <f t="shared" si="125"/>
        <v>#NUM!</v>
      </c>
      <c r="DT144" s="60">
        <f ca="1">AVERAGE(OFFSET($DS$3,0,0,'Données projet'!$E$14+1,1))-AVERAGE(OFFSET($H$3,0,0,'Données projet'!$E$14+1,1))</f>
        <v>493.70175665335978</v>
      </c>
      <c r="DU144" s="60">
        <f t="shared" si="152"/>
        <v>325.12357781685949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-1.9895196601282805E-13</v>
      </c>
      <c r="EK144" s="18">
        <f>EJ144*VLOOKUP('Données projet'!$B$15,Paramètres!$A$1:$I$89,3,0)*VLOOKUP('Données projet'!$B$15,Paramètres!$A$1:$I$89,5,0)</f>
        <v>-1.6138983482960614E-13</v>
      </c>
      <c r="EL144" s="14" t="e">
        <f t="shared" si="153"/>
        <v>#NUM!</v>
      </c>
      <c r="EM144" s="22" t="e">
        <f t="shared" si="127"/>
        <v>#NUM!</v>
      </c>
      <c r="EN144" s="60" t="e">
        <f t="shared" si="128"/>
        <v>#NUM!</v>
      </c>
      <c r="EO144" s="60">
        <f ca="1">AVERAGE(OFFSET($EN$3,0,0,'Données projet'!$E$15+1,1))-AVERAGE(OFFSET($H$3,0,0,'Données projet'!$E$15+1,1))</f>
        <v>236.22643401787644</v>
      </c>
      <c r="EP144" s="60">
        <f t="shared" si="154"/>
        <v>188.80444043778022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5.4978954722173515E-14</v>
      </c>
      <c r="FG144" s="14">
        <f t="shared" si="155"/>
        <v>8.8550225887742724E-13</v>
      </c>
      <c r="FH144" s="22">
        <f t="shared" si="130"/>
        <v>1.6380047803526383E-12</v>
      </c>
      <c r="FI144" s="60">
        <f t="shared" si="131"/>
        <v>293.33333333333496</v>
      </c>
      <c r="FJ144" s="60">
        <f ca="1">AVERAGE(OFFSET($FI$3,0,0,'Données projet'!$E$16+1,1))-AVERAGE(OFFSET($H$3,0,0,'Données projet'!$E$16+1,1))</f>
        <v>255.59755832175625</v>
      </c>
      <c r="FK144" s="60">
        <f t="shared" si="156"/>
        <v>154.0840647586964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0" t="e">
        <f t="shared" si="134"/>
        <v>#N/A</v>
      </c>
      <c r="GE144" s="60" t="e">
        <f ca="1">AVERAGE(OFFSET($GD$3,0,0,'Données projet'!$E$17+1,1))-AVERAGE(OFFSET($H$3,0,0,'Données projet'!$E$17+1,1))</f>
        <v>#N/A</v>
      </c>
      <c r="GF144" s="60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7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0" t="e">
        <f t="shared" si="137"/>
        <v>#N/A</v>
      </c>
      <c r="GZ144" s="60" t="e">
        <f ca="1">AVERAGE(OFFSET($GY$3,0,0,'Données projet'!$E$18+1,1))-AVERAGE(OFFSET($H$3,0,0,'Données projet'!$E$18+1,1))</f>
        <v>#N/A</v>
      </c>
      <c r="HA144" s="60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5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68">
        <f t="shared" si="110"/>
        <v>256.66666666666669</v>
      </c>
      <c r="I145" s="7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0" t="e">
        <f t="shared" si="109"/>
        <v>#NUM!</v>
      </c>
      <c r="S145" s="60">
        <f ca="1">AVERAGE(OFFSET($R$3,0,0,'Données projet'!$E$9+1,1))-AVERAGE(OFFSET($H$3,0,0,'Données projet'!$E$9+1,1))</f>
        <v>64.775385872852041</v>
      </c>
      <c r="T145" s="60">
        <f t="shared" si="142"/>
        <v>201.69061202990468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3.4969098486256969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8.3842462146162798E-19</v>
      </c>
      <c r="AC145" s="24">
        <f t="shared" si="111"/>
        <v>3.4969098486256969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277.63319999999919</v>
      </c>
      <c r="AK145" s="14">
        <f t="shared" si="143"/>
        <v>66.466589162975524</v>
      </c>
      <c r="AL145" s="22">
        <f t="shared" si="112"/>
        <v>599.30713279218094</v>
      </c>
      <c r="AM145" s="60">
        <f t="shared" si="113"/>
        <v>892.64046612551419</v>
      </c>
      <c r="AN145" s="60">
        <f ca="1">AVERAGE(OFFSET($AM$3,0,0,'Données projet'!$E$10+1,1))-AVERAGE(OFFSET($H$3,0,0,'Données projet'!$E$10+1,1))</f>
        <v>475.47920969424894</v>
      </c>
      <c r="AO145" s="60">
        <f t="shared" si="144"/>
        <v>271.73544012419364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7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6.7984728957526396E-14</v>
      </c>
      <c r="BF145" s="14">
        <f t="shared" si="145"/>
        <v>1.0682447123141398E-12</v>
      </c>
      <c r="BG145" s="22">
        <f t="shared" si="115"/>
        <v>1.978932943548152E-12</v>
      </c>
      <c r="BH145" s="60">
        <f t="shared" si="116"/>
        <v>293.3333333333353</v>
      </c>
      <c r="BI145" s="60">
        <f ca="1">AVERAGE(OFFSET($BH$3,0,0,'Données projet'!$E$11+1,1))-AVERAGE(OFFSET($H$3,0,0,'Données projet'!$E$11+1,1))</f>
        <v>260.02504691866199</v>
      </c>
      <c r="BJ145" s="60">
        <f t="shared" si="146"/>
        <v>270.11268336406368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1.0890918753850436</v>
      </c>
      <c r="BQ145" s="23">
        <f>EXP(-LN(2)/25)*BQ144+(1-EXP(-LN(2)/25))/(LN(2)/25)*Calculateur!BL145*Calculateur!BN145*VLOOKUP('Données projet'!$B$11,Paramètres!$A$1:$I$89,3,0)*0.475*44/12</f>
        <v>0.73651694217867669</v>
      </c>
      <c r="BR145" s="23">
        <f>EXP(-LN(2)/2)*BR144+(1-EXP(-LN(2)/2))/(LN(2)/2)*BL145*BO145*VLOOKUP('Données projet'!$B$11,Paramètres!$A$1:$I$89,3,0)*0.475*44/12</f>
        <v>8.7984632717361729E-17</v>
      </c>
      <c r="BS145" s="24">
        <f t="shared" si="117"/>
        <v>1.8256088175637202</v>
      </c>
      <c r="BT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5.1159076974727213E-13</v>
      </c>
      <c r="BZ145" s="14">
        <f>BY145*VLOOKUP('Données projet'!$B$12,Paramètres!$A$1:$I$89,3,0)*VLOOKUP('Données projet'!$B$12,Paramètres!$A$1:$I$89,5,0)</f>
        <v>2.3942448024172334E-13</v>
      </c>
      <c r="CA145" s="14">
        <f t="shared" si="147"/>
        <v>3.2492669905861755E-12</v>
      </c>
      <c r="CB145" s="22">
        <f t="shared" si="118"/>
        <v>6.0761376450252565E-12</v>
      </c>
      <c r="CC145" s="60">
        <f t="shared" si="119"/>
        <v>293.3333333333394</v>
      </c>
      <c r="CD145" s="60">
        <f ca="1">AVERAGE(OFFSET($CC$3,0,0,'Données projet'!$E$12+1,1))-AVERAGE(OFFSET($H$3,0,0,'Données projet'!$E$12+1,1))</f>
        <v>246.72166704460847</v>
      </c>
      <c r="CE145" s="60">
        <f t="shared" si="148"/>
        <v>145.54897745089966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2.4</v>
      </c>
      <c r="CT145" s="13">
        <f>IF('Données projet'!$A$140&gt;35,CT144+CS145-DB144,IF(A145&lt;'Données projet'!$A$140,$CQ$205^A145,IF(A145='Données projet'!$A$140,'Données projet'!$B$140,CT144+CS145-DB144)))</f>
        <v>273.79999999999922</v>
      </c>
      <c r="CU145" s="18">
        <f>CT145*VLOOKUP('Données projet'!$B$13,Paramètres!$A$1:$I$89,3,0)*VLOOKUP('Données projet'!$B$13,Paramètres!$A$1:$I$89,5,0)</f>
        <v>247.73423999999929</v>
      </c>
      <c r="CV145" s="14">
        <f t="shared" si="149"/>
        <v>60.100505665694953</v>
      </c>
      <c r="CW145" s="22">
        <f t="shared" si="121"/>
        <v>536.14551536775082</v>
      </c>
      <c r="CX145" s="60">
        <f t="shared" si="122"/>
        <v>829.47884870108419</v>
      </c>
      <c r="CY145" s="60">
        <f ca="1">AVERAGE(OFFSET($CX$3,0,0,'Données projet'!$E$13+1,1))-AVERAGE(OFFSET($H$3,0,0,'Données projet'!$E$13+1,1))</f>
        <v>428.8489304403459</v>
      </c>
      <c r="CZ145" s="60">
        <f t="shared" si="150"/>
        <v>247.01165577562966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-5.1159076974727213E-13</v>
      </c>
      <c r="DP145" s="18">
        <f>DO145*VLOOKUP('Données projet'!$B$14,Paramètres!$A$1:$I$89,3,0)*VLOOKUP('Données projet'!$B$14,Paramètres!$A$1:$I$89,5,0)</f>
        <v>-5.3471467253984886E-13</v>
      </c>
      <c r="DQ145" s="14" t="e">
        <f t="shared" si="151"/>
        <v>#NUM!</v>
      </c>
      <c r="DR145" s="22" t="e">
        <f t="shared" si="124"/>
        <v>#NUM!</v>
      </c>
      <c r="DS145" s="60" t="e">
        <f t="shared" si="125"/>
        <v>#NUM!</v>
      </c>
      <c r="DT145" s="60">
        <f ca="1">AVERAGE(OFFSET($DS$3,0,0,'Données projet'!$E$14+1,1))-AVERAGE(OFFSET($H$3,0,0,'Données projet'!$E$14+1,1))</f>
        <v>493.70175665335978</v>
      </c>
      <c r="DU145" s="60">
        <f t="shared" si="152"/>
        <v>325.12357781685949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-1.9895196601282805E-13</v>
      </c>
      <c r="EK145" s="18">
        <f>EJ145*VLOOKUP('Données projet'!$B$15,Paramètres!$A$1:$I$89,3,0)*VLOOKUP('Données projet'!$B$15,Paramètres!$A$1:$I$89,5,0)</f>
        <v>-1.6138983482960614E-13</v>
      </c>
      <c r="EL145" s="14" t="e">
        <f t="shared" si="153"/>
        <v>#NUM!</v>
      </c>
      <c r="EM145" s="22" t="e">
        <f t="shared" si="127"/>
        <v>#NUM!</v>
      </c>
      <c r="EN145" s="60" t="e">
        <f t="shared" si="128"/>
        <v>#NUM!</v>
      </c>
      <c r="EO145" s="60">
        <f ca="1">AVERAGE(OFFSET($EN$3,0,0,'Données projet'!$E$15+1,1))-AVERAGE(OFFSET($H$3,0,0,'Données projet'!$E$15+1,1))</f>
        <v>236.22643401787644</v>
      </c>
      <c r="EP145" s="60">
        <f t="shared" si="154"/>
        <v>188.80444043778022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5.4978954722173515E-14</v>
      </c>
      <c r="FG145" s="14">
        <f t="shared" si="155"/>
        <v>8.8550225887742724E-13</v>
      </c>
      <c r="FH145" s="22">
        <f t="shared" si="130"/>
        <v>1.6380047803526383E-12</v>
      </c>
      <c r="FI145" s="60">
        <f t="shared" si="131"/>
        <v>293.33333333333496</v>
      </c>
      <c r="FJ145" s="60">
        <f ca="1">AVERAGE(OFFSET($FI$3,0,0,'Données projet'!$E$16+1,1))-AVERAGE(OFFSET($H$3,0,0,'Données projet'!$E$16+1,1))</f>
        <v>255.59755832175625</v>
      </c>
      <c r="FK145" s="60">
        <f t="shared" si="156"/>
        <v>154.0840647586964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0" t="e">
        <f t="shared" si="134"/>
        <v>#N/A</v>
      </c>
      <c r="GE145" s="60" t="e">
        <f ca="1">AVERAGE(OFFSET($GD$3,0,0,'Données projet'!$E$17+1,1))-AVERAGE(OFFSET($H$3,0,0,'Données projet'!$E$17+1,1))</f>
        <v>#N/A</v>
      </c>
      <c r="GF145" s="60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7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0" t="e">
        <f t="shared" si="137"/>
        <v>#N/A</v>
      </c>
      <c r="GZ145" s="60" t="e">
        <f ca="1">AVERAGE(OFFSET($GY$3,0,0,'Données projet'!$E$18+1,1))-AVERAGE(OFFSET($H$3,0,0,'Données projet'!$E$18+1,1))</f>
        <v>#N/A</v>
      </c>
      <c r="HA145" s="60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5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68">
        <f t="shared" si="110"/>
        <v>256.66666666666669</v>
      </c>
      <c r="I146" s="7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0" t="e">
        <f t="shared" si="109"/>
        <v>#NUM!</v>
      </c>
      <c r="S146" s="60">
        <f ca="1">AVERAGE(OFFSET($R$3,0,0,'Données projet'!$E$9+1,1))-AVERAGE(OFFSET($H$3,0,0,'Données projet'!$E$9+1,1))</f>
        <v>64.775385872852041</v>
      </c>
      <c r="T146" s="60">
        <f t="shared" si="142"/>
        <v>201.69061202990468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3.4283375793985478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5.9285573534928131E-19</v>
      </c>
      <c r="AC146" s="24">
        <f t="shared" si="111"/>
        <v>3.4283375793985478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280.0667999999992</v>
      </c>
      <c r="AK146" s="14">
        <f t="shared" si="143"/>
        <v>66.981125445388756</v>
      </c>
      <c r="AL146" s="22">
        <f t="shared" si="112"/>
        <v>604.44180348405064</v>
      </c>
      <c r="AM146" s="60">
        <f t="shared" si="113"/>
        <v>897.77513681738401</v>
      </c>
      <c r="AN146" s="60">
        <f ca="1">AVERAGE(OFFSET($AM$3,0,0,'Données projet'!$E$10+1,1))-AVERAGE(OFFSET($H$3,0,0,'Données projet'!$E$10+1,1))</f>
        <v>475.47920969424894</v>
      </c>
      <c r="AO146" s="60">
        <f t="shared" si="144"/>
        <v>271.73544012419364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7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6.7984728957526396E-14</v>
      </c>
      <c r="BF146" s="14">
        <f t="shared" si="145"/>
        <v>1.0682447123141398E-12</v>
      </c>
      <c r="BG146" s="22">
        <f t="shared" si="115"/>
        <v>1.978932943548152E-12</v>
      </c>
      <c r="BH146" s="60">
        <f t="shared" si="116"/>
        <v>293.3333333333353</v>
      </c>
      <c r="BI146" s="60">
        <f ca="1">AVERAGE(OFFSET($BH$3,0,0,'Données projet'!$E$11+1,1))-AVERAGE(OFFSET($H$3,0,0,'Données projet'!$E$11+1,1))</f>
        <v>260.02504691866199</v>
      </c>
      <c r="BJ146" s="60">
        <f t="shared" si="146"/>
        <v>270.11268336406368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1.0677354479891947</v>
      </c>
      <c r="BQ146" s="23">
        <f>EXP(-LN(2)/25)*BQ145+(1-EXP(-LN(2)/25))/(LN(2)/25)*Calculateur!BL146*Calculateur!BN146*VLOOKUP('Données projet'!$B$11,Paramètres!$A$1:$I$89,3,0)*0.475*44/12</f>
        <v>0.71637684766305809</v>
      </c>
      <c r="BR146" s="23">
        <f>EXP(-LN(2)/2)*BR145+(1-EXP(-LN(2)/2))/(LN(2)/2)*BL146*BO146*VLOOKUP('Données projet'!$B$11,Paramètres!$A$1:$I$89,3,0)*0.475*44/12</f>
        <v>6.221453043465425E-17</v>
      </c>
      <c r="BS146" s="24">
        <f t="shared" si="117"/>
        <v>1.7841122956522528</v>
      </c>
      <c r="BT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5.1159076974727213E-13</v>
      </c>
      <c r="BZ146" s="14">
        <f>BY146*VLOOKUP('Données projet'!$B$12,Paramètres!$A$1:$I$89,3,0)*VLOOKUP('Données projet'!$B$12,Paramètres!$A$1:$I$89,5,0)</f>
        <v>2.3942448024172334E-13</v>
      </c>
      <c r="CA146" s="14">
        <f t="shared" si="147"/>
        <v>3.2492669905861755E-12</v>
      </c>
      <c r="CB146" s="22">
        <f t="shared" si="118"/>
        <v>6.0761376450252565E-12</v>
      </c>
      <c r="CC146" s="60">
        <f t="shared" si="119"/>
        <v>293.3333333333394</v>
      </c>
      <c r="CD146" s="60">
        <f ca="1">AVERAGE(OFFSET($CC$3,0,0,'Données projet'!$E$12+1,1))-AVERAGE(OFFSET($H$3,0,0,'Données projet'!$E$12+1,1))</f>
        <v>246.72166704460847</v>
      </c>
      <c r="CE146" s="60">
        <f t="shared" si="148"/>
        <v>145.54897745089966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2.4</v>
      </c>
      <c r="CT146" s="13">
        <f>IF('Données projet'!$A$140&gt;35,CT145+CS146-DB145,IF(A146&lt;'Données projet'!$A$140,$CQ$205^A146,IF(A146='Données projet'!$A$140,'Données projet'!$B$140,CT145+CS146-DB145)))</f>
        <v>276.19999999999919</v>
      </c>
      <c r="CU146" s="18">
        <f>CT146*VLOOKUP('Données projet'!$B$13,Paramètres!$A$1:$I$89,3,0)*VLOOKUP('Données projet'!$B$13,Paramètres!$A$1:$I$89,5,0)</f>
        <v>249.90575999999925</v>
      </c>
      <c r="CV146" s="14">
        <f t="shared" si="149"/>
        <v>60.565760331923727</v>
      </c>
      <c r="CW146" s="22">
        <f t="shared" si="121"/>
        <v>540.73789791143247</v>
      </c>
      <c r="CX146" s="60">
        <f t="shared" si="122"/>
        <v>834.07123124476584</v>
      </c>
      <c r="CY146" s="60">
        <f ca="1">AVERAGE(OFFSET($CX$3,0,0,'Données projet'!$E$13+1,1))-AVERAGE(OFFSET($H$3,0,0,'Données projet'!$E$13+1,1))</f>
        <v>428.8489304403459</v>
      </c>
      <c r="CZ146" s="60">
        <f t="shared" si="150"/>
        <v>247.01165577562966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-5.1159076974727213E-13</v>
      </c>
      <c r="DP146" s="18">
        <f>DO146*VLOOKUP('Données projet'!$B$14,Paramètres!$A$1:$I$89,3,0)*VLOOKUP('Données projet'!$B$14,Paramètres!$A$1:$I$89,5,0)</f>
        <v>-5.3471467253984886E-13</v>
      </c>
      <c r="DQ146" s="14" t="e">
        <f t="shared" si="151"/>
        <v>#NUM!</v>
      </c>
      <c r="DR146" s="22" t="e">
        <f t="shared" si="124"/>
        <v>#NUM!</v>
      </c>
      <c r="DS146" s="60" t="e">
        <f t="shared" si="125"/>
        <v>#NUM!</v>
      </c>
      <c r="DT146" s="60">
        <f ca="1">AVERAGE(OFFSET($DS$3,0,0,'Données projet'!$E$14+1,1))-AVERAGE(OFFSET($H$3,0,0,'Données projet'!$E$14+1,1))</f>
        <v>493.70175665335978</v>
      </c>
      <c r="DU146" s="60">
        <f t="shared" si="152"/>
        <v>325.12357781685949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-1.9895196601282805E-13</v>
      </c>
      <c r="EK146" s="18">
        <f>EJ146*VLOOKUP('Données projet'!$B$15,Paramètres!$A$1:$I$89,3,0)*VLOOKUP('Données projet'!$B$15,Paramètres!$A$1:$I$89,5,0)</f>
        <v>-1.6138983482960614E-13</v>
      </c>
      <c r="EL146" s="14" t="e">
        <f t="shared" si="153"/>
        <v>#NUM!</v>
      </c>
      <c r="EM146" s="22" t="e">
        <f t="shared" si="127"/>
        <v>#NUM!</v>
      </c>
      <c r="EN146" s="60" t="e">
        <f t="shared" si="128"/>
        <v>#NUM!</v>
      </c>
      <c r="EO146" s="60">
        <f ca="1">AVERAGE(OFFSET($EN$3,0,0,'Données projet'!$E$15+1,1))-AVERAGE(OFFSET($H$3,0,0,'Données projet'!$E$15+1,1))</f>
        <v>236.22643401787644</v>
      </c>
      <c r="EP146" s="60">
        <f t="shared" si="154"/>
        <v>188.80444043778022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5.4978954722173515E-14</v>
      </c>
      <c r="FG146" s="14">
        <f t="shared" si="155"/>
        <v>8.8550225887742724E-13</v>
      </c>
      <c r="FH146" s="22">
        <f t="shared" si="130"/>
        <v>1.6380047803526383E-12</v>
      </c>
      <c r="FI146" s="60">
        <f t="shared" si="131"/>
        <v>293.33333333333496</v>
      </c>
      <c r="FJ146" s="60">
        <f ca="1">AVERAGE(OFFSET($FI$3,0,0,'Données projet'!$E$16+1,1))-AVERAGE(OFFSET($H$3,0,0,'Données projet'!$E$16+1,1))</f>
        <v>255.59755832175625</v>
      </c>
      <c r="FK146" s="60">
        <f t="shared" si="156"/>
        <v>154.0840647586964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0" t="e">
        <f t="shared" si="134"/>
        <v>#N/A</v>
      </c>
      <c r="GE146" s="60" t="e">
        <f ca="1">AVERAGE(OFFSET($GD$3,0,0,'Données projet'!$E$17+1,1))-AVERAGE(OFFSET($H$3,0,0,'Données projet'!$E$17+1,1))</f>
        <v>#N/A</v>
      </c>
      <c r="GF146" s="60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7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0" t="e">
        <f t="shared" si="137"/>
        <v>#N/A</v>
      </c>
      <c r="GZ146" s="60" t="e">
        <f ca="1">AVERAGE(OFFSET($GY$3,0,0,'Données projet'!$E$18+1,1))-AVERAGE(OFFSET($H$3,0,0,'Données projet'!$E$18+1,1))</f>
        <v>#N/A</v>
      </c>
      <c r="HA146" s="60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5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68">
        <f t="shared" si="110"/>
        <v>256.66666666666669</v>
      </c>
      <c r="I147" s="7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0" t="e">
        <f t="shared" si="109"/>
        <v>#NUM!</v>
      </c>
      <c r="S147" s="60">
        <f ca="1">AVERAGE(OFFSET($R$3,0,0,'Données projet'!$E$9+1,1))-AVERAGE(OFFSET($H$3,0,0,'Données projet'!$E$9+1,1))</f>
        <v>64.775385872852041</v>
      </c>
      <c r="T147" s="60">
        <f t="shared" si="142"/>
        <v>201.69061202990468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3.3611099705459888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4.1921231073081399E-19</v>
      </c>
      <c r="AC147" s="24">
        <f t="shared" si="111"/>
        <v>3.3611099705459888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282.50039999999916</v>
      </c>
      <c r="AK147" s="14">
        <f t="shared" si="143"/>
        <v>67.495141560894254</v>
      </c>
      <c r="AL147" s="22">
        <f t="shared" si="112"/>
        <v>609.57556821855599</v>
      </c>
      <c r="AM147" s="60">
        <f t="shared" si="113"/>
        <v>902.90890155188936</v>
      </c>
      <c r="AN147" s="60">
        <f ca="1">AVERAGE(OFFSET($AM$3,0,0,'Données projet'!$E$10+1,1))-AVERAGE(OFFSET($H$3,0,0,'Données projet'!$E$10+1,1))</f>
        <v>475.47920969424894</v>
      </c>
      <c r="AO147" s="60">
        <f t="shared" si="144"/>
        <v>271.73544012419364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7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6.7984728957526396E-14</v>
      </c>
      <c r="BF147" s="14">
        <f t="shared" si="145"/>
        <v>1.0682447123141398E-12</v>
      </c>
      <c r="BG147" s="22">
        <f t="shared" si="115"/>
        <v>1.978932943548152E-12</v>
      </c>
      <c r="BH147" s="60">
        <f t="shared" si="116"/>
        <v>293.3333333333353</v>
      </c>
      <c r="BI147" s="60">
        <f ca="1">AVERAGE(OFFSET($BH$3,0,0,'Données projet'!$E$11+1,1))-AVERAGE(OFFSET($H$3,0,0,'Données projet'!$E$11+1,1))</f>
        <v>260.02504691866199</v>
      </c>
      <c r="BJ147" s="60">
        <f t="shared" si="146"/>
        <v>270.11268336406368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1.0467978071084438</v>
      </c>
      <c r="BQ147" s="23">
        <f>EXP(-LN(2)/25)*BQ146+(1-EXP(-LN(2)/25))/(LN(2)/25)*Calculateur!BL147*Calculateur!BN147*VLOOKUP('Données projet'!$B$11,Paramètres!$A$1:$I$89,3,0)*0.475*44/12</f>
        <v>0.69678748509109067</v>
      </c>
      <c r="BR147" s="23">
        <f>EXP(-LN(2)/2)*BR146+(1-EXP(-LN(2)/2))/(LN(2)/2)*BL147*BO147*VLOOKUP('Données projet'!$B$11,Paramètres!$A$1:$I$89,3,0)*0.475*44/12</f>
        <v>4.3992316358680865E-17</v>
      </c>
      <c r="BS147" s="24">
        <f t="shared" si="117"/>
        <v>1.7435852921995345</v>
      </c>
      <c r="BT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5.1159076974727213E-13</v>
      </c>
      <c r="BZ147" s="14">
        <f>BY147*VLOOKUP('Données projet'!$B$12,Paramètres!$A$1:$I$89,3,0)*VLOOKUP('Données projet'!$B$12,Paramètres!$A$1:$I$89,5,0)</f>
        <v>2.3942448024172334E-13</v>
      </c>
      <c r="CA147" s="14">
        <f t="shared" si="147"/>
        <v>3.2492669905861755E-12</v>
      </c>
      <c r="CB147" s="22">
        <f t="shared" si="118"/>
        <v>6.0761376450252565E-12</v>
      </c>
      <c r="CC147" s="60">
        <f t="shared" si="119"/>
        <v>293.3333333333394</v>
      </c>
      <c r="CD147" s="60">
        <f ca="1">AVERAGE(OFFSET($CC$3,0,0,'Données projet'!$E$12+1,1))-AVERAGE(OFFSET($H$3,0,0,'Données projet'!$E$12+1,1))</f>
        <v>246.72166704460847</v>
      </c>
      <c r="CE147" s="60">
        <f t="shared" si="148"/>
        <v>145.54897745089966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2.4</v>
      </c>
      <c r="CT147" s="13">
        <f>IF('Données projet'!$A$140&gt;35,CT146+CS147-DB146,IF(A147&lt;'Données projet'!$A$140,$CQ$205^A147,IF(A147='Données projet'!$A$140,'Données projet'!$B$140,CT146+CS147-DB146)))</f>
        <v>278.59999999999917</v>
      </c>
      <c r="CU147" s="18">
        <f>CT147*VLOOKUP('Données projet'!$B$13,Paramètres!$A$1:$I$89,3,0)*VLOOKUP('Données projet'!$B$13,Paramètres!$A$1:$I$89,5,0)</f>
        <v>252.07727999999923</v>
      </c>
      <c r="CV147" s="14">
        <f t="shared" si="149"/>
        <v>61.030544652154823</v>
      </c>
      <c r="CW147" s="22">
        <f t="shared" si="121"/>
        <v>545.32946126916829</v>
      </c>
      <c r="CX147" s="60">
        <f t="shared" si="122"/>
        <v>838.66279460250166</v>
      </c>
      <c r="CY147" s="60">
        <f ca="1">AVERAGE(OFFSET($CX$3,0,0,'Données projet'!$E$13+1,1))-AVERAGE(OFFSET($H$3,0,0,'Données projet'!$E$13+1,1))</f>
        <v>428.8489304403459</v>
      </c>
      <c r="CZ147" s="60">
        <f t="shared" si="150"/>
        <v>247.01165577562966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-5.1159076974727213E-13</v>
      </c>
      <c r="DP147" s="18">
        <f>DO147*VLOOKUP('Données projet'!$B$14,Paramètres!$A$1:$I$89,3,0)*VLOOKUP('Données projet'!$B$14,Paramètres!$A$1:$I$89,5,0)</f>
        <v>-5.3471467253984886E-13</v>
      </c>
      <c r="DQ147" s="14" t="e">
        <f t="shared" si="151"/>
        <v>#NUM!</v>
      </c>
      <c r="DR147" s="22" t="e">
        <f t="shared" si="124"/>
        <v>#NUM!</v>
      </c>
      <c r="DS147" s="60" t="e">
        <f t="shared" si="125"/>
        <v>#NUM!</v>
      </c>
      <c r="DT147" s="60">
        <f ca="1">AVERAGE(OFFSET($DS$3,0,0,'Données projet'!$E$14+1,1))-AVERAGE(OFFSET($H$3,0,0,'Données projet'!$E$14+1,1))</f>
        <v>493.70175665335978</v>
      </c>
      <c r="DU147" s="60">
        <f t="shared" si="152"/>
        <v>325.12357781685949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-1.9895196601282805E-13</v>
      </c>
      <c r="EK147" s="18">
        <f>EJ147*VLOOKUP('Données projet'!$B$15,Paramètres!$A$1:$I$89,3,0)*VLOOKUP('Données projet'!$B$15,Paramètres!$A$1:$I$89,5,0)</f>
        <v>-1.6138983482960614E-13</v>
      </c>
      <c r="EL147" s="14" t="e">
        <f t="shared" si="153"/>
        <v>#NUM!</v>
      </c>
      <c r="EM147" s="22" t="e">
        <f t="shared" si="127"/>
        <v>#NUM!</v>
      </c>
      <c r="EN147" s="60" t="e">
        <f t="shared" si="128"/>
        <v>#NUM!</v>
      </c>
      <c r="EO147" s="60">
        <f ca="1">AVERAGE(OFFSET($EN$3,0,0,'Données projet'!$E$15+1,1))-AVERAGE(OFFSET($H$3,0,0,'Données projet'!$E$15+1,1))</f>
        <v>236.22643401787644</v>
      </c>
      <c r="EP147" s="60">
        <f t="shared" si="154"/>
        <v>188.80444043778022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5.4978954722173515E-14</v>
      </c>
      <c r="FG147" s="14">
        <f t="shared" si="155"/>
        <v>8.8550225887742724E-13</v>
      </c>
      <c r="FH147" s="22">
        <f t="shared" si="130"/>
        <v>1.6380047803526383E-12</v>
      </c>
      <c r="FI147" s="60">
        <f t="shared" si="131"/>
        <v>293.33333333333496</v>
      </c>
      <c r="FJ147" s="60">
        <f ca="1">AVERAGE(OFFSET($FI$3,0,0,'Données projet'!$E$16+1,1))-AVERAGE(OFFSET($H$3,0,0,'Données projet'!$E$16+1,1))</f>
        <v>255.59755832175625</v>
      </c>
      <c r="FK147" s="60">
        <f t="shared" si="156"/>
        <v>154.0840647586964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0" t="e">
        <f t="shared" si="134"/>
        <v>#N/A</v>
      </c>
      <c r="GE147" s="60" t="e">
        <f ca="1">AVERAGE(OFFSET($GD$3,0,0,'Données projet'!$E$17+1,1))-AVERAGE(OFFSET($H$3,0,0,'Données projet'!$E$17+1,1))</f>
        <v>#N/A</v>
      </c>
      <c r="GF147" s="60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7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0" t="e">
        <f t="shared" si="137"/>
        <v>#N/A</v>
      </c>
      <c r="GZ147" s="60" t="e">
        <f ca="1">AVERAGE(OFFSET($GY$3,0,0,'Données projet'!$E$18+1,1))-AVERAGE(OFFSET($H$3,0,0,'Données projet'!$E$18+1,1))</f>
        <v>#N/A</v>
      </c>
      <c r="HA147" s="60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5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68">
        <f t="shared" si="110"/>
        <v>256.66666666666669</v>
      </c>
      <c r="I148" s="7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0" t="e">
        <f t="shared" si="109"/>
        <v>#NUM!</v>
      </c>
      <c r="S148" s="60">
        <f ca="1">AVERAGE(OFFSET($R$3,0,0,'Données projet'!$E$9+1,1))-AVERAGE(OFFSET($H$3,0,0,'Données projet'!$E$9+1,1))</f>
        <v>64.775385872852041</v>
      </c>
      <c r="T148" s="60">
        <f t="shared" si="142"/>
        <v>201.69061202990468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3.2952006540982359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2.9642786767464065E-19</v>
      </c>
      <c r="AC148" s="24">
        <f t="shared" si="111"/>
        <v>3.2952006540982359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284.93399999999917</v>
      </c>
      <c r="AK148" s="14">
        <f t="shared" si="143"/>
        <v>68.008642509673109</v>
      </c>
      <c r="AL148" s="22">
        <f t="shared" si="112"/>
        <v>614.7084357043459</v>
      </c>
      <c r="AM148" s="60">
        <f t="shared" si="113"/>
        <v>908.04176903767916</v>
      </c>
      <c r="AN148" s="60">
        <f ca="1">AVERAGE(OFFSET($AM$3,0,0,'Données projet'!$E$10+1,1))-AVERAGE(OFFSET($H$3,0,0,'Données projet'!$E$10+1,1))</f>
        <v>475.47920969424894</v>
      </c>
      <c r="AO148" s="60">
        <f t="shared" si="144"/>
        <v>271.73544012419364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7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6.7984728957526396E-14</v>
      </c>
      <c r="BF148" s="14">
        <f t="shared" si="145"/>
        <v>1.0682447123141398E-12</v>
      </c>
      <c r="BG148" s="22">
        <f t="shared" si="115"/>
        <v>1.978932943548152E-12</v>
      </c>
      <c r="BH148" s="60">
        <f t="shared" si="116"/>
        <v>293.3333333333353</v>
      </c>
      <c r="BI148" s="60">
        <f ca="1">AVERAGE(OFFSET($BH$3,0,0,'Données projet'!$E$11+1,1))-AVERAGE(OFFSET($H$3,0,0,'Données projet'!$E$11+1,1))</f>
        <v>260.02504691866199</v>
      </c>
      <c r="BJ148" s="60">
        <f t="shared" si="146"/>
        <v>270.11268336406368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1.0262707405946645</v>
      </c>
      <c r="BQ148" s="23">
        <f>EXP(-LN(2)/25)*BQ147+(1-EXP(-LN(2)/25))/(LN(2)/25)*Calculateur!BL148*Calculateur!BN148*VLOOKUP('Données projet'!$B$11,Paramètres!$A$1:$I$89,3,0)*0.475*44/12</f>
        <v>0.67773379466881345</v>
      </c>
      <c r="BR148" s="23">
        <f>EXP(-LN(2)/2)*BR147+(1-EXP(-LN(2)/2))/(LN(2)/2)*BL148*BO148*VLOOKUP('Données projet'!$B$11,Paramètres!$A$1:$I$89,3,0)*0.475*44/12</f>
        <v>3.1107265217327125E-17</v>
      </c>
      <c r="BS148" s="24">
        <f t="shared" si="117"/>
        <v>1.7040045352634778</v>
      </c>
      <c r="BT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5.1159076974727213E-13</v>
      </c>
      <c r="BZ148" s="14">
        <f>BY148*VLOOKUP('Données projet'!$B$12,Paramètres!$A$1:$I$89,3,0)*VLOOKUP('Données projet'!$B$12,Paramètres!$A$1:$I$89,5,0)</f>
        <v>2.3942448024172334E-13</v>
      </c>
      <c r="CA148" s="14">
        <f t="shared" si="147"/>
        <v>3.2492669905861755E-12</v>
      </c>
      <c r="CB148" s="22">
        <f t="shared" si="118"/>
        <v>6.0761376450252565E-12</v>
      </c>
      <c r="CC148" s="60">
        <f t="shared" si="119"/>
        <v>293.3333333333394</v>
      </c>
      <c r="CD148" s="60">
        <f ca="1">AVERAGE(OFFSET($CC$3,0,0,'Données projet'!$E$12+1,1))-AVERAGE(OFFSET($H$3,0,0,'Données projet'!$E$12+1,1))</f>
        <v>246.72166704460847</v>
      </c>
      <c r="CE148" s="60">
        <f t="shared" si="148"/>
        <v>145.54897745089966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2.4</v>
      </c>
      <c r="CT148" s="13">
        <f>IF('Données projet'!$A$140&gt;35,CT147+CS148-DB147,IF(A148&lt;'Données projet'!$A$140,$CQ$205^A148,IF(A148='Données projet'!$A$140,'Données projet'!$B$140,CT147+CS148-DB147)))</f>
        <v>280.99999999999915</v>
      </c>
      <c r="CU148" s="18">
        <f>CT148*VLOOKUP('Données projet'!$B$13,Paramètres!$A$1:$I$89,3,0)*VLOOKUP('Données projet'!$B$13,Paramètres!$A$1:$I$89,5,0)</f>
        <v>254.24879999999925</v>
      </c>
      <c r="CV148" s="14">
        <f t="shared" si="149"/>
        <v>61.494863147658698</v>
      </c>
      <c r="CW148" s="22">
        <f t="shared" si="121"/>
        <v>549.92021331550427</v>
      </c>
      <c r="CX148" s="60">
        <f t="shared" si="122"/>
        <v>843.25354664883753</v>
      </c>
      <c r="CY148" s="60">
        <f ca="1">AVERAGE(OFFSET($CX$3,0,0,'Données projet'!$E$13+1,1))-AVERAGE(OFFSET($H$3,0,0,'Données projet'!$E$13+1,1))</f>
        <v>428.8489304403459</v>
      </c>
      <c r="CZ148" s="60">
        <f t="shared" si="150"/>
        <v>247.01165577562966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-5.1159076974727213E-13</v>
      </c>
      <c r="DP148" s="18">
        <f>DO148*VLOOKUP('Données projet'!$B$14,Paramètres!$A$1:$I$89,3,0)*VLOOKUP('Données projet'!$B$14,Paramètres!$A$1:$I$89,5,0)</f>
        <v>-5.3471467253984886E-13</v>
      </c>
      <c r="DQ148" s="14" t="e">
        <f t="shared" si="151"/>
        <v>#NUM!</v>
      </c>
      <c r="DR148" s="22" t="e">
        <f t="shared" si="124"/>
        <v>#NUM!</v>
      </c>
      <c r="DS148" s="60" t="e">
        <f t="shared" si="125"/>
        <v>#NUM!</v>
      </c>
      <c r="DT148" s="60">
        <f ca="1">AVERAGE(OFFSET($DS$3,0,0,'Données projet'!$E$14+1,1))-AVERAGE(OFFSET($H$3,0,0,'Données projet'!$E$14+1,1))</f>
        <v>493.70175665335978</v>
      </c>
      <c r="DU148" s="60">
        <f t="shared" si="152"/>
        <v>325.12357781685949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-1.9895196601282805E-13</v>
      </c>
      <c r="EK148" s="18">
        <f>EJ148*VLOOKUP('Données projet'!$B$15,Paramètres!$A$1:$I$89,3,0)*VLOOKUP('Données projet'!$B$15,Paramètres!$A$1:$I$89,5,0)</f>
        <v>-1.6138983482960614E-13</v>
      </c>
      <c r="EL148" s="14" t="e">
        <f t="shared" si="153"/>
        <v>#NUM!</v>
      </c>
      <c r="EM148" s="22" t="e">
        <f t="shared" si="127"/>
        <v>#NUM!</v>
      </c>
      <c r="EN148" s="60" t="e">
        <f t="shared" si="128"/>
        <v>#NUM!</v>
      </c>
      <c r="EO148" s="60">
        <f ca="1">AVERAGE(OFFSET($EN$3,0,0,'Données projet'!$E$15+1,1))-AVERAGE(OFFSET($H$3,0,0,'Données projet'!$E$15+1,1))</f>
        <v>236.22643401787644</v>
      </c>
      <c r="EP148" s="60">
        <f t="shared" si="154"/>
        <v>188.80444043778022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5.4978954722173515E-14</v>
      </c>
      <c r="FG148" s="14">
        <f t="shared" si="155"/>
        <v>8.8550225887742724E-13</v>
      </c>
      <c r="FH148" s="22">
        <f t="shared" si="130"/>
        <v>1.6380047803526383E-12</v>
      </c>
      <c r="FI148" s="60">
        <f t="shared" si="131"/>
        <v>293.33333333333496</v>
      </c>
      <c r="FJ148" s="60">
        <f ca="1">AVERAGE(OFFSET($FI$3,0,0,'Données projet'!$E$16+1,1))-AVERAGE(OFFSET($H$3,0,0,'Données projet'!$E$16+1,1))</f>
        <v>255.59755832175625</v>
      </c>
      <c r="FK148" s="60">
        <f t="shared" si="156"/>
        <v>154.0840647586964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0" t="e">
        <f t="shared" si="134"/>
        <v>#N/A</v>
      </c>
      <c r="GE148" s="60" t="e">
        <f ca="1">AVERAGE(OFFSET($GD$3,0,0,'Données projet'!$E$17+1,1))-AVERAGE(OFFSET($H$3,0,0,'Données projet'!$E$17+1,1))</f>
        <v>#N/A</v>
      </c>
      <c r="GF148" s="60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7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0" t="e">
        <f t="shared" si="137"/>
        <v>#N/A</v>
      </c>
      <c r="GZ148" s="60" t="e">
        <f ca="1">AVERAGE(OFFSET($GY$3,0,0,'Données projet'!$E$18+1,1))-AVERAGE(OFFSET($H$3,0,0,'Données projet'!$E$18+1,1))</f>
        <v>#N/A</v>
      </c>
      <c r="HA148" s="60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5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68">
        <f t="shared" si="110"/>
        <v>256.66666666666669</v>
      </c>
      <c r="I149" s="7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0" t="e">
        <f t="shared" si="109"/>
        <v>#NUM!</v>
      </c>
      <c r="S149" s="60">
        <f ca="1">AVERAGE(OFFSET($R$3,0,0,'Données projet'!$E$9+1,1))-AVERAGE(OFFSET($H$3,0,0,'Données projet'!$E$9+1,1))</f>
        <v>64.775385872852041</v>
      </c>
      <c r="T149" s="60">
        <f t="shared" si="142"/>
        <v>201.69061202990468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3.2305837791453098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2.09606155365407E-19</v>
      </c>
      <c r="AC149" s="24">
        <f t="shared" si="111"/>
        <v>3.2305837791453098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287.36759999999913</v>
      </c>
      <c r="AK149" s="14">
        <f t="shared" si="143"/>
        <v>68.521633201564995</v>
      </c>
      <c r="AL149" s="22">
        <f t="shared" si="112"/>
        <v>619.84041449272411</v>
      </c>
      <c r="AM149" s="60">
        <f t="shared" si="113"/>
        <v>913.17374782605748</v>
      </c>
      <c r="AN149" s="60">
        <f ca="1">AVERAGE(OFFSET($AM$3,0,0,'Données projet'!$E$10+1,1))-AVERAGE(OFFSET($H$3,0,0,'Données projet'!$E$10+1,1))</f>
        <v>475.47920969424894</v>
      </c>
      <c r="AO149" s="60">
        <f t="shared" si="144"/>
        <v>271.73544012419364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7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6.7984728957526396E-14</v>
      </c>
      <c r="BF149" s="14">
        <f t="shared" si="145"/>
        <v>1.0682447123141398E-12</v>
      </c>
      <c r="BG149" s="22">
        <f t="shared" si="115"/>
        <v>1.978932943548152E-12</v>
      </c>
      <c r="BH149" s="60">
        <f t="shared" si="116"/>
        <v>293.3333333333353</v>
      </c>
      <c r="BI149" s="60">
        <f ca="1">AVERAGE(OFFSET($BH$3,0,0,'Données projet'!$E$11+1,1))-AVERAGE(OFFSET($H$3,0,0,'Données projet'!$E$11+1,1))</f>
        <v>260.02504691866199</v>
      </c>
      <c r="BJ149" s="60">
        <f t="shared" si="146"/>
        <v>270.11268336406368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1.0061461973349461</v>
      </c>
      <c r="BQ149" s="23">
        <f>EXP(-LN(2)/25)*BQ148+(1-EXP(-LN(2)/25))/(LN(2)/25)*Calculateur!BL149*Calculateur!BN149*VLOOKUP('Données projet'!$B$11,Paramètres!$A$1:$I$89,3,0)*0.475*44/12</f>
        <v>0.6592011284131235</v>
      </c>
      <c r="BR149" s="23">
        <f>EXP(-LN(2)/2)*BR148+(1-EXP(-LN(2)/2))/(LN(2)/2)*BL149*BO149*VLOOKUP('Données projet'!$B$11,Paramètres!$A$1:$I$89,3,0)*0.475*44/12</f>
        <v>2.1996158179340432E-17</v>
      </c>
      <c r="BS149" s="24">
        <f t="shared" si="117"/>
        <v>1.6653473257480695</v>
      </c>
      <c r="BT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5.1159076974727213E-13</v>
      </c>
      <c r="BZ149" s="14">
        <f>BY149*VLOOKUP('Données projet'!$B$12,Paramètres!$A$1:$I$89,3,0)*VLOOKUP('Données projet'!$B$12,Paramètres!$A$1:$I$89,5,0)</f>
        <v>2.3942448024172334E-13</v>
      </c>
      <c r="CA149" s="14">
        <f t="shared" si="147"/>
        <v>3.2492669905861755E-12</v>
      </c>
      <c r="CB149" s="22">
        <f t="shared" si="118"/>
        <v>6.0761376450252565E-12</v>
      </c>
      <c r="CC149" s="60">
        <f t="shared" si="119"/>
        <v>293.3333333333394</v>
      </c>
      <c r="CD149" s="60">
        <f ca="1">AVERAGE(OFFSET($CC$3,0,0,'Données projet'!$E$12+1,1))-AVERAGE(OFFSET($H$3,0,0,'Données projet'!$E$12+1,1))</f>
        <v>246.72166704460847</v>
      </c>
      <c r="CE149" s="60">
        <f t="shared" si="148"/>
        <v>145.54897745089966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2.4</v>
      </c>
      <c r="CT149" s="13">
        <f>IF('Données projet'!$A$140&gt;35,CT148+CS149-DB148,IF(A149&lt;'Données projet'!$A$140,$CQ$205^A149,IF(A149='Données projet'!$A$140,'Données projet'!$B$140,CT148+CS149-DB148)))</f>
        <v>283.39999999999912</v>
      </c>
      <c r="CU149" s="18">
        <f>CT149*VLOOKUP('Données projet'!$B$13,Paramètres!$A$1:$I$89,3,0)*VLOOKUP('Données projet'!$B$13,Paramètres!$A$1:$I$89,5,0)</f>
        <v>256.42031999999921</v>
      </c>
      <c r="CV149" s="14">
        <f t="shared" si="149"/>
        <v>61.958720258016747</v>
      </c>
      <c r="CW149" s="22">
        <f t="shared" si="121"/>
        <v>554.51016178271107</v>
      </c>
      <c r="CX149" s="60">
        <f t="shared" si="122"/>
        <v>847.84349511604432</v>
      </c>
      <c r="CY149" s="60">
        <f ca="1">AVERAGE(OFFSET($CX$3,0,0,'Données projet'!$E$13+1,1))-AVERAGE(OFFSET($H$3,0,0,'Données projet'!$E$13+1,1))</f>
        <v>428.8489304403459</v>
      </c>
      <c r="CZ149" s="60">
        <f t="shared" si="150"/>
        <v>247.01165577562966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-5.1159076974727213E-13</v>
      </c>
      <c r="DP149" s="18">
        <f>DO149*VLOOKUP('Données projet'!$B$14,Paramètres!$A$1:$I$89,3,0)*VLOOKUP('Données projet'!$B$14,Paramètres!$A$1:$I$89,5,0)</f>
        <v>-5.3471467253984886E-13</v>
      </c>
      <c r="DQ149" s="14" t="e">
        <f t="shared" si="151"/>
        <v>#NUM!</v>
      </c>
      <c r="DR149" s="22" t="e">
        <f t="shared" si="124"/>
        <v>#NUM!</v>
      </c>
      <c r="DS149" s="60" t="e">
        <f t="shared" si="125"/>
        <v>#NUM!</v>
      </c>
      <c r="DT149" s="60">
        <f ca="1">AVERAGE(OFFSET($DS$3,0,0,'Données projet'!$E$14+1,1))-AVERAGE(OFFSET($H$3,0,0,'Données projet'!$E$14+1,1))</f>
        <v>493.70175665335978</v>
      </c>
      <c r="DU149" s="60">
        <f t="shared" si="152"/>
        <v>325.12357781685949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-1.9895196601282805E-13</v>
      </c>
      <c r="EK149" s="18">
        <f>EJ149*VLOOKUP('Données projet'!$B$15,Paramètres!$A$1:$I$89,3,0)*VLOOKUP('Données projet'!$B$15,Paramètres!$A$1:$I$89,5,0)</f>
        <v>-1.6138983482960614E-13</v>
      </c>
      <c r="EL149" s="14" t="e">
        <f t="shared" si="153"/>
        <v>#NUM!</v>
      </c>
      <c r="EM149" s="22" t="e">
        <f t="shared" si="127"/>
        <v>#NUM!</v>
      </c>
      <c r="EN149" s="60" t="e">
        <f t="shared" si="128"/>
        <v>#NUM!</v>
      </c>
      <c r="EO149" s="60">
        <f ca="1">AVERAGE(OFFSET($EN$3,0,0,'Données projet'!$E$15+1,1))-AVERAGE(OFFSET($H$3,0,0,'Données projet'!$E$15+1,1))</f>
        <v>236.22643401787644</v>
      </c>
      <c r="EP149" s="60">
        <f t="shared" si="154"/>
        <v>188.80444043778022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5.4978954722173515E-14</v>
      </c>
      <c r="FG149" s="14">
        <f t="shared" si="155"/>
        <v>8.8550225887742724E-13</v>
      </c>
      <c r="FH149" s="22">
        <f t="shared" si="130"/>
        <v>1.6380047803526383E-12</v>
      </c>
      <c r="FI149" s="60">
        <f t="shared" si="131"/>
        <v>293.33333333333496</v>
      </c>
      <c r="FJ149" s="60">
        <f ca="1">AVERAGE(OFFSET($FI$3,0,0,'Données projet'!$E$16+1,1))-AVERAGE(OFFSET($H$3,0,0,'Données projet'!$E$16+1,1))</f>
        <v>255.59755832175625</v>
      </c>
      <c r="FK149" s="60">
        <f t="shared" si="156"/>
        <v>154.0840647586964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0" t="e">
        <f t="shared" si="134"/>
        <v>#N/A</v>
      </c>
      <c r="GE149" s="60" t="e">
        <f ca="1">AVERAGE(OFFSET($GD$3,0,0,'Données projet'!$E$17+1,1))-AVERAGE(OFFSET($H$3,0,0,'Données projet'!$E$17+1,1))</f>
        <v>#N/A</v>
      </c>
      <c r="GF149" s="60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7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0" t="e">
        <f t="shared" si="137"/>
        <v>#N/A</v>
      </c>
      <c r="GZ149" s="60" t="e">
        <f ca="1">AVERAGE(OFFSET($GY$3,0,0,'Données projet'!$E$18+1,1))-AVERAGE(OFFSET($H$3,0,0,'Données projet'!$E$18+1,1))</f>
        <v>#N/A</v>
      </c>
      <c r="HA149" s="60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5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68">
        <f t="shared" si="110"/>
        <v>256.66666666666669</v>
      </c>
      <c r="I150" s="7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0" t="e">
        <f t="shared" si="109"/>
        <v>#NUM!</v>
      </c>
      <c r="S150" s="60">
        <f ca="1">AVERAGE(OFFSET($R$3,0,0,'Données projet'!$E$9+1,1))-AVERAGE(OFFSET($H$3,0,0,'Données projet'!$E$9+1,1))</f>
        <v>64.775385872852041</v>
      </c>
      <c r="T150" s="60">
        <f t="shared" si="142"/>
        <v>201.69061202990468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3.1672340016978087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1.4821393383732033E-19</v>
      </c>
      <c r="AC150" s="24">
        <f t="shared" si="111"/>
        <v>3.1672340016978087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289.80119999999908</v>
      </c>
      <c r="AK150" s="14">
        <f t="shared" si="143"/>
        <v>69.034118458450664</v>
      </c>
      <c r="AL150" s="22">
        <f t="shared" si="112"/>
        <v>624.97151298179995</v>
      </c>
      <c r="AM150" s="60">
        <f t="shared" si="113"/>
        <v>918.30484631513332</v>
      </c>
      <c r="AN150" s="60">
        <f ca="1">AVERAGE(OFFSET($AM$3,0,0,'Données projet'!$E$10+1,1))-AVERAGE(OFFSET($H$3,0,0,'Données projet'!$E$10+1,1))</f>
        <v>475.47920969424894</v>
      </c>
      <c r="AO150" s="60">
        <f t="shared" si="144"/>
        <v>271.73544012419364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7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6.7984728957526396E-14</v>
      </c>
      <c r="BF150" s="14">
        <f t="shared" si="145"/>
        <v>1.0682447123141398E-12</v>
      </c>
      <c r="BG150" s="22">
        <f t="shared" si="115"/>
        <v>1.978932943548152E-12</v>
      </c>
      <c r="BH150" s="60">
        <f t="shared" si="116"/>
        <v>293.3333333333353</v>
      </c>
      <c r="BI150" s="60">
        <f ca="1">AVERAGE(OFFSET($BH$3,0,0,'Données projet'!$E$11+1,1))-AVERAGE(OFFSET($H$3,0,0,'Données projet'!$E$11+1,1))</f>
        <v>260.02504691866199</v>
      </c>
      <c r="BJ150" s="60">
        <f t="shared" si="146"/>
        <v>270.11268336406368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0.98641628409379156</v>
      </c>
      <c r="BQ150" s="23">
        <f>EXP(-LN(2)/25)*BQ149+(1-EXP(-LN(2)/25))/(LN(2)/25)*Calculateur!BL150*Calculateur!BN150*VLOOKUP('Données projet'!$B$11,Paramètres!$A$1:$I$89,3,0)*0.475*44/12</f>
        <v>0.64117523889078587</v>
      </c>
      <c r="BR150" s="23">
        <f>EXP(-LN(2)/2)*BR149+(1-EXP(-LN(2)/2))/(LN(2)/2)*BL150*BO150*VLOOKUP('Données projet'!$B$11,Paramètres!$A$1:$I$89,3,0)*0.475*44/12</f>
        <v>1.5553632608663563E-17</v>
      </c>
      <c r="BS150" s="24">
        <f t="shared" si="117"/>
        <v>1.6275915229845774</v>
      </c>
      <c r="BT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5.1159076974727213E-13</v>
      </c>
      <c r="BZ150" s="14">
        <f>BY150*VLOOKUP('Données projet'!$B$12,Paramètres!$A$1:$I$89,3,0)*VLOOKUP('Données projet'!$B$12,Paramètres!$A$1:$I$89,5,0)</f>
        <v>2.3942448024172334E-13</v>
      </c>
      <c r="CA150" s="14">
        <f t="shared" si="147"/>
        <v>3.2492669905861755E-12</v>
      </c>
      <c r="CB150" s="22">
        <f t="shared" si="118"/>
        <v>6.0761376450252565E-12</v>
      </c>
      <c r="CC150" s="60">
        <f t="shared" si="119"/>
        <v>293.3333333333394</v>
      </c>
      <c r="CD150" s="60">
        <f ca="1">AVERAGE(OFFSET($CC$3,0,0,'Données projet'!$E$12+1,1))-AVERAGE(OFFSET($H$3,0,0,'Données projet'!$E$12+1,1))</f>
        <v>246.72166704460847</v>
      </c>
      <c r="CE150" s="60">
        <f t="shared" si="148"/>
        <v>145.54897745089966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2.4</v>
      </c>
      <c r="CT150" s="13">
        <f>IF('Données projet'!$A$140&gt;35,CT149+CS150-DB149,IF(A150&lt;'Données projet'!$A$140,$CQ$205^A150,IF(A150='Données projet'!$A$140,'Données projet'!$B$140,CT149+CS150-DB149)))</f>
        <v>285.7999999999991</v>
      </c>
      <c r="CU150" s="18">
        <f>CT150*VLOOKUP('Données projet'!$B$13,Paramètres!$A$1:$I$89,3,0)*VLOOKUP('Données projet'!$B$13,Paramètres!$A$1:$I$89,5,0)</f>
        <v>258.59183999999919</v>
      </c>
      <c r="CV150" s="14">
        <f t="shared" si="149"/>
        <v>62.422120343276475</v>
      </c>
      <c r="CW150" s="22">
        <f t="shared" si="121"/>
        <v>559.09931426453841</v>
      </c>
      <c r="CX150" s="60">
        <f t="shared" si="122"/>
        <v>852.43264759787166</v>
      </c>
      <c r="CY150" s="60">
        <f ca="1">AVERAGE(OFFSET($CX$3,0,0,'Données projet'!$E$13+1,1))-AVERAGE(OFFSET($H$3,0,0,'Données projet'!$E$13+1,1))</f>
        <v>428.8489304403459</v>
      </c>
      <c r="CZ150" s="60">
        <f t="shared" si="150"/>
        <v>247.01165577562966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-5.1159076974727213E-13</v>
      </c>
      <c r="DP150" s="18">
        <f>DO150*VLOOKUP('Données projet'!$B$14,Paramètres!$A$1:$I$89,3,0)*VLOOKUP('Données projet'!$B$14,Paramètres!$A$1:$I$89,5,0)</f>
        <v>-5.3471467253984886E-13</v>
      </c>
      <c r="DQ150" s="14" t="e">
        <f t="shared" si="151"/>
        <v>#NUM!</v>
      </c>
      <c r="DR150" s="22" t="e">
        <f t="shared" si="124"/>
        <v>#NUM!</v>
      </c>
      <c r="DS150" s="60" t="e">
        <f t="shared" si="125"/>
        <v>#NUM!</v>
      </c>
      <c r="DT150" s="60">
        <f ca="1">AVERAGE(OFFSET($DS$3,0,0,'Données projet'!$E$14+1,1))-AVERAGE(OFFSET($H$3,0,0,'Données projet'!$E$14+1,1))</f>
        <v>493.70175665335978</v>
      </c>
      <c r="DU150" s="60">
        <f t="shared" si="152"/>
        <v>325.12357781685949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-1.9895196601282805E-13</v>
      </c>
      <c r="EK150" s="18">
        <f>EJ150*VLOOKUP('Données projet'!$B$15,Paramètres!$A$1:$I$89,3,0)*VLOOKUP('Données projet'!$B$15,Paramètres!$A$1:$I$89,5,0)</f>
        <v>-1.6138983482960614E-13</v>
      </c>
      <c r="EL150" s="14" t="e">
        <f t="shared" si="153"/>
        <v>#NUM!</v>
      </c>
      <c r="EM150" s="22" t="e">
        <f t="shared" si="127"/>
        <v>#NUM!</v>
      </c>
      <c r="EN150" s="60" t="e">
        <f t="shared" si="128"/>
        <v>#NUM!</v>
      </c>
      <c r="EO150" s="60">
        <f ca="1">AVERAGE(OFFSET($EN$3,0,0,'Données projet'!$E$15+1,1))-AVERAGE(OFFSET($H$3,0,0,'Données projet'!$E$15+1,1))</f>
        <v>236.22643401787644</v>
      </c>
      <c r="EP150" s="60">
        <f t="shared" si="154"/>
        <v>188.80444043778022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5.4978954722173515E-14</v>
      </c>
      <c r="FG150" s="14">
        <f t="shared" si="155"/>
        <v>8.8550225887742724E-13</v>
      </c>
      <c r="FH150" s="22">
        <f t="shared" si="130"/>
        <v>1.6380047803526383E-12</v>
      </c>
      <c r="FI150" s="60">
        <f t="shared" si="131"/>
        <v>293.33333333333496</v>
      </c>
      <c r="FJ150" s="60">
        <f ca="1">AVERAGE(OFFSET($FI$3,0,0,'Données projet'!$E$16+1,1))-AVERAGE(OFFSET($H$3,0,0,'Données projet'!$E$16+1,1))</f>
        <v>255.59755832175625</v>
      </c>
      <c r="FK150" s="60">
        <f t="shared" si="156"/>
        <v>154.0840647586964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0" t="e">
        <f t="shared" si="134"/>
        <v>#N/A</v>
      </c>
      <c r="GE150" s="60" t="e">
        <f ca="1">AVERAGE(OFFSET($GD$3,0,0,'Données projet'!$E$17+1,1))-AVERAGE(OFFSET($H$3,0,0,'Données projet'!$E$17+1,1))</f>
        <v>#N/A</v>
      </c>
      <c r="GF150" s="60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7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0" t="e">
        <f t="shared" si="137"/>
        <v>#N/A</v>
      </c>
      <c r="GZ150" s="60" t="e">
        <f ca="1">AVERAGE(OFFSET($GY$3,0,0,'Données projet'!$E$18+1,1))-AVERAGE(OFFSET($H$3,0,0,'Données projet'!$E$18+1,1))</f>
        <v>#N/A</v>
      </c>
      <c r="HA150" s="60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5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68">
        <f t="shared" si="110"/>
        <v>256.66666666666669</v>
      </c>
      <c r="I151" s="7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0" t="e">
        <f t="shared" si="109"/>
        <v>#NUM!</v>
      </c>
      <c r="S151" s="60">
        <f ca="1">AVERAGE(OFFSET($R$3,0,0,'Données projet'!$E$9+1,1))-AVERAGE(OFFSET($H$3,0,0,'Données projet'!$E$9+1,1))</f>
        <v>64.775385872852041</v>
      </c>
      <c r="T151" s="60">
        <f t="shared" si="142"/>
        <v>201.69061202990468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3.1051264747465042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1.048030776827035E-19</v>
      </c>
      <c r="AC151" s="24">
        <f t="shared" si="111"/>
        <v>3.1051264747465042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292.2347999999991</v>
      </c>
      <c r="AK151" s="14">
        <f t="shared" si="143"/>
        <v>69.546103016553573</v>
      </c>
      <c r="AL151" s="22">
        <f t="shared" si="112"/>
        <v>630.10173942049585</v>
      </c>
      <c r="AM151" s="60">
        <f t="shared" si="113"/>
        <v>923.43507275382922</v>
      </c>
      <c r="AN151" s="60">
        <f ca="1">AVERAGE(OFFSET($AM$3,0,0,'Données projet'!$E$10+1,1))-AVERAGE(OFFSET($H$3,0,0,'Données projet'!$E$10+1,1))</f>
        <v>475.47920969424894</v>
      </c>
      <c r="AO151" s="60">
        <f t="shared" si="144"/>
        <v>271.73544012419364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7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6.7984728957526396E-14</v>
      </c>
      <c r="BF151" s="14">
        <f t="shared" si="145"/>
        <v>1.0682447123141398E-12</v>
      </c>
      <c r="BG151" s="22">
        <f t="shared" si="115"/>
        <v>1.978932943548152E-12</v>
      </c>
      <c r="BH151" s="60">
        <f t="shared" si="116"/>
        <v>293.3333333333353</v>
      </c>
      <c r="BI151" s="60">
        <f ca="1">AVERAGE(OFFSET($BH$3,0,0,'Données projet'!$E$11+1,1))-AVERAGE(OFFSET($H$3,0,0,'Données projet'!$E$11+1,1))</f>
        <v>260.02504691866199</v>
      </c>
      <c r="BJ151" s="60">
        <f t="shared" si="146"/>
        <v>270.11268336406368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0.96707326241723712</v>
      </c>
      <c r="BQ151" s="23">
        <f>EXP(-LN(2)/25)*BQ150+(1-EXP(-LN(2)/25))/(LN(2)/25)*Calculateur!BL151*Calculateur!BN151*VLOOKUP('Données projet'!$B$11,Paramètres!$A$1:$I$89,3,0)*0.475*44/12</f>
        <v>0.62364226826537694</v>
      </c>
      <c r="BR151" s="23">
        <f>EXP(-LN(2)/2)*BR150+(1-EXP(-LN(2)/2))/(LN(2)/2)*BL151*BO151*VLOOKUP('Données projet'!$B$11,Paramètres!$A$1:$I$89,3,0)*0.475*44/12</f>
        <v>1.0998079089670216E-17</v>
      </c>
      <c r="BS151" s="24">
        <f t="shared" si="117"/>
        <v>1.5907155306826142</v>
      </c>
      <c r="BT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5.1159076974727213E-13</v>
      </c>
      <c r="BZ151" s="14">
        <f>BY151*VLOOKUP('Données projet'!$B$12,Paramètres!$A$1:$I$89,3,0)*VLOOKUP('Données projet'!$B$12,Paramètres!$A$1:$I$89,5,0)</f>
        <v>2.3942448024172334E-13</v>
      </c>
      <c r="CA151" s="14">
        <f t="shared" si="147"/>
        <v>3.2492669905861755E-12</v>
      </c>
      <c r="CB151" s="22">
        <f t="shared" si="118"/>
        <v>6.0761376450252565E-12</v>
      </c>
      <c r="CC151" s="60">
        <f t="shared" si="119"/>
        <v>293.3333333333394</v>
      </c>
      <c r="CD151" s="60">
        <f ca="1">AVERAGE(OFFSET($CC$3,0,0,'Données projet'!$E$12+1,1))-AVERAGE(OFFSET($H$3,0,0,'Données projet'!$E$12+1,1))</f>
        <v>246.72166704460847</v>
      </c>
      <c r="CE151" s="60">
        <f t="shared" si="148"/>
        <v>145.54897745089966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2.4</v>
      </c>
      <c r="CT151" s="13">
        <f>IF('Données projet'!$A$140&gt;35,CT150+CS151-DB150,IF(A151&lt;'Données projet'!$A$140,$CQ$205^A151,IF(A151='Données projet'!$A$140,'Données projet'!$B$140,CT150+CS151-DB150)))</f>
        <v>288.19999999999908</v>
      </c>
      <c r="CU151" s="18">
        <f>CT151*VLOOKUP('Données projet'!$B$13,Paramètres!$A$1:$I$89,3,0)*VLOOKUP('Données projet'!$B$13,Paramètres!$A$1:$I$89,5,0)</f>
        <v>260.76335999999918</v>
      </c>
      <c r="CV151" s="14">
        <f t="shared" si="149"/>
        <v>62.885067686031789</v>
      </c>
      <c r="CW151" s="22">
        <f t="shared" si="121"/>
        <v>563.68767821983727</v>
      </c>
      <c r="CX151" s="60">
        <f t="shared" si="122"/>
        <v>857.02101155317064</v>
      </c>
      <c r="CY151" s="60">
        <f ca="1">AVERAGE(OFFSET($CX$3,0,0,'Données projet'!$E$13+1,1))-AVERAGE(OFFSET($H$3,0,0,'Données projet'!$E$13+1,1))</f>
        <v>428.8489304403459</v>
      </c>
      <c r="CZ151" s="60">
        <f t="shared" si="150"/>
        <v>247.01165577562966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-5.1159076974727213E-13</v>
      </c>
      <c r="DP151" s="18">
        <f>DO151*VLOOKUP('Données projet'!$B$14,Paramètres!$A$1:$I$89,3,0)*VLOOKUP('Données projet'!$B$14,Paramètres!$A$1:$I$89,5,0)</f>
        <v>-5.3471467253984886E-13</v>
      </c>
      <c r="DQ151" s="14" t="e">
        <f t="shared" si="151"/>
        <v>#NUM!</v>
      </c>
      <c r="DR151" s="22" t="e">
        <f t="shared" si="124"/>
        <v>#NUM!</v>
      </c>
      <c r="DS151" s="60" t="e">
        <f t="shared" si="125"/>
        <v>#NUM!</v>
      </c>
      <c r="DT151" s="60">
        <f ca="1">AVERAGE(OFFSET($DS$3,0,0,'Données projet'!$E$14+1,1))-AVERAGE(OFFSET($H$3,0,0,'Données projet'!$E$14+1,1))</f>
        <v>493.70175665335978</v>
      </c>
      <c r="DU151" s="60">
        <f t="shared" si="152"/>
        <v>325.12357781685949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-1.9895196601282805E-13</v>
      </c>
      <c r="EK151" s="18">
        <f>EJ151*VLOOKUP('Données projet'!$B$15,Paramètres!$A$1:$I$89,3,0)*VLOOKUP('Données projet'!$B$15,Paramètres!$A$1:$I$89,5,0)</f>
        <v>-1.6138983482960614E-13</v>
      </c>
      <c r="EL151" s="14" t="e">
        <f t="shared" si="153"/>
        <v>#NUM!</v>
      </c>
      <c r="EM151" s="22" t="e">
        <f t="shared" si="127"/>
        <v>#NUM!</v>
      </c>
      <c r="EN151" s="60" t="e">
        <f t="shared" si="128"/>
        <v>#NUM!</v>
      </c>
      <c r="EO151" s="60">
        <f ca="1">AVERAGE(OFFSET($EN$3,0,0,'Données projet'!$E$15+1,1))-AVERAGE(OFFSET($H$3,0,0,'Données projet'!$E$15+1,1))</f>
        <v>236.22643401787644</v>
      </c>
      <c r="EP151" s="60">
        <f t="shared" si="154"/>
        <v>188.80444043778022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5.4978954722173515E-14</v>
      </c>
      <c r="FG151" s="14">
        <f t="shared" si="155"/>
        <v>8.8550225887742724E-13</v>
      </c>
      <c r="FH151" s="22">
        <f t="shared" si="130"/>
        <v>1.6380047803526383E-12</v>
      </c>
      <c r="FI151" s="60">
        <f t="shared" si="131"/>
        <v>293.33333333333496</v>
      </c>
      <c r="FJ151" s="60">
        <f ca="1">AVERAGE(OFFSET($FI$3,0,0,'Données projet'!$E$16+1,1))-AVERAGE(OFFSET($H$3,0,0,'Données projet'!$E$16+1,1))</f>
        <v>255.59755832175625</v>
      </c>
      <c r="FK151" s="60">
        <f t="shared" si="156"/>
        <v>154.0840647586964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0" t="e">
        <f t="shared" si="134"/>
        <v>#N/A</v>
      </c>
      <c r="GE151" s="60" t="e">
        <f ca="1">AVERAGE(OFFSET($GD$3,0,0,'Données projet'!$E$17+1,1))-AVERAGE(OFFSET($H$3,0,0,'Données projet'!$E$17+1,1))</f>
        <v>#N/A</v>
      </c>
      <c r="GF151" s="60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7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0" t="e">
        <f t="shared" si="137"/>
        <v>#N/A</v>
      </c>
      <c r="GZ151" s="60" t="e">
        <f ca="1">AVERAGE(OFFSET($GY$3,0,0,'Données projet'!$E$18+1,1))-AVERAGE(OFFSET($H$3,0,0,'Données projet'!$E$18+1,1))</f>
        <v>#N/A</v>
      </c>
      <c r="HA151" s="60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5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68">
        <f t="shared" si="110"/>
        <v>256.66666666666669</v>
      </c>
      <c r="I152" s="7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0" t="e">
        <f t="shared" si="109"/>
        <v>#NUM!</v>
      </c>
      <c r="S152" s="60">
        <f ca="1">AVERAGE(OFFSET($R$3,0,0,'Données projet'!$E$9+1,1))-AVERAGE(OFFSET($H$3,0,0,'Données projet'!$E$9+1,1))</f>
        <v>64.775385872852041</v>
      </c>
      <c r="T152" s="60">
        <f t="shared" si="142"/>
        <v>201.69061202990468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3.0442368385168637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7.4106966918660164E-20</v>
      </c>
      <c r="AC152" s="24">
        <f t="shared" si="111"/>
        <v>3.0442368385168637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294.66839999999905</v>
      </c>
      <c r="AK152" s="14">
        <f t="shared" si="143"/>
        <v>70.057591528661362</v>
      </c>
      <c r="AL152" s="22">
        <f t="shared" si="112"/>
        <v>635.23110191241688</v>
      </c>
      <c r="AM152" s="60">
        <f t="shared" si="113"/>
        <v>928.56443524575025</v>
      </c>
      <c r="AN152" s="60">
        <f ca="1">AVERAGE(OFFSET($AM$3,0,0,'Données projet'!$E$10+1,1))-AVERAGE(OFFSET($H$3,0,0,'Données projet'!$E$10+1,1))</f>
        <v>475.47920969424894</v>
      </c>
      <c r="AO152" s="60">
        <f t="shared" si="144"/>
        <v>271.73544012419364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7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6.7984728957526396E-14</v>
      </c>
      <c r="BF152" s="14">
        <f t="shared" si="145"/>
        <v>1.0682447123141398E-12</v>
      </c>
      <c r="BG152" s="22">
        <f t="shared" si="115"/>
        <v>1.978932943548152E-12</v>
      </c>
      <c r="BH152" s="60">
        <f t="shared" si="116"/>
        <v>293.3333333333353</v>
      </c>
      <c r="BI152" s="60">
        <f ca="1">AVERAGE(OFFSET($BH$3,0,0,'Données projet'!$E$11+1,1))-AVERAGE(OFFSET($H$3,0,0,'Données projet'!$E$11+1,1))</f>
        <v>260.02504691866199</v>
      </c>
      <c r="BJ152" s="60">
        <f t="shared" si="146"/>
        <v>270.11268336406368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0.94810954559768168</v>
      </c>
      <c r="BQ152" s="23">
        <f>EXP(-LN(2)/25)*BQ151+(1-EXP(-LN(2)/25))/(LN(2)/25)*Calculateur!BL152*Calculateur!BN152*VLOOKUP('Données projet'!$B$11,Paramètres!$A$1:$I$89,3,0)*0.475*44/12</f>
        <v>0.60658873764373866</v>
      </c>
      <c r="BR152" s="23">
        <f>EXP(-LN(2)/2)*BR151+(1-EXP(-LN(2)/2))/(LN(2)/2)*BL152*BO152*VLOOKUP('Données projet'!$B$11,Paramètres!$A$1:$I$89,3,0)*0.475*44/12</f>
        <v>7.7768163043317813E-18</v>
      </c>
      <c r="BS152" s="24">
        <f t="shared" si="117"/>
        <v>1.5546982832414202</v>
      </c>
      <c r="BT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5.1159076974727213E-13</v>
      </c>
      <c r="BZ152" s="14">
        <f>BY152*VLOOKUP('Données projet'!$B$12,Paramètres!$A$1:$I$89,3,0)*VLOOKUP('Données projet'!$B$12,Paramètres!$A$1:$I$89,5,0)</f>
        <v>2.3942448024172334E-13</v>
      </c>
      <c r="CA152" s="14">
        <f t="shared" si="147"/>
        <v>3.2492669905861755E-12</v>
      </c>
      <c r="CB152" s="22">
        <f t="shared" si="118"/>
        <v>6.0761376450252565E-12</v>
      </c>
      <c r="CC152" s="60">
        <f t="shared" si="119"/>
        <v>293.3333333333394</v>
      </c>
      <c r="CD152" s="60">
        <f ca="1">AVERAGE(OFFSET($CC$3,0,0,'Données projet'!$E$12+1,1))-AVERAGE(OFFSET($H$3,0,0,'Données projet'!$E$12+1,1))</f>
        <v>246.72166704460847</v>
      </c>
      <c r="CE152" s="60">
        <f t="shared" si="148"/>
        <v>145.54897745089966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2.4</v>
      </c>
      <c r="CT152" s="13">
        <f>IF('Données projet'!$A$140&gt;35,CT151+CS152-DB151,IF(A152&lt;'Données projet'!$A$140,$CQ$205^A152,IF(A152='Données projet'!$A$140,'Données projet'!$B$140,CT151+CS152-DB151)))</f>
        <v>290.59999999999906</v>
      </c>
      <c r="CU152" s="18">
        <f>CT152*VLOOKUP('Données projet'!$B$13,Paramètres!$A$1:$I$89,3,0)*VLOOKUP('Données projet'!$B$13,Paramètres!$A$1:$I$89,5,0)</f>
        <v>262.93487999999911</v>
      </c>
      <c r="CV152" s="14">
        <f t="shared" si="149"/>
        <v>63.347566493432595</v>
      </c>
      <c r="CW152" s="22">
        <f t="shared" si="121"/>
        <v>568.27526097606028</v>
      </c>
      <c r="CX152" s="60">
        <f t="shared" si="122"/>
        <v>861.60859430939354</v>
      </c>
      <c r="CY152" s="60">
        <f ca="1">AVERAGE(OFFSET($CX$3,0,0,'Données projet'!$E$13+1,1))-AVERAGE(OFFSET($H$3,0,0,'Données projet'!$E$13+1,1))</f>
        <v>428.8489304403459</v>
      </c>
      <c r="CZ152" s="60">
        <f t="shared" si="150"/>
        <v>247.01165577562966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-5.1159076974727213E-13</v>
      </c>
      <c r="DP152" s="18">
        <f>DO152*VLOOKUP('Données projet'!$B$14,Paramètres!$A$1:$I$89,3,0)*VLOOKUP('Données projet'!$B$14,Paramètres!$A$1:$I$89,5,0)</f>
        <v>-5.3471467253984886E-13</v>
      </c>
      <c r="DQ152" s="14" t="e">
        <f t="shared" si="151"/>
        <v>#NUM!</v>
      </c>
      <c r="DR152" s="22" t="e">
        <f t="shared" si="124"/>
        <v>#NUM!</v>
      </c>
      <c r="DS152" s="60" t="e">
        <f t="shared" si="125"/>
        <v>#NUM!</v>
      </c>
      <c r="DT152" s="60">
        <f ca="1">AVERAGE(OFFSET($DS$3,0,0,'Données projet'!$E$14+1,1))-AVERAGE(OFFSET($H$3,0,0,'Données projet'!$E$14+1,1))</f>
        <v>493.70175665335978</v>
      </c>
      <c r="DU152" s="60">
        <f t="shared" si="152"/>
        <v>325.12357781685949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-1.9895196601282805E-13</v>
      </c>
      <c r="EK152" s="18">
        <f>EJ152*VLOOKUP('Données projet'!$B$15,Paramètres!$A$1:$I$89,3,0)*VLOOKUP('Données projet'!$B$15,Paramètres!$A$1:$I$89,5,0)</f>
        <v>-1.6138983482960614E-13</v>
      </c>
      <c r="EL152" s="14" t="e">
        <f t="shared" si="153"/>
        <v>#NUM!</v>
      </c>
      <c r="EM152" s="22" t="e">
        <f t="shared" si="127"/>
        <v>#NUM!</v>
      </c>
      <c r="EN152" s="60" t="e">
        <f t="shared" si="128"/>
        <v>#NUM!</v>
      </c>
      <c r="EO152" s="60">
        <f ca="1">AVERAGE(OFFSET($EN$3,0,0,'Données projet'!$E$15+1,1))-AVERAGE(OFFSET($H$3,0,0,'Données projet'!$E$15+1,1))</f>
        <v>236.22643401787644</v>
      </c>
      <c r="EP152" s="60">
        <f t="shared" si="154"/>
        <v>188.80444043778022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5.4978954722173515E-14</v>
      </c>
      <c r="FG152" s="14">
        <f t="shared" si="155"/>
        <v>8.8550225887742724E-13</v>
      </c>
      <c r="FH152" s="22">
        <f t="shared" si="130"/>
        <v>1.6380047803526383E-12</v>
      </c>
      <c r="FI152" s="60">
        <f t="shared" si="131"/>
        <v>293.33333333333496</v>
      </c>
      <c r="FJ152" s="60">
        <f ca="1">AVERAGE(OFFSET($FI$3,0,0,'Données projet'!$E$16+1,1))-AVERAGE(OFFSET($H$3,0,0,'Données projet'!$E$16+1,1))</f>
        <v>255.59755832175625</v>
      </c>
      <c r="FK152" s="60">
        <f t="shared" si="156"/>
        <v>154.0840647586964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0" t="e">
        <f t="shared" si="134"/>
        <v>#N/A</v>
      </c>
      <c r="GE152" s="60" t="e">
        <f ca="1">AVERAGE(OFFSET($GD$3,0,0,'Données projet'!$E$17+1,1))-AVERAGE(OFFSET($H$3,0,0,'Données projet'!$E$17+1,1))</f>
        <v>#N/A</v>
      </c>
      <c r="GF152" s="60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7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0" t="e">
        <f t="shared" si="137"/>
        <v>#N/A</v>
      </c>
      <c r="GZ152" s="60" t="e">
        <f ca="1">AVERAGE(OFFSET($GY$3,0,0,'Données projet'!$E$18+1,1))-AVERAGE(OFFSET($H$3,0,0,'Données projet'!$E$18+1,1))</f>
        <v>#N/A</v>
      </c>
      <c r="HA152" s="60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5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68">
        <f t="shared" si="110"/>
        <v>256.66666666666669</v>
      </c>
      <c r="I153" s="7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0" t="e">
        <f t="shared" si="109"/>
        <v>#NUM!</v>
      </c>
      <c r="S153" s="60">
        <f ca="1">AVERAGE(OFFSET($R$3,0,0,'Données projet'!$E$9+1,1))-AVERAGE(OFFSET($H$3,0,0,'Données projet'!$E$9+1,1))</f>
        <v>64.775385872852041</v>
      </c>
      <c r="T153" s="60">
        <f t="shared" si="142"/>
        <v>201.69061202990468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2.9845412109146756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5.2401538841351749E-20</v>
      </c>
      <c r="AC153" s="24">
        <f t="shared" si="111"/>
        <v>2.9845412109146756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297.10199999999907</v>
      </c>
      <c r="AK153" s="14">
        <f t="shared" si="143"/>
        <v>70.568588566272624</v>
      </c>
      <c r="AL153" s="22">
        <f t="shared" si="112"/>
        <v>640.3596084195899</v>
      </c>
      <c r="AM153" s="60">
        <f t="shared" si="113"/>
        <v>933.69294175292316</v>
      </c>
      <c r="AN153" s="60">
        <f ca="1">AVERAGE(OFFSET($AM$3,0,0,'Données projet'!$E$10+1,1))-AVERAGE(OFFSET($H$3,0,0,'Données projet'!$E$10+1,1))</f>
        <v>475.47920969424894</v>
      </c>
      <c r="AO153" s="60">
        <f t="shared" si="144"/>
        <v>271.73544012419364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7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6.7984728957526396E-14</v>
      </c>
      <c r="BF153" s="14">
        <f t="shared" si="145"/>
        <v>1.0682447123141398E-12</v>
      </c>
      <c r="BG153" s="22">
        <f t="shared" si="115"/>
        <v>1.978932943548152E-12</v>
      </c>
      <c r="BH153" s="60">
        <f t="shared" si="116"/>
        <v>293.3333333333353</v>
      </c>
      <c r="BI153" s="60">
        <f ca="1">AVERAGE(OFFSET($BH$3,0,0,'Données projet'!$E$11+1,1))-AVERAGE(OFFSET($H$3,0,0,'Données projet'!$E$11+1,1))</f>
        <v>260.02504691866199</v>
      </c>
      <c r="BJ153" s="60">
        <f t="shared" si="146"/>
        <v>270.11268336406368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0.92951769569823262</v>
      </c>
      <c r="BQ153" s="23">
        <f>EXP(-LN(2)/25)*BQ152+(1-EXP(-LN(2)/25))/(LN(2)/25)*Calculateur!BL153*Calculateur!BN153*VLOOKUP('Données projet'!$B$11,Paramètres!$A$1:$I$89,3,0)*0.475*44/12</f>
        <v>0.59000153671375533</v>
      </c>
      <c r="BR153" s="23">
        <f>EXP(-LN(2)/2)*BR152+(1-EXP(-LN(2)/2))/(LN(2)/2)*BL153*BO153*VLOOKUP('Données projet'!$B$11,Paramètres!$A$1:$I$89,3,0)*0.475*44/12</f>
        <v>5.4990395448351081E-18</v>
      </c>
      <c r="BS153" s="24">
        <f t="shared" si="117"/>
        <v>1.5195192324119879</v>
      </c>
      <c r="BT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5.1159076974727213E-13</v>
      </c>
      <c r="BZ153" s="14">
        <f>BY153*VLOOKUP('Données projet'!$B$12,Paramètres!$A$1:$I$89,3,0)*VLOOKUP('Données projet'!$B$12,Paramètres!$A$1:$I$89,5,0)</f>
        <v>2.3942448024172334E-13</v>
      </c>
      <c r="CA153" s="14">
        <f t="shared" si="147"/>
        <v>3.2492669905861755E-12</v>
      </c>
      <c r="CB153" s="22">
        <f t="shared" si="118"/>
        <v>6.0761376450252565E-12</v>
      </c>
      <c r="CC153" s="60">
        <f t="shared" si="119"/>
        <v>293.3333333333394</v>
      </c>
      <c r="CD153" s="60">
        <f ca="1">AVERAGE(OFFSET($CC$3,0,0,'Données projet'!$E$12+1,1))-AVERAGE(OFFSET($H$3,0,0,'Données projet'!$E$12+1,1))</f>
        <v>246.72166704460847</v>
      </c>
      <c r="CE153" s="60">
        <f t="shared" si="148"/>
        <v>145.54897745089966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>
        <f>VLOOKUP(A153,'Données projet'!$A$139:$I$159,2,0)</f>
        <v>293</v>
      </c>
      <c r="CR153" s="13">
        <f>VLOOKUP(A153,'Données projet'!$A$139:$I$159,9,0)</f>
        <v>2.4</v>
      </c>
      <c r="CS153" s="13">
        <f t="array" ref="CS153">INDEX(CR:CR,MIN(IF(ISNUMBER(CR153:CR349),ROW(CR153:CR349),"")))</f>
        <v>2.4</v>
      </c>
      <c r="CT153" s="13">
        <f>IF('Données projet'!$A$140&gt;35,CT152+CS153-DB152,IF(A153&lt;'Données projet'!$A$140,$CQ$205^A153,IF(A153='Données projet'!$A$140,'Données projet'!$B$140,CT152+CS153-DB152)))</f>
        <v>292.99999999999903</v>
      </c>
      <c r="CU153" s="18">
        <f>CT153*VLOOKUP('Données projet'!$B$13,Paramètres!$A$1:$I$89,3,0)*VLOOKUP('Données projet'!$B$13,Paramètres!$A$1:$I$89,5,0)</f>
        <v>265.1063999999991</v>
      </c>
      <c r="CV153" s="14">
        <f t="shared" si="149"/>
        <v>63.809620899125136</v>
      </c>
      <c r="CW153" s="22">
        <f t="shared" si="121"/>
        <v>572.86206973264132</v>
      </c>
      <c r="CX153" s="60">
        <f t="shared" si="122"/>
        <v>866.19540306597469</v>
      </c>
      <c r="CY153" s="60">
        <f ca="1">AVERAGE(OFFSET($CX$3,0,0,'Données projet'!$E$13+1,1))-AVERAGE(OFFSET($H$3,0,0,'Données projet'!$E$13+1,1))</f>
        <v>428.8489304403459</v>
      </c>
      <c r="CZ153" s="60">
        <f t="shared" si="150"/>
        <v>247.01165577562966</v>
      </c>
      <c r="DA153" s="16">
        <f>IF(ISNA(VLOOKUP(A153,'Données projet'!$A$139:$I$159,3,0)),0,VLOOKUP(A153,'Données projet'!$A$139:$I$159,3,0))</f>
        <v>13</v>
      </c>
      <c r="DB153" s="16">
        <f>IF(ISNA(VLOOKUP(A153,'Données projet'!$A$139:$I$159,4,0)),0,VLOOKUP(A153,'Données projet'!$A$139:$I$159,4,0))</f>
        <v>293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-5.1159076974727213E-13</v>
      </c>
      <c r="DP153" s="18">
        <f>DO153*VLOOKUP('Données projet'!$B$14,Paramètres!$A$1:$I$89,3,0)*VLOOKUP('Données projet'!$B$14,Paramètres!$A$1:$I$89,5,0)</f>
        <v>-5.3471467253984886E-13</v>
      </c>
      <c r="DQ153" s="14" t="e">
        <f t="shared" si="151"/>
        <v>#NUM!</v>
      </c>
      <c r="DR153" s="22" t="e">
        <f t="shared" si="124"/>
        <v>#NUM!</v>
      </c>
      <c r="DS153" s="60" t="e">
        <f t="shared" si="125"/>
        <v>#NUM!</v>
      </c>
      <c r="DT153" s="60">
        <f ca="1">AVERAGE(OFFSET($DS$3,0,0,'Données projet'!$E$14+1,1))-AVERAGE(OFFSET($H$3,0,0,'Données projet'!$E$14+1,1))</f>
        <v>493.70175665335978</v>
      </c>
      <c r="DU153" s="60">
        <f t="shared" si="152"/>
        <v>325.12357781685949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-1.9895196601282805E-13</v>
      </c>
      <c r="EK153" s="18">
        <f>EJ153*VLOOKUP('Données projet'!$B$15,Paramètres!$A$1:$I$89,3,0)*VLOOKUP('Données projet'!$B$15,Paramètres!$A$1:$I$89,5,0)</f>
        <v>-1.6138983482960614E-13</v>
      </c>
      <c r="EL153" s="14" t="e">
        <f t="shared" si="153"/>
        <v>#NUM!</v>
      </c>
      <c r="EM153" s="22" t="e">
        <f t="shared" si="127"/>
        <v>#NUM!</v>
      </c>
      <c r="EN153" s="60" t="e">
        <f t="shared" si="128"/>
        <v>#NUM!</v>
      </c>
      <c r="EO153" s="60">
        <f ca="1">AVERAGE(OFFSET($EN$3,0,0,'Données projet'!$E$15+1,1))-AVERAGE(OFFSET($H$3,0,0,'Données projet'!$E$15+1,1))</f>
        <v>236.22643401787644</v>
      </c>
      <c r="EP153" s="60">
        <f t="shared" si="154"/>
        <v>188.80444043778022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5.4978954722173515E-14</v>
      </c>
      <c r="FG153" s="14">
        <f t="shared" si="155"/>
        <v>8.8550225887742724E-13</v>
      </c>
      <c r="FH153" s="22">
        <f t="shared" si="130"/>
        <v>1.6380047803526383E-12</v>
      </c>
      <c r="FI153" s="60">
        <f t="shared" si="131"/>
        <v>293.33333333333496</v>
      </c>
      <c r="FJ153" s="60">
        <f ca="1">AVERAGE(OFFSET($FI$3,0,0,'Données projet'!$E$16+1,1))-AVERAGE(OFFSET($H$3,0,0,'Données projet'!$E$16+1,1))</f>
        <v>255.59755832175625</v>
      </c>
      <c r="FK153" s="60">
        <f t="shared" si="156"/>
        <v>154.0840647586964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0" t="e">
        <f t="shared" si="134"/>
        <v>#N/A</v>
      </c>
      <c r="GE153" s="60" t="e">
        <f ca="1">AVERAGE(OFFSET($GD$3,0,0,'Données projet'!$E$17+1,1))-AVERAGE(OFFSET($H$3,0,0,'Données projet'!$E$17+1,1))</f>
        <v>#N/A</v>
      </c>
      <c r="GF153" s="60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7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0" t="e">
        <f t="shared" si="137"/>
        <v>#N/A</v>
      </c>
      <c r="GZ153" s="60" t="e">
        <f ca="1">AVERAGE(OFFSET($GY$3,0,0,'Données projet'!$E$18+1,1))-AVERAGE(OFFSET($H$3,0,0,'Données projet'!$E$18+1,1))</f>
        <v>#N/A</v>
      </c>
      <c r="HA153" s="60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5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68">
        <f t="shared" si="110"/>
        <v>256.66666666666669</v>
      </c>
      <c r="I154" s="7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0" t="e">
        <f t="shared" si="109"/>
        <v>#NUM!</v>
      </c>
      <c r="S154" s="60">
        <f ca="1">AVERAGE(OFFSET($R$3,0,0,'Données projet'!$E$9+1,1))-AVERAGE(OFFSET($H$3,0,0,'Données projet'!$E$9+1,1))</f>
        <v>64.775385872852041</v>
      </c>
      <c r="T154" s="60">
        <f t="shared" si="142"/>
        <v>201.69061202990468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2.926016178159029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3.7053483459330082E-20</v>
      </c>
      <c r="AC154" s="24">
        <f t="shared" ref="AC154:AC203" si="163">SUM(Z154:AB154)</f>
        <v>2.926016178159029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-9.7986685432260874E-13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0" t="e">
        <f t="shared" si="113"/>
        <v>#NUM!</v>
      </c>
      <c r="AN154" s="60">
        <f ca="1">AVERAGE(OFFSET($AM$3,0,0,'Données projet'!$E$10+1,1))-AVERAGE(OFFSET($H$3,0,0,'Données projet'!$E$10+1,1))</f>
        <v>475.47920969424894</v>
      </c>
      <c r="AO154" s="60">
        <f t="shared" si="144"/>
        <v>271.73544012419364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7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6.7984728957526396E-14</v>
      </c>
      <c r="BF154" s="14">
        <f t="shared" ref="BF154:BF203" si="167">EXP(-1.0587+0.8836*LN(BE154)+0.284)</f>
        <v>1.0682447123141398E-12</v>
      </c>
      <c r="BG154" s="22">
        <f t="shared" ref="BG154:BG203" si="168">(BE154+BF154)*0.475*44/12</f>
        <v>1.978932943548152E-12</v>
      </c>
      <c r="BH154" s="60">
        <f t="shared" si="116"/>
        <v>293.3333333333353</v>
      </c>
      <c r="BI154" s="60">
        <f ca="1">AVERAGE(OFFSET($BH$3,0,0,'Données projet'!$E$11+1,1))-AVERAGE(OFFSET($H$3,0,0,'Données projet'!$E$11+1,1))</f>
        <v>260.02504691866199</v>
      </c>
      <c r="BJ154" s="60">
        <f t="shared" si="146"/>
        <v>270.11268336406368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0.911290420635403</v>
      </c>
      <c r="BQ154" s="23">
        <f>EXP(-LN(2)/25)*BQ153+(1-EXP(-LN(2)/25))/(LN(2)/25)*Calculateur!BL154*Calculateur!BN154*VLOOKUP('Données projet'!$B$11,Paramètres!$A$1:$I$89,3,0)*0.475*44/12</f>
        <v>0.57386791366548529</v>
      </c>
      <c r="BR154" s="23">
        <f>EXP(-LN(2)/2)*BR153+(1-EXP(-LN(2)/2))/(LN(2)/2)*BL154*BO154*VLOOKUP('Données projet'!$B$11,Paramètres!$A$1:$I$89,3,0)*0.475*44/12</f>
        <v>3.8884081521658906E-18</v>
      </c>
      <c r="BS154" s="24">
        <f t="shared" ref="BS154:BS203" si="169">SUM(BP154:BR154)</f>
        <v>1.4851583343008883</v>
      </c>
      <c r="BT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5.1159076974727213E-13</v>
      </c>
      <c r="BZ154" s="14">
        <f>BY154*VLOOKUP('Données projet'!$B$12,Paramètres!$A$1:$I$89,3,0)*VLOOKUP('Données projet'!$B$12,Paramètres!$A$1:$I$89,5,0)</f>
        <v>2.3942448024172334E-13</v>
      </c>
      <c r="CA154" s="14">
        <f t="shared" ref="CA154:CA203" si="170">EXP(-1.0587+0.8836*LN(BZ154)+0.284)</f>
        <v>3.2492669905861755E-12</v>
      </c>
      <c r="CB154" s="22">
        <f t="shared" ref="CB154:CB203" si="171">(BZ154+CA154)*0.475*44/12</f>
        <v>6.0761376450252565E-12</v>
      </c>
      <c r="CC154" s="60">
        <f t="shared" si="119"/>
        <v>293.3333333333394</v>
      </c>
      <c r="CD154" s="60">
        <f ca="1">AVERAGE(OFFSET($CC$3,0,0,'Données projet'!$E$12+1,1))-AVERAGE(OFFSET($H$3,0,0,'Données projet'!$E$12+1,1))</f>
        <v>246.72166704460847</v>
      </c>
      <c r="CE154" s="60">
        <f t="shared" si="148"/>
        <v>145.54897745089966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-9.6633812063373625E-13</v>
      </c>
      <c r="CU154" s="18">
        <f>CT154*VLOOKUP('Données projet'!$B$13,Paramètres!$A$1:$I$89,3,0)*VLOOKUP('Données projet'!$B$13,Paramètres!$A$1:$I$89,5,0)</f>
        <v>-8.7434273154940449E-13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0" t="e">
        <f t="shared" si="122"/>
        <v>#NUM!</v>
      </c>
      <c r="CY154" s="60">
        <f ca="1">AVERAGE(OFFSET($CX$3,0,0,'Données projet'!$E$13+1,1))-AVERAGE(OFFSET($H$3,0,0,'Données projet'!$E$13+1,1))</f>
        <v>428.8489304403459</v>
      </c>
      <c r="CZ154" s="60">
        <f t="shared" si="150"/>
        <v>247.01165577562966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-5.1159076974727213E-13</v>
      </c>
      <c r="DP154" s="18">
        <f>DO154*VLOOKUP('Données projet'!$B$14,Paramètres!$A$1:$I$89,3,0)*VLOOKUP('Données projet'!$B$14,Paramètres!$A$1:$I$89,5,0)</f>
        <v>-5.3471467253984886E-13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0" t="e">
        <f t="shared" si="125"/>
        <v>#NUM!</v>
      </c>
      <c r="DT154" s="60">
        <f ca="1">AVERAGE(OFFSET($DS$3,0,0,'Données projet'!$E$14+1,1))-AVERAGE(OFFSET($H$3,0,0,'Données projet'!$E$14+1,1))</f>
        <v>493.70175665335978</v>
      </c>
      <c r="DU154" s="60">
        <f t="shared" si="152"/>
        <v>325.12357781685949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-1.9895196601282805E-13</v>
      </c>
      <c r="EK154" s="18">
        <f>EJ154*VLOOKUP('Données projet'!$B$15,Paramètres!$A$1:$I$89,3,0)*VLOOKUP('Données projet'!$B$15,Paramètres!$A$1:$I$89,5,0)</f>
        <v>-1.6138983482960614E-13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0" t="e">
        <f t="shared" si="128"/>
        <v>#NUM!</v>
      </c>
      <c r="EO154" s="60">
        <f ca="1">AVERAGE(OFFSET($EN$3,0,0,'Données projet'!$E$15+1,1))-AVERAGE(OFFSET($H$3,0,0,'Données projet'!$E$15+1,1))</f>
        <v>236.22643401787644</v>
      </c>
      <c r="EP154" s="60">
        <f t="shared" si="154"/>
        <v>188.80444043778022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5.4978954722173515E-14</v>
      </c>
      <c r="FG154" s="14">
        <f t="shared" ref="FG154:FG203" si="182">EXP(-1.0587+0.8836*LN(FF154)+0.284)</f>
        <v>8.8550225887742724E-13</v>
      </c>
      <c r="FH154" s="22">
        <f t="shared" ref="FH154:FH203" si="183">(FF154+FG154)*0.475*44/12</f>
        <v>1.6380047803526383E-12</v>
      </c>
      <c r="FI154" s="60">
        <f t="shared" si="131"/>
        <v>293.33333333333496</v>
      </c>
      <c r="FJ154" s="60">
        <f ca="1">AVERAGE(OFFSET($FI$3,0,0,'Données projet'!$E$16+1,1))-AVERAGE(OFFSET($H$3,0,0,'Données projet'!$E$16+1,1))</f>
        <v>255.59755832175625</v>
      </c>
      <c r="FK154" s="60">
        <f t="shared" si="156"/>
        <v>154.0840647586964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0" t="e">
        <f t="shared" si="134"/>
        <v>#N/A</v>
      </c>
      <c r="GE154" s="60" t="e">
        <f ca="1">AVERAGE(OFFSET($GD$3,0,0,'Données projet'!$E$17+1,1))-AVERAGE(OFFSET($H$3,0,0,'Données projet'!$E$17+1,1))</f>
        <v>#N/A</v>
      </c>
      <c r="GF154" s="60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7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0" t="e">
        <f t="shared" si="137"/>
        <v>#N/A</v>
      </c>
      <c r="GZ154" s="60" t="e">
        <f ca="1">AVERAGE(OFFSET($GY$3,0,0,'Données projet'!$E$18+1,1))-AVERAGE(OFFSET($H$3,0,0,'Données projet'!$E$18+1,1))</f>
        <v>#N/A</v>
      </c>
      <c r="HA154" s="60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5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68">
        <f t="shared" si="110"/>
        <v>256.66666666666669</v>
      </c>
      <c r="I155" s="7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0" t="e">
        <f t="shared" si="109"/>
        <v>#NUM!</v>
      </c>
      <c r="S155" s="60">
        <f ca="1">AVERAGE(OFFSET($R$3,0,0,'Données projet'!$E$9+1,1))-AVERAGE(OFFSET($H$3,0,0,'Données projet'!$E$9+1,1))</f>
        <v>64.775385872852041</v>
      </c>
      <c r="T155" s="60">
        <f t="shared" si="142"/>
        <v>201.69061202990468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2.8686387855989754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2.6200769420675874E-20</v>
      </c>
      <c r="AC155" s="24">
        <f t="shared" si="163"/>
        <v>2.8686387855989754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-9.7986685432260874E-13</v>
      </c>
      <c r="AK155" s="14" t="e">
        <f t="shared" si="164"/>
        <v>#NUM!</v>
      </c>
      <c r="AL155" s="22" t="e">
        <f t="shared" si="165"/>
        <v>#NUM!</v>
      </c>
      <c r="AM155" s="60" t="e">
        <f t="shared" si="113"/>
        <v>#NUM!</v>
      </c>
      <c r="AN155" s="60">
        <f ca="1">AVERAGE(OFFSET($AM$3,0,0,'Données projet'!$E$10+1,1))-AVERAGE(OFFSET($H$3,0,0,'Données projet'!$E$10+1,1))</f>
        <v>475.47920969424894</v>
      </c>
      <c r="AO155" s="60">
        <f t="shared" si="144"/>
        <v>271.73544012419364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7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6.7984728957526396E-14</v>
      </c>
      <c r="BF155" s="14">
        <f t="shared" si="167"/>
        <v>1.0682447123141398E-12</v>
      </c>
      <c r="BG155" s="22">
        <f t="shared" si="168"/>
        <v>1.978932943548152E-12</v>
      </c>
      <c r="BH155" s="60">
        <f t="shared" si="116"/>
        <v>293.3333333333353</v>
      </c>
      <c r="BI155" s="60">
        <f ca="1">AVERAGE(OFFSET($BH$3,0,0,'Données projet'!$E$11+1,1))-AVERAGE(OFFSET($H$3,0,0,'Données projet'!$E$11+1,1))</f>
        <v>260.02504691866199</v>
      </c>
      <c r="BJ155" s="60">
        <f t="shared" si="146"/>
        <v>270.11268336406368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0.89342057131901542</v>
      </c>
      <c r="BQ155" s="23">
        <f>EXP(-LN(2)/25)*BQ154+(1-EXP(-LN(2)/25))/(LN(2)/25)*Calculateur!BL155*Calculateur!BN155*VLOOKUP('Données projet'!$B$11,Paramètres!$A$1:$I$89,3,0)*0.475*44/12</f>
        <v>0.55817546538790064</v>
      </c>
      <c r="BR155" s="23">
        <f>EXP(-LN(2)/2)*BR154+(1-EXP(-LN(2)/2))/(LN(2)/2)*BL155*BO155*VLOOKUP('Données projet'!$B$11,Paramètres!$A$1:$I$89,3,0)*0.475*44/12</f>
        <v>2.749519772417554E-18</v>
      </c>
      <c r="BS155" s="24">
        <f t="shared" si="169"/>
        <v>1.4515960367069161</v>
      </c>
      <c r="BT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5.1159076974727213E-13</v>
      </c>
      <c r="BZ155" s="14">
        <f>BY155*VLOOKUP('Données projet'!$B$12,Paramètres!$A$1:$I$89,3,0)*VLOOKUP('Données projet'!$B$12,Paramètres!$A$1:$I$89,5,0)</f>
        <v>2.3942448024172334E-13</v>
      </c>
      <c r="CA155" s="14">
        <f t="shared" si="170"/>
        <v>3.2492669905861755E-12</v>
      </c>
      <c r="CB155" s="22">
        <f t="shared" si="171"/>
        <v>6.0761376450252565E-12</v>
      </c>
      <c r="CC155" s="60">
        <f t="shared" si="119"/>
        <v>293.3333333333394</v>
      </c>
      <c r="CD155" s="60">
        <f ca="1">AVERAGE(OFFSET($CC$3,0,0,'Données projet'!$E$12+1,1))-AVERAGE(OFFSET($H$3,0,0,'Données projet'!$E$12+1,1))</f>
        <v>246.72166704460847</v>
      </c>
      <c r="CE155" s="60">
        <f t="shared" si="148"/>
        <v>145.54897745089966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-9.6633812063373625E-13</v>
      </c>
      <c r="CU155" s="18">
        <f>CT155*VLOOKUP('Données projet'!$B$13,Paramètres!$A$1:$I$89,3,0)*VLOOKUP('Données projet'!$B$13,Paramètres!$A$1:$I$89,5,0)</f>
        <v>-8.7434273154940449E-13</v>
      </c>
      <c r="CV155" s="14" t="e">
        <f t="shared" si="173"/>
        <v>#NUM!</v>
      </c>
      <c r="CW155" s="22" t="e">
        <f t="shared" si="174"/>
        <v>#NUM!</v>
      </c>
      <c r="CX155" s="60" t="e">
        <f t="shared" si="122"/>
        <v>#NUM!</v>
      </c>
      <c r="CY155" s="60">
        <f ca="1">AVERAGE(OFFSET($CX$3,0,0,'Données projet'!$E$13+1,1))-AVERAGE(OFFSET($H$3,0,0,'Données projet'!$E$13+1,1))</f>
        <v>428.8489304403459</v>
      </c>
      <c r="CZ155" s="60">
        <f t="shared" si="150"/>
        <v>247.01165577562966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-5.1159076974727213E-13</v>
      </c>
      <c r="DP155" s="18">
        <f>DO155*VLOOKUP('Données projet'!$B$14,Paramètres!$A$1:$I$89,3,0)*VLOOKUP('Données projet'!$B$14,Paramètres!$A$1:$I$89,5,0)</f>
        <v>-5.3471467253984886E-13</v>
      </c>
      <c r="DQ155" s="14" t="e">
        <f t="shared" si="176"/>
        <v>#NUM!</v>
      </c>
      <c r="DR155" s="22" t="e">
        <f t="shared" si="177"/>
        <v>#NUM!</v>
      </c>
      <c r="DS155" s="60" t="e">
        <f t="shared" si="125"/>
        <v>#NUM!</v>
      </c>
      <c r="DT155" s="60">
        <f ca="1">AVERAGE(OFFSET($DS$3,0,0,'Données projet'!$E$14+1,1))-AVERAGE(OFFSET($H$3,0,0,'Données projet'!$E$14+1,1))</f>
        <v>493.70175665335978</v>
      </c>
      <c r="DU155" s="60">
        <f t="shared" si="152"/>
        <v>325.12357781685949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-1.9895196601282805E-13</v>
      </c>
      <c r="EK155" s="18">
        <f>EJ155*VLOOKUP('Données projet'!$B$15,Paramètres!$A$1:$I$89,3,0)*VLOOKUP('Données projet'!$B$15,Paramètres!$A$1:$I$89,5,0)</f>
        <v>-1.6138983482960614E-13</v>
      </c>
      <c r="EL155" s="14" t="e">
        <f t="shared" si="179"/>
        <v>#NUM!</v>
      </c>
      <c r="EM155" s="22" t="e">
        <f t="shared" si="180"/>
        <v>#NUM!</v>
      </c>
      <c r="EN155" s="60" t="e">
        <f t="shared" si="128"/>
        <v>#NUM!</v>
      </c>
      <c r="EO155" s="60">
        <f ca="1">AVERAGE(OFFSET($EN$3,0,0,'Données projet'!$E$15+1,1))-AVERAGE(OFFSET($H$3,0,0,'Données projet'!$E$15+1,1))</f>
        <v>236.22643401787644</v>
      </c>
      <c r="EP155" s="60">
        <f t="shared" si="154"/>
        <v>188.80444043778022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5.4978954722173515E-14</v>
      </c>
      <c r="FG155" s="14">
        <f t="shared" si="182"/>
        <v>8.8550225887742724E-13</v>
      </c>
      <c r="FH155" s="22">
        <f t="shared" si="183"/>
        <v>1.6380047803526383E-12</v>
      </c>
      <c r="FI155" s="60">
        <f t="shared" si="131"/>
        <v>293.33333333333496</v>
      </c>
      <c r="FJ155" s="60">
        <f ca="1">AVERAGE(OFFSET($FI$3,0,0,'Données projet'!$E$16+1,1))-AVERAGE(OFFSET($H$3,0,0,'Données projet'!$E$16+1,1))</f>
        <v>255.59755832175625</v>
      </c>
      <c r="FK155" s="60">
        <f t="shared" si="156"/>
        <v>154.0840647586964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0" t="e">
        <f t="shared" si="134"/>
        <v>#N/A</v>
      </c>
      <c r="GE155" s="60" t="e">
        <f ca="1">AVERAGE(OFFSET($GD$3,0,0,'Données projet'!$E$17+1,1))-AVERAGE(OFFSET($H$3,0,0,'Données projet'!$E$17+1,1))</f>
        <v>#N/A</v>
      </c>
      <c r="GF155" s="60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7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0" t="e">
        <f t="shared" si="137"/>
        <v>#N/A</v>
      </c>
      <c r="GZ155" s="60" t="e">
        <f ca="1">AVERAGE(OFFSET($GY$3,0,0,'Données projet'!$E$18+1,1))-AVERAGE(OFFSET($H$3,0,0,'Données projet'!$E$18+1,1))</f>
        <v>#N/A</v>
      </c>
      <c r="HA155" s="60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5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68">
        <f t="shared" si="110"/>
        <v>256.66666666666669</v>
      </c>
      <c r="I156" s="7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0" t="e">
        <f t="shared" si="109"/>
        <v>#NUM!</v>
      </c>
      <c r="S156" s="60">
        <f ca="1">AVERAGE(OFFSET($R$3,0,0,'Données projet'!$E$9+1,1))-AVERAGE(OFFSET($H$3,0,0,'Données projet'!$E$9+1,1))</f>
        <v>64.775385872852041</v>
      </c>
      <c r="T156" s="60">
        <f t="shared" si="142"/>
        <v>201.69061202990468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2.8123865287102707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1.8526741729665041E-20</v>
      </c>
      <c r="AC156" s="24">
        <f t="shared" si="163"/>
        <v>2.8123865287102707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-9.7986685432260874E-13</v>
      </c>
      <c r="AK156" s="14" t="e">
        <f t="shared" si="164"/>
        <v>#NUM!</v>
      </c>
      <c r="AL156" s="22" t="e">
        <f t="shared" si="165"/>
        <v>#NUM!</v>
      </c>
      <c r="AM156" s="60" t="e">
        <f t="shared" si="113"/>
        <v>#NUM!</v>
      </c>
      <c r="AN156" s="60">
        <f ca="1">AVERAGE(OFFSET($AM$3,0,0,'Données projet'!$E$10+1,1))-AVERAGE(OFFSET($H$3,0,0,'Données projet'!$E$10+1,1))</f>
        <v>475.47920969424894</v>
      </c>
      <c r="AO156" s="60">
        <f t="shared" si="144"/>
        <v>271.73544012419364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7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6.7984728957526396E-14</v>
      </c>
      <c r="BF156" s="14">
        <f t="shared" si="167"/>
        <v>1.0682447123141398E-12</v>
      </c>
      <c r="BG156" s="22">
        <f t="shared" si="168"/>
        <v>1.978932943548152E-12</v>
      </c>
      <c r="BH156" s="60">
        <f t="shared" si="116"/>
        <v>293.3333333333353</v>
      </c>
      <c r="BI156" s="60">
        <f ca="1">AVERAGE(OFFSET($BH$3,0,0,'Données projet'!$E$11+1,1))-AVERAGE(OFFSET($H$3,0,0,'Données projet'!$E$11+1,1))</f>
        <v>260.02504691866199</v>
      </c>
      <c r="BJ156" s="60">
        <f t="shared" si="146"/>
        <v>270.11268336406368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0.87590113884819043</v>
      </c>
      <c r="BQ156" s="23">
        <f>EXP(-LN(2)/25)*BQ155+(1-EXP(-LN(2)/25))/(LN(2)/25)*Calculateur!BL156*Calculateur!BN156*VLOOKUP('Données projet'!$B$11,Paramètres!$A$1:$I$89,3,0)*0.475*44/12</f>
        <v>0.54291212793369648</v>
      </c>
      <c r="BR156" s="23">
        <f>EXP(-LN(2)/2)*BR155+(1-EXP(-LN(2)/2))/(LN(2)/2)*BL156*BO156*VLOOKUP('Données projet'!$B$11,Paramètres!$A$1:$I$89,3,0)*0.475*44/12</f>
        <v>1.9442040760829453E-18</v>
      </c>
      <c r="BS156" s="24">
        <f t="shared" si="169"/>
        <v>1.4188132667818869</v>
      </c>
      <c r="BT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5.1159076974727213E-13</v>
      </c>
      <c r="BZ156" s="14">
        <f>BY156*VLOOKUP('Données projet'!$B$12,Paramètres!$A$1:$I$89,3,0)*VLOOKUP('Données projet'!$B$12,Paramètres!$A$1:$I$89,5,0)</f>
        <v>2.3942448024172334E-13</v>
      </c>
      <c r="CA156" s="14">
        <f t="shared" si="170"/>
        <v>3.2492669905861755E-12</v>
      </c>
      <c r="CB156" s="22">
        <f t="shared" si="171"/>
        <v>6.0761376450252565E-12</v>
      </c>
      <c r="CC156" s="60">
        <f t="shared" si="119"/>
        <v>293.3333333333394</v>
      </c>
      <c r="CD156" s="60">
        <f ca="1">AVERAGE(OFFSET($CC$3,0,0,'Données projet'!$E$12+1,1))-AVERAGE(OFFSET($H$3,0,0,'Données projet'!$E$12+1,1))</f>
        <v>246.72166704460847</v>
      </c>
      <c r="CE156" s="60">
        <f t="shared" si="148"/>
        <v>145.54897745089966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-9.6633812063373625E-13</v>
      </c>
      <c r="CU156" s="18">
        <f>CT156*VLOOKUP('Données projet'!$B$13,Paramètres!$A$1:$I$89,3,0)*VLOOKUP('Données projet'!$B$13,Paramètres!$A$1:$I$89,5,0)</f>
        <v>-8.7434273154940449E-13</v>
      </c>
      <c r="CV156" s="14" t="e">
        <f t="shared" si="173"/>
        <v>#NUM!</v>
      </c>
      <c r="CW156" s="22" t="e">
        <f t="shared" si="174"/>
        <v>#NUM!</v>
      </c>
      <c r="CX156" s="60" t="e">
        <f t="shared" si="122"/>
        <v>#NUM!</v>
      </c>
      <c r="CY156" s="60">
        <f ca="1">AVERAGE(OFFSET($CX$3,0,0,'Données projet'!$E$13+1,1))-AVERAGE(OFFSET($H$3,0,0,'Données projet'!$E$13+1,1))</f>
        <v>428.8489304403459</v>
      </c>
      <c r="CZ156" s="60">
        <f t="shared" si="150"/>
        <v>247.01165577562966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-5.1159076974727213E-13</v>
      </c>
      <c r="DP156" s="18">
        <f>DO156*VLOOKUP('Données projet'!$B$14,Paramètres!$A$1:$I$89,3,0)*VLOOKUP('Données projet'!$B$14,Paramètres!$A$1:$I$89,5,0)</f>
        <v>-5.3471467253984886E-13</v>
      </c>
      <c r="DQ156" s="14" t="e">
        <f t="shared" si="176"/>
        <v>#NUM!</v>
      </c>
      <c r="DR156" s="22" t="e">
        <f t="shared" si="177"/>
        <v>#NUM!</v>
      </c>
      <c r="DS156" s="60" t="e">
        <f t="shared" si="125"/>
        <v>#NUM!</v>
      </c>
      <c r="DT156" s="60">
        <f ca="1">AVERAGE(OFFSET($DS$3,0,0,'Données projet'!$E$14+1,1))-AVERAGE(OFFSET($H$3,0,0,'Données projet'!$E$14+1,1))</f>
        <v>493.70175665335978</v>
      </c>
      <c r="DU156" s="60">
        <f t="shared" si="152"/>
        <v>325.12357781685949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-1.9895196601282805E-13</v>
      </c>
      <c r="EK156" s="18">
        <f>EJ156*VLOOKUP('Données projet'!$B$15,Paramètres!$A$1:$I$89,3,0)*VLOOKUP('Données projet'!$B$15,Paramètres!$A$1:$I$89,5,0)</f>
        <v>-1.6138983482960614E-13</v>
      </c>
      <c r="EL156" s="14" t="e">
        <f t="shared" si="179"/>
        <v>#NUM!</v>
      </c>
      <c r="EM156" s="22" t="e">
        <f t="shared" si="180"/>
        <v>#NUM!</v>
      </c>
      <c r="EN156" s="60" t="e">
        <f t="shared" si="128"/>
        <v>#NUM!</v>
      </c>
      <c r="EO156" s="60">
        <f ca="1">AVERAGE(OFFSET($EN$3,0,0,'Données projet'!$E$15+1,1))-AVERAGE(OFFSET($H$3,0,0,'Données projet'!$E$15+1,1))</f>
        <v>236.22643401787644</v>
      </c>
      <c r="EP156" s="60">
        <f t="shared" si="154"/>
        <v>188.80444043778022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5.4978954722173515E-14</v>
      </c>
      <c r="FG156" s="14">
        <f t="shared" si="182"/>
        <v>8.8550225887742724E-13</v>
      </c>
      <c r="FH156" s="22">
        <f t="shared" si="183"/>
        <v>1.6380047803526383E-12</v>
      </c>
      <c r="FI156" s="60">
        <f t="shared" si="131"/>
        <v>293.33333333333496</v>
      </c>
      <c r="FJ156" s="60">
        <f ca="1">AVERAGE(OFFSET($FI$3,0,0,'Données projet'!$E$16+1,1))-AVERAGE(OFFSET($H$3,0,0,'Données projet'!$E$16+1,1))</f>
        <v>255.59755832175625</v>
      </c>
      <c r="FK156" s="60">
        <f t="shared" si="156"/>
        <v>154.0840647586964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0" t="e">
        <f t="shared" si="134"/>
        <v>#N/A</v>
      </c>
      <c r="GE156" s="60" t="e">
        <f ca="1">AVERAGE(OFFSET($GD$3,0,0,'Données projet'!$E$17+1,1))-AVERAGE(OFFSET($H$3,0,0,'Données projet'!$E$17+1,1))</f>
        <v>#N/A</v>
      </c>
      <c r="GF156" s="60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7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0" t="e">
        <f t="shared" si="137"/>
        <v>#N/A</v>
      </c>
      <c r="GZ156" s="60" t="e">
        <f ca="1">AVERAGE(OFFSET($GY$3,0,0,'Données projet'!$E$18+1,1))-AVERAGE(OFFSET($H$3,0,0,'Données projet'!$E$18+1,1))</f>
        <v>#N/A</v>
      </c>
      <c r="HA156" s="60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5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68">
        <f t="shared" si="110"/>
        <v>256.66666666666669</v>
      </c>
      <c r="I157" s="7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0" t="e">
        <f t="shared" si="109"/>
        <v>#NUM!</v>
      </c>
      <c r="S157" s="60">
        <f ca="1">AVERAGE(OFFSET($R$3,0,0,'Données projet'!$E$9+1,1))-AVERAGE(OFFSET($H$3,0,0,'Données projet'!$E$9+1,1))</f>
        <v>64.775385872852041</v>
      </c>
      <c r="T157" s="60">
        <f t="shared" si="142"/>
        <v>201.69061202990468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2.7572373442686646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1.3100384710337937E-20</v>
      </c>
      <c r="AC157" s="24">
        <f t="shared" si="163"/>
        <v>2.7572373442686646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-9.7986685432260874E-13</v>
      </c>
      <c r="AK157" s="14" t="e">
        <f t="shared" si="164"/>
        <v>#NUM!</v>
      </c>
      <c r="AL157" s="22" t="e">
        <f t="shared" si="165"/>
        <v>#NUM!</v>
      </c>
      <c r="AM157" s="60" t="e">
        <f t="shared" si="113"/>
        <v>#NUM!</v>
      </c>
      <c r="AN157" s="60">
        <f ca="1">AVERAGE(OFFSET($AM$3,0,0,'Données projet'!$E$10+1,1))-AVERAGE(OFFSET($H$3,0,0,'Données projet'!$E$10+1,1))</f>
        <v>475.47920969424894</v>
      </c>
      <c r="AO157" s="60">
        <f t="shared" si="144"/>
        <v>271.73544012419364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7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6.7984728957526396E-14</v>
      </c>
      <c r="BF157" s="14">
        <f t="shared" si="167"/>
        <v>1.0682447123141398E-12</v>
      </c>
      <c r="BG157" s="22">
        <f t="shared" si="168"/>
        <v>1.978932943548152E-12</v>
      </c>
      <c r="BH157" s="60">
        <f t="shared" si="116"/>
        <v>293.3333333333353</v>
      </c>
      <c r="BI157" s="60">
        <f ca="1">AVERAGE(OFFSET($BH$3,0,0,'Données projet'!$E$11+1,1))-AVERAGE(OFFSET($H$3,0,0,'Données projet'!$E$11+1,1))</f>
        <v>260.02504691866199</v>
      </c>
      <c r="BJ157" s="60">
        <f t="shared" si="146"/>
        <v>270.11268336406368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0.85872525176231962</v>
      </c>
      <c r="BQ157" s="23">
        <f>EXP(-LN(2)/25)*BQ156+(1-EXP(-LN(2)/25))/(LN(2)/25)*Calculateur!BL157*Calculateur!BN157*VLOOKUP('Données projet'!$B$11,Paramètres!$A$1:$I$89,3,0)*0.475*44/12</f>
        <v>0.52806616724484157</v>
      </c>
      <c r="BR157" s="23">
        <f>EXP(-LN(2)/2)*BR156+(1-EXP(-LN(2)/2))/(LN(2)/2)*BL157*BO157*VLOOKUP('Données projet'!$B$11,Paramètres!$A$1:$I$89,3,0)*0.475*44/12</f>
        <v>1.374759886208777E-18</v>
      </c>
      <c r="BS157" s="24">
        <f t="shared" si="169"/>
        <v>1.3867914190071611</v>
      </c>
      <c r="BT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5.1159076974727213E-13</v>
      </c>
      <c r="BZ157" s="14">
        <f>BY157*VLOOKUP('Données projet'!$B$12,Paramètres!$A$1:$I$89,3,0)*VLOOKUP('Données projet'!$B$12,Paramètres!$A$1:$I$89,5,0)</f>
        <v>2.3942448024172334E-13</v>
      </c>
      <c r="CA157" s="14">
        <f t="shared" si="170"/>
        <v>3.2492669905861755E-12</v>
      </c>
      <c r="CB157" s="22">
        <f t="shared" si="171"/>
        <v>6.0761376450252565E-12</v>
      </c>
      <c r="CC157" s="60">
        <f t="shared" si="119"/>
        <v>293.3333333333394</v>
      </c>
      <c r="CD157" s="60">
        <f ca="1">AVERAGE(OFFSET($CC$3,0,0,'Données projet'!$E$12+1,1))-AVERAGE(OFFSET($H$3,0,0,'Données projet'!$E$12+1,1))</f>
        <v>246.72166704460847</v>
      </c>
      <c r="CE157" s="60">
        <f t="shared" si="148"/>
        <v>145.54897745089966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-9.6633812063373625E-13</v>
      </c>
      <c r="CU157" s="18">
        <f>CT157*VLOOKUP('Données projet'!$B$13,Paramètres!$A$1:$I$89,3,0)*VLOOKUP('Données projet'!$B$13,Paramètres!$A$1:$I$89,5,0)</f>
        <v>-8.7434273154940449E-13</v>
      </c>
      <c r="CV157" s="14" t="e">
        <f t="shared" si="173"/>
        <v>#NUM!</v>
      </c>
      <c r="CW157" s="22" t="e">
        <f t="shared" si="174"/>
        <v>#NUM!</v>
      </c>
      <c r="CX157" s="60" t="e">
        <f t="shared" si="122"/>
        <v>#NUM!</v>
      </c>
      <c r="CY157" s="60">
        <f ca="1">AVERAGE(OFFSET($CX$3,0,0,'Données projet'!$E$13+1,1))-AVERAGE(OFFSET($H$3,0,0,'Données projet'!$E$13+1,1))</f>
        <v>428.8489304403459</v>
      </c>
      <c r="CZ157" s="60">
        <f t="shared" si="150"/>
        <v>247.01165577562966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-5.1159076974727213E-13</v>
      </c>
      <c r="DP157" s="18">
        <f>DO157*VLOOKUP('Données projet'!$B$14,Paramètres!$A$1:$I$89,3,0)*VLOOKUP('Données projet'!$B$14,Paramètres!$A$1:$I$89,5,0)</f>
        <v>-5.3471467253984886E-13</v>
      </c>
      <c r="DQ157" s="14" t="e">
        <f t="shared" si="176"/>
        <v>#NUM!</v>
      </c>
      <c r="DR157" s="22" t="e">
        <f t="shared" si="177"/>
        <v>#NUM!</v>
      </c>
      <c r="DS157" s="60" t="e">
        <f t="shared" si="125"/>
        <v>#NUM!</v>
      </c>
      <c r="DT157" s="60">
        <f ca="1">AVERAGE(OFFSET($DS$3,0,0,'Données projet'!$E$14+1,1))-AVERAGE(OFFSET($H$3,0,0,'Données projet'!$E$14+1,1))</f>
        <v>493.70175665335978</v>
      </c>
      <c r="DU157" s="60">
        <f t="shared" si="152"/>
        <v>325.12357781685949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-1.9895196601282805E-13</v>
      </c>
      <c r="EK157" s="18">
        <f>EJ157*VLOOKUP('Données projet'!$B$15,Paramètres!$A$1:$I$89,3,0)*VLOOKUP('Données projet'!$B$15,Paramètres!$A$1:$I$89,5,0)</f>
        <v>-1.6138983482960614E-13</v>
      </c>
      <c r="EL157" s="14" t="e">
        <f t="shared" si="179"/>
        <v>#NUM!</v>
      </c>
      <c r="EM157" s="22" t="e">
        <f t="shared" si="180"/>
        <v>#NUM!</v>
      </c>
      <c r="EN157" s="60" t="e">
        <f t="shared" si="128"/>
        <v>#NUM!</v>
      </c>
      <c r="EO157" s="60">
        <f ca="1">AVERAGE(OFFSET($EN$3,0,0,'Données projet'!$E$15+1,1))-AVERAGE(OFFSET($H$3,0,0,'Données projet'!$E$15+1,1))</f>
        <v>236.22643401787644</v>
      </c>
      <c r="EP157" s="60">
        <f t="shared" si="154"/>
        <v>188.80444043778022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5.4978954722173515E-14</v>
      </c>
      <c r="FG157" s="14">
        <f t="shared" si="182"/>
        <v>8.8550225887742724E-13</v>
      </c>
      <c r="FH157" s="22">
        <f t="shared" si="183"/>
        <v>1.6380047803526383E-12</v>
      </c>
      <c r="FI157" s="60">
        <f t="shared" si="131"/>
        <v>293.33333333333496</v>
      </c>
      <c r="FJ157" s="60">
        <f ca="1">AVERAGE(OFFSET($FI$3,0,0,'Données projet'!$E$16+1,1))-AVERAGE(OFFSET($H$3,0,0,'Données projet'!$E$16+1,1))</f>
        <v>255.59755832175625</v>
      </c>
      <c r="FK157" s="60">
        <f t="shared" si="156"/>
        <v>154.0840647586964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0" t="e">
        <f t="shared" si="134"/>
        <v>#N/A</v>
      </c>
      <c r="GE157" s="60" t="e">
        <f ca="1">AVERAGE(OFFSET($GD$3,0,0,'Données projet'!$E$17+1,1))-AVERAGE(OFFSET($H$3,0,0,'Données projet'!$E$17+1,1))</f>
        <v>#N/A</v>
      </c>
      <c r="GF157" s="60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7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0" t="e">
        <f t="shared" si="137"/>
        <v>#N/A</v>
      </c>
      <c r="GZ157" s="60" t="e">
        <f ca="1">AVERAGE(OFFSET($GY$3,0,0,'Données projet'!$E$18+1,1))-AVERAGE(OFFSET($H$3,0,0,'Données projet'!$E$18+1,1))</f>
        <v>#N/A</v>
      </c>
      <c r="HA157" s="60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5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68">
        <f t="shared" si="110"/>
        <v>256.66666666666669</v>
      </c>
      <c r="I158" s="7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0" t="e">
        <f t="shared" si="109"/>
        <v>#NUM!</v>
      </c>
      <c r="S158" s="60">
        <f ca="1">AVERAGE(OFFSET($R$3,0,0,'Données projet'!$E$9+1,1))-AVERAGE(OFFSET($H$3,0,0,'Données projet'!$E$9+1,1))</f>
        <v>64.775385872852041</v>
      </c>
      <c r="T158" s="60">
        <f t="shared" si="142"/>
        <v>201.69061202990468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2.7031696016962772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9.2633708648325205E-21</v>
      </c>
      <c r="AC158" s="24">
        <f t="shared" si="163"/>
        <v>2.7031696016962772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-9.7986685432260874E-13</v>
      </c>
      <c r="AK158" s="14" t="e">
        <f t="shared" si="164"/>
        <v>#NUM!</v>
      </c>
      <c r="AL158" s="22" t="e">
        <f t="shared" si="165"/>
        <v>#NUM!</v>
      </c>
      <c r="AM158" s="60" t="e">
        <f t="shared" si="113"/>
        <v>#NUM!</v>
      </c>
      <c r="AN158" s="60">
        <f ca="1">AVERAGE(OFFSET($AM$3,0,0,'Données projet'!$E$10+1,1))-AVERAGE(OFFSET($H$3,0,0,'Données projet'!$E$10+1,1))</f>
        <v>475.47920969424894</v>
      </c>
      <c r="AO158" s="60">
        <f t="shared" si="144"/>
        <v>271.73544012419364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7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6.7984728957526396E-14</v>
      </c>
      <c r="BF158" s="14">
        <f t="shared" si="167"/>
        <v>1.0682447123141398E-12</v>
      </c>
      <c r="BG158" s="22">
        <f t="shared" si="168"/>
        <v>1.978932943548152E-12</v>
      </c>
      <c r="BH158" s="60">
        <f t="shared" si="116"/>
        <v>293.3333333333353</v>
      </c>
      <c r="BI158" s="60">
        <f ca="1">AVERAGE(OFFSET($BH$3,0,0,'Données projet'!$E$11+1,1))-AVERAGE(OFFSET($H$3,0,0,'Données projet'!$E$11+1,1))</f>
        <v>260.02504691866199</v>
      </c>
      <c r="BJ158" s="60">
        <f t="shared" si="146"/>
        <v>270.11268336406368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0.84188617334594607</v>
      </c>
      <c r="BQ158" s="23">
        <f>EXP(-LN(2)/25)*BQ157+(1-EXP(-LN(2)/25))/(LN(2)/25)*Calculateur!BL158*Calculateur!BN158*VLOOKUP('Données projet'!$B$11,Paramètres!$A$1:$I$89,3,0)*0.475*44/12</f>
        <v>0.5136261701317385</v>
      </c>
      <c r="BR158" s="23">
        <f>EXP(-LN(2)/2)*BR157+(1-EXP(-LN(2)/2))/(LN(2)/2)*BL158*BO158*VLOOKUP('Données projet'!$B$11,Paramètres!$A$1:$I$89,3,0)*0.475*44/12</f>
        <v>9.7210203804147266E-19</v>
      </c>
      <c r="BS158" s="24">
        <f t="shared" si="169"/>
        <v>1.3555123434776846</v>
      </c>
      <c r="BT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5.1159076974727213E-13</v>
      </c>
      <c r="BZ158" s="14">
        <f>BY158*VLOOKUP('Données projet'!$B$12,Paramètres!$A$1:$I$89,3,0)*VLOOKUP('Données projet'!$B$12,Paramètres!$A$1:$I$89,5,0)</f>
        <v>2.3942448024172334E-13</v>
      </c>
      <c r="CA158" s="14">
        <f t="shared" si="170"/>
        <v>3.2492669905861755E-12</v>
      </c>
      <c r="CB158" s="22">
        <f t="shared" si="171"/>
        <v>6.0761376450252565E-12</v>
      </c>
      <c r="CC158" s="60">
        <f t="shared" si="119"/>
        <v>293.3333333333394</v>
      </c>
      <c r="CD158" s="60">
        <f ca="1">AVERAGE(OFFSET($CC$3,0,0,'Données projet'!$E$12+1,1))-AVERAGE(OFFSET($H$3,0,0,'Données projet'!$E$12+1,1))</f>
        <v>246.72166704460847</v>
      </c>
      <c r="CE158" s="60">
        <f t="shared" si="148"/>
        <v>145.54897745089966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-9.6633812063373625E-13</v>
      </c>
      <c r="CU158" s="18">
        <f>CT158*VLOOKUP('Données projet'!$B$13,Paramètres!$A$1:$I$89,3,0)*VLOOKUP('Données projet'!$B$13,Paramètres!$A$1:$I$89,5,0)</f>
        <v>-8.7434273154940449E-13</v>
      </c>
      <c r="CV158" s="14" t="e">
        <f t="shared" si="173"/>
        <v>#NUM!</v>
      </c>
      <c r="CW158" s="22" t="e">
        <f t="shared" si="174"/>
        <v>#NUM!</v>
      </c>
      <c r="CX158" s="60" t="e">
        <f t="shared" si="122"/>
        <v>#NUM!</v>
      </c>
      <c r="CY158" s="60">
        <f ca="1">AVERAGE(OFFSET($CX$3,0,0,'Données projet'!$E$13+1,1))-AVERAGE(OFFSET($H$3,0,0,'Données projet'!$E$13+1,1))</f>
        <v>428.8489304403459</v>
      </c>
      <c r="CZ158" s="60">
        <f t="shared" si="150"/>
        <v>247.01165577562966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-5.1159076974727213E-13</v>
      </c>
      <c r="DP158" s="18">
        <f>DO158*VLOOKUP('Données projet'!$B$14,Paramètres!$A$1:$I$89,3,0)*VLOOKUP('Données projet'!$B$14,Paramètres!$A$1:$I$89,5,0)</f>
        <v>-5.3471467253984886E-13</v>
      </c>
      <c r="DQ158" s="14" t="e">
        <f t="shared" si="176"/>
        <v>#NUM!</v>
      </c>
      <c r="DR158" s="22" t="e">
        <f t="shared" si="177"/>
        <v>#NUM!</v>
      </c>
      <c r="DS158" s="60" t="e">
        <f t="shared" si="125"/>
        <v>#NUM!</v>
      </c>
      <c r="DT158" s="60">
        <f ca="1">AVERAGE(OFFSET($DS$3,0,0,'Données projet'!$E$14+1,1))-AVERAGE(OFFSET($H$3,0,0,'Données projet'!$E$14+1,1))</f>
        <v>493.70175665335978</v>
      </c>
      <c r="DU158" s="60">
        <f t="shared" si="152"/>
        <v>325.12357781685949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-1.9895196601282805E-13</v>
      </c>
      <c r="EK158" s="18">
        <f>EJ158*VLOOKUP('Données projet'!$B$15,Paramètres!$A$1:$I$89,3,0)*VLOOKUP('Données projet'!$B$15,Paramètres!$A$1:$I$89,5,0)</f>
        <v>-1.6138983482960614E-13</v>
      </c>
      <c r="EL158" s="14" t="e">
        <f t="shared" si="179"/>
        <v>#NUM!</v>
      </c>
      <c r="EM158" s="22" t="e">
        <f t="shared" si="180"/>
        <v>#NUM!</v>
      </c>
      <c r="EN158" s="60" t="e">
        <f t="shared" si="128"/>
        <v>#NUM!</v>
      </c>
      <c r="EO158" s="60">
        <f ca="1">AVERAGE(OFFSET($EN$3,0,0,'Données projet'!$E$15+1,1))-AVERAGE(OFFSET($H$3,0,0,'Données projet'!$E$15+1,1))</f>
        <v>236.22643401787644</v>
      </c>
      <c r="EP158" s="60">
        <f t="shared" si="154"/>
        <v>188.80444043778022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5.4978954722173515E-14</v>
      </c>
      <c r="FG158" s="14">
        <f t="shared" si="182"/>
        <v>8.8550225887742724E-13</v>
      </c>
      <c r="FH158" s="22">
        <f t="shared" si="183"/>
        <v>1.6380047803526383E-12</v>
      </c>
      <c r="FI158" s="60">
        <f t="shared" si="131"/>
        <v>293.33333333333496</v>
      </c>
      <c r="FJ158" s="60">
        <f ca="1">AVERAGE(OFFSET($FI$3,0,0,'Données projet'!$E$16+1,1))-AVERAGE(OFFSET($H$3,0,0,'Données projet'!$E$16+1,1))</f>
        <v>255.59755832175625</v>
      </c>
      <c r="FK158" s="60">
        <f t="shared" si="156"/>
        <v>154.0840647586964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0" t="e">
        <f t="shared" si="134"/>
        <v>#N/A</v>
      </c>
      <c r="GE158" s="60" t="e">
        <f ca="1">AVERAGE(OFFSET($GD$3,0,0,'Données projet'!$E$17+1,1))-AVERAGE(OFFSET($H$3,0,0,'Données projet'!$E$17+1,1))</f>
        <v>#N/A</v>
      </c>
      <c r="GF158" s="60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7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0" t="e">
        <f t="shared" si="137"/>
        <v>#N/A</v>
      </c>
      <c r="GZ158" s="60" t="e">
        <f ca="1">AVERAGE(OFFSET($GY$3,0,0,'Données projet'!$E$18+1,1))-AVERAGE(OFFSET($H$3,0,0,'Données projet'!$E$18+1,1))</f>
        <v>#N/A</v>
      </c>
      <c r="HA158" s="60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5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68">
        <f t="shared" si="110"/>
        <v>256.66666666666669</v>
      </c>
      <c r="I159" s="7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0" t="e">
        <f t="shared" si="109"/>
        <v>#NUM!</v>
      </c>
      <c r="S159" s="60">
        <f ca="1">AVERAGE(OFFSET($R$3,0,0,'Données projet'!$E$9+1,1))-AVERAGE(OFFSET($H$3,0,0,'Données projet'!$E$9+1,1))</f>
        <v>64.775385872852041</v>
      </c>
      <c r="T159" s="60">
        <f t="shared" si="142"/>
        <v>201.69061202990468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2.6501620945776678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6.5501923551689686E-21</v>
      </c>
      <c r="AC159" s="24">
        <f t="shared" si="163"/>
        <v>2.6501620945776678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-9.7986685432260874E-13</v>
      </c>
      <c r="AK159" s="14" t="e">
        <f t="shared" si="164"/>
        <v>#NUM!</v>
      </c>
      <c r="AL159" s="22" t="e">
        <f t="shared" si="165"/>
        <v>#NUM!</v>
      </c>
      <c r="AM159" s="60" t="e">
        <f t="shared" si="113"/>
        <v>#NUM!</v>
      </c>
      <c r="AN159" s="60">
        <f ca="1">AVERAGE(OFFSET($AM$3,0,0,'Données projet'!$E$10+1,1))-AVERAGE(OFFSET($H$3,0,0,'Données projet'!$E$10+1,1))</f>
        <v>475.47920969424894</v>
      </c>
      <c r="AO159" s="60">
        <f t="shared" si="144"/>
        <v>271.73544012419364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7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6.7984728957526396E-14</v>
      </c>
      <c r="BF159" s="14">
        <f t="shared" si="167"/>
        <v>1.0682447123141398E-12</v>
      </c>
      <c r="BG159" s="22">
        <f t="shared" si="168"/>
        <v>1.978932943548152E-12</v>
      </c>
      <c r="BH159" s="60">
        <f t="shared" si="116"/>
        <v>293.3333333333353</v>
      </c>
      <c r="BI159" s="60">
        <f ca="1">AVERAGE(OFFSET($BH$3,0,0,'Données projet'!$E$11+1,1))-AVERAGE(OFFSET($H$3,0,0,'Données projet'!$E$11+1,1))</f>
        <v>260.02504691866199</v>
      </c>
      <c r="BJ159" s="60">
        <f t="shared" si="146"/>
        <v>270.11268336406368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0.82537729898649392</v>
      </c>
      <c r="BQ159" s="23">
        <f>EXP(-LN(2)/25)*BQ158+(1-EXP(-LN(2)/25))/(LN(2)/25)*Calculateur!BL159*Calculateur!BN159*VLOOKUP('Données projet'!$B$11,Paramètres!$A$1:$I$89,3,0)*0.475*44/12</f>
        <v>0.49958103549905974</v>
      </c>
      <c r="BR159" s="23">
        <f>EXP(-LN(2)/2)*BR158+(1-EXP(-LN(2)/2))/(LN(2)/2)*BL159*BO159*VLOOKUP('Données projet'!$B$11,Paramètres!$A$1:$I$89,3,0)*0.475*44/12</f>
        <v>6.8737994310438851E-19</v>
      </c>
      <c r="BS159" s="24">
        <f t="shared" si="169"/>
        <v>1.3249583344855536</v>
      </c>
      <c r="BT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5.1159076974727213E-13</v>
      </c>
      <c r="BZ159" s="14">
        <f>BY159*VLOOKUP('Données projet'!$B$12,Paramètres!$A$1:$I$89,3,0)*VLOOKUP('Données projet'!$B$12,Paramètres!$A$1:$I$89,5,0)</f>
        <v>2.3942448024172334E-13</v>
      </c>
      <c r="CA159" s="14">
        <f t="shared" si="170"/>
        <v>3.2492669905861755E-12</v>
      </c>
      <c r="CB159" s="22">
        <f t="shared" si="171"/>
        <v>6.0761376450252565E-12</v>
      </c>
      <c r="CC159" s="60">
        <f t="shared" si="119"/>
        <v>293.3333333333394</v>
      </c>
      <c r="CD159" s="60">
        <f ca="1">AVERAGE(OFFSET($CC$3,0,0,'Données projet'!$E$12+1,1))-AVERAGE(OFFSET($H$3,0,0,'Données projet'!$E$12+1,1))</f>
        <v>246.72166704460847</v>
      </c>
      <c r="CE159" s="60">
        <f t="shared" si="148"/>
        <v>145.54897745089966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-9.6633812063373625E-13</v>
      </c>
      <c r="CU159" s="18">
        <f>CT159*VLOOKUP('Données projet'!$B$13,Paramètres!$A$1:$I$89,3,0)*VLOOKUP('Données projet'!$B$13,Paramètres!$A$1:$I$89,5,0)</f>
        <v>-8.7434273154940449E-13</v>
      </c>
      <c r="CV159" s="14" t="e">
        <f t="shared" si="173"/>
        <v>#NUM!</v>
      </c>
      <c r="CW159" s="22" t="e">
        <f t="shared" si="174"/>
        <v>#NUM!</v>
      </c>
      <c r="CX159" s="60" t="e">
        <f t="shared" si="122"/>
        <v>#NUM!</v>
      </c>
      <c r="CY159" s="60">
        <f ca="1">AVERAGE(OFFSET($CX$3,0,0,'Données projet'!$E$13+1,1))-AVERAGE(OFFSET($H$3,0,0,'Données projet'!$E$13+1,1))</f>
        <v>428.8489304403459</v>
      </c>
      <c r="CZ159" s="60">
        <f t="shared" si="150"/>
        <v>247.01165577562966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-5.1159076974727213E-13</v>
      </c>
      <c r="DP159" s="18">
        <f>DO159*VLOOKUP('Données projet'!$B$14,Paramètres!$A$1:$I$89,3,0)*VLOOKUP('Données projet'!$B$14,Paramètres!$A$1:$I$89,5,0)</f>
        <v>-5.3471467253984886E-13</v>
      </c>
      <c r="DQ159" s="14" t="e">
        <f t="shared" si="176"/>
        <v>#NUM!</v>
      </c>
      <c r="DR159" s="22" t="e">
        <f t="shared" si="177"/>
        <v>#NUM!</v>
      </c>
      <c r="DS159" s="60" t="e">
        <f t="shared" si="125"/>
        <v>#NUM!</v>
      </c>
      <c r="DT159" s="60">
        <f ca="1">AVERAGE(OFFSET($DS$3,0,0,'Données projet'!$E$14+1,1))-AVERAGE(OFFSET($H$3,0,0,'Données projet'!$E$14+1,1))</f>
        <v>493.70175665335978</v>
      </c>
      <c r="DU159" s="60">
        <f t="shared" si="152"/>
        <v>325.12357781685949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-1.9895196601282805E-13</v>
      </c>
      <c r="EK159" s="18">
        <f>EJ159*VLOOKUP('Données projet'!$B$15,Paramètres!$A$1:$I$89,3,0)*VLOOKUP('Données projet'!$B$15,Paramètres!$A$1:$I$89,5,0)</f>
        <v>-1.6138983482960614E-13</v>
      </c>
      <c r="EL159" s="14" t="e">
        <f t="shared" si="179"/>
        <v>#NUM!</v>
      </c>
      <c r="EM159" s="22" t="e">
        <f t="shared" si="180"/>
        <v>#NUM!</v>
      </c>
      <c r="EN159" s="60" t="e">
        <f t="shared" si="128"/>
        <v>#NUM!</v>
      </c>
      <c r="EO159" s="60">
        <f ca="1">AVERAGE(OFFSET($EN$3,0,0,'Données projet'!$E$15+1,1))-AVERAGE(OFFSET($H$3,0,0,'Données projet'!$E$15+1,1))</f>
        <v>236.22643401787644</v>
      </c>
      <c r="EP159" s="60">
        <f t="shared" si="154"/>
        <v>188.80444043778022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5.4978954722173515E-14</v>
      </c>
      <c r="FG159" s="14">
        <f t="shared" si="182"/>
        <v>8.8550225887742724E-13</v>
      </c>
      <c r="FH159" s="22">
        <f t="shared" si="183"/>
        <v>1.6380047803526383E-12</v>
      </c>
      <c r="FI159" s="60">
        <f t="shared" si="131"/>
        <v>293.33333333333496</v>
      </c>
      <c r="FJ159" s="60">
        <f ca="1">AVERAGE(OFFSET($FI$3,0,0,'Données projet'!$E$16+1,1))-AVERAGE(OFFSET($H$3,0,0,'Données projet'!$E$16+1,1))</f>
        <v>255.59755832175625</v>
      </c>
      <c r="FK159" s="60">
        <f t="shared" si="156"/>
        <v>154.0840647586964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0" t="e">
        <f t="shared" si="134"/>
        <v>#N/A</v>
      </c>
      <c r="GE159" s="60" t="e">
        <f ca="1">AVERAGE(OFFSET($GD$3,0,0,'Données projet'!$E$17+1,1))-AVERAGE(OFFSET($H$3,0,0,'Données projet'!$E$17+1,1))</f>
        <v>#N/A</v>
      </c>
      <c r="GF159" s="60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7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0" t="e">
        <f t="shared" si="137"/>
        <v>#N/A</v>
      </c>
      <c r="GZ159" s="60" t="e">
        <f ca="1">AVERAGE(OFFSET($GY$3,0,0,'Données projet'!$E$18+1,1))-AVERAGE(OFFSET($H$3,0,0,'Données projet'!$E$18+1,1))</f>
        <v>#N/A</v>
      </c>
      <c r="HA159" s="60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5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68">
        <f t="shared" si="110"/>
        <v>256.66666666666669</v>
      </c>
      <c r="I160" s="7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0" t="e">
        <f t="shared" si="109"/>
        <v>#NUM!</v>
      </c>
      <c r="S160" s="60">
        <f ca="1">AVERAGE(OFFSET($R$3,0,0,'Données projet'!$E$9+1,1))-AVERAGE(OFFSET($H$3,0,0,'Données projet'!$E$9+1,1))</f>
        <v>64.775385872852041</v>
      </c>
      <c r="T160" s="60">
        <f t="shared" si="142"/>
        <v>201.69061202990468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2.5981940323422674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4.6316854324162602E-21</v>
      </c>
      <c r="AC160" s="24">
        <f t="shared" si="163"/>
        <v>2.5981940323422674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-9.7986685432260874E-13</v>
      </c>
      <c r="AK160" s="14" t="e">
        <f t="shared" si="164"/>
        <v>#NUM!</v>
      </c>
      <c r="AL160" s="22" t="e">
        <f t="shared" si="165"/>
        <v>#NUM!</v>
      </c>
      <c r="AM160" s="60" t="e">
        <f t="shared" si="113"/>
        <v>#NUM!</v>
      </c>
      <c r="AN160" s="60">
        <f ca="1">AVERAGE(OFFSET($AM$3,0,0,'Données projet'!$E$10+1,1))-AVERAGE(OFFSET($H$3,0,0,'Données projet'!$E$10+1,1))</f>
        <v>475.47920969424894</v>
      </c>
      <c r="AO160" s="60">
        <f t="shared" si="144"/>
        <v>271.73544012419364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7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6.7984728957526396E-14</v>
      </c>
      <c r="BF160" s="14">
        <f t="shared" si="167"/>
        <v>1.0682447123141398E-12</v>
      </c>
      <c r="BG160" s="22">
        <f t="shared" si="168"/>
        <v>1.978932943548152E-12</v>
      </c>
      <c r="BH160" s="60">
        <f t="shared" si="116"/>
        <v>293.3333333333353</v>
      </c>
      <c r="BI160" s="60">
        <f ca="1">AVERAGE(OFFSET($BH$3,0,0,'Données projet'!$E$11+1,1))-AVERAGE(OFFSET($H$3,0,0,'Données projet'!$E$11+1,1))</f>
        <v>260.02504691866199</v>
      </c>
      <c r="BJ160" s="60">
        <f t="shared" si="146"/>
        <v>270.11268336406368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0.80919215358381158</v>
      </c>
      <c r="BQ160" s="23">
        <f>EXP(-LN(2)/25)*BQ159+(1-EXP(-LN(2)/25))/(LN(2)/25)*Calculateur!BL160*Calculateur!BN160*VLOOKUP('Données projet'!$B$11,Paramètres!$A$1:$I$89,3,0)*0.475*44/12</f>
        <v>0.48591996581151309</v>
      </c>
      <c r="BR160" s="23">
        <f>EXP(-LN(2)/2)*BR159+(1-EXP(-LN(2)/2))/(LN(2)/2)*BL160*BO160*VLOOKUP('Données projet'!$B$11,Paramètres!$A$1:$I$89,3,0)*0.475*44/12</f>
        <v>4.8605101902073633E-19</v>
      </c>
      <c r="BS160" s="24">
        <f t="shared" si="169"/>
        <v>1.2951121193953248</v>
      </c>
      <c r="BT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5.1159076974727213E-13</v>
      </c>
      <c r="BZ160" s="14">
        <f>BY160*VLOOKUP('Données projet'!$B$12,Paramètres!$A$1:$I$89,3,0)*VLOOKUP('Données projet'!$B$12,Paramètres!$A$1:$I$89,5,0)</f>
        <v>2.3942448024172334E-13</v>
      </c>
      <c r="CA160" s="14">
        <f t="shared" si="170"/>
        <v>3.2492669905861755E-12</v>
      </c>
      <c r="CB160" s="22">
        <f t="shared" si="171"/>
        <v>6.0761376450252565E-12</v>
      </c>
      <c r="CC160" s="60">
        <f t="shared" si="119"/>
        <v>293.3333333333394</v>
      </c>
      <c r="CD160" s="60">
        <f ca="1">AVERAGE(OFFSET($CC$3,0,0,'Données projet'!$E$12+1,1))-AVERAGE(OFFSET($H$3,0,0,'Données projet'!$E$12+1,1))</f>
        <v>246.72166704460847</v>
      </c>
      <c r="CE160" s="60">
        <f t="shared" si="148"/>
        <v>145.54897745089966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-9.6633812063373625E-13</v>
      </c>
      <c r="CU160" s="18">
        <f>CT160*VLOOKUP('Données projet'!$B$13,Paramètres!$A$1:$I$89,3,0)*VLOOKUP('Données projet'!$B$13,Paramètres!$A$1:$I$89,5,0)</f>
        <v>-8.7434273154940449E-13</v>
      </c>
      <c r="CV160" s="14" t="e">
        <f t="shared" si="173"/>
        <v>#NUM!</v>
      </c>
      <c r="CW160" s="22" t="e">
        <f t="shared" si="174"/>
        <v>#NUM!</v>
      </c>
      <c r="CX160" s="60" t="e">
        <f t="shared" si="122"/>
        <v>#NUM!</v>
      </c>
      <c r="CY160" s="60">
        <f ca="1">AVERAGE(OFFSET($CX$3,0,0,'Données projet'!$E$13+1,1))-AVERAGE(OFFSET($H$3,0,0,'Données projet'!$E$13+1,1))</f>
        <v>428.8489304403459</v>
      </c>
      <c r="CZ160" s="60">
        <f t="shared" si="150"/>
        <v>247.01165577562966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-5.1159076974727213E-13</v>
      </c>
      <c r="DP160" s="18">
        <f>DO160*VLOOKUP('Données projet'!$B$14,Paramètres!$A$1:$I$89,3,0)*VLOOKUP('Données projet'!$B$14,Paramètres!$A$1:$I$89,5,0)</f>
        <v>-5.3471467253984886E-13</v>
      </c>
      <c r="DQ160" s="14" t="e">
        <f t="shared" si="176"/>
        <v>#NUM!</v>
      </c>
      <c r="DR160" s="22" t="e">
        <f t="shared" si="177"/>
        <v>#NUM!</v>
      </c>
      <c r="DS160" s="60" t="e">
        <f t="shared" si="125"/>
        <v>#NUM!</v>
      </c>
      <c r="DT160" s="60">
        <f ca="1">AVERAGE(OFFSET($DS$3,0,0,'Données projet'!$E$14+1,1))-AVERAGE(OFFSET($H$3,0,0,'Données projet'!$E$14+1,1))</f>
        <v>493.70175665335978</v>
      </c>
      <c r="DU160" s="60">
        <f t="shared" si="152"/>
        <v>325.12357781685949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-1.9895196601282805E-13</v>
      </c>
      <c r="EK160" s="18">
        <f>EJ160*VLOOKUP('Données projet'!$B$15,Paramètres!$A$1:$I$89,3,0)*VLOOKUP('Données projet'!$B$15,Paramètres!$A$1:$I$89,5,0)</f>
        <v>-1.6138983482960614E-13</v>
      </c>
      <c r="EL160" s="14" t="e">
        <f t="shared" si="179"/>
        <v>#NUM!</v>
      </c>
      <c r="EM160" s="22" t="e">
        <f t="shared" si="180"/>
        <v>#NUM!</v>
      </c>
      <c r="EN160" s="60" t="e">
        <f t="shared" si="128"/>
        <v>#NUM!</v>
      </c>
      <c r="EO160" s="60">
        <f ca="1">AVERAGE(OFFSET($EN$3,0,0,'Données projet'!$E$15+1,1))-AVERAGE(OFFSET($H$3,0,0,'Données projet'!$E$15+1,1))</f>
        <v>236.22643401787644</v>
      </c>
      <c r="EP160" s="60">
        <f t="shared" si="154"/>
        <v>188.80444043778022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5.4978954722173515E-14</v>
      </c>
      <c r="FG160" s="14">
        <f t="shared" si="182"/>
        <v>8.8550225887742724E-13</v>
      </c>
      <c r="FH160" s="22">
        <f t="shared" si="183"/>
        <v>1.6380047803526383E-12</v>
      </c>
      <c r="FI160" s="60">
        <f t="shared" si="131"/>
        <v>293.33333333333496</v>
      </c>
      <c r="FJ160" s="60">
        <f ca="1">AVERAGE(OFFSET($FI$3,0,0,'Données projet'!$E$16+1,1))-AVERAGE(OFFSET($H$3,0,0,'Données projet'!$E$16+1,1))</f>
        <v>255.59755832175625</v>
      </c>
      <c r="FK160" s="60">
        <f t="shared" si="156"/>
        <v>154.0840647586964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0" t="e">
        <f t="shared" si="134"/>
        <v>#N/A</v>
      </c>
      <c r="GE160" s="60" t="e">
        <f ca="1">AVERAGE(OFFSET($GD$3,0,0,'Données projet'!$E$17+1,1))-AVERAGE(OFFSET($H$3,0,0,'Données projet'!$E$17+1,1))</f>
        <v>#N/A</v>
      </c>
      <c r="GF160" s="60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7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0" t="e">
        <f t="shared" si="137"/>
        <v>#N/A</v>
      </c>
      <c r="GZ160" s="60" t="e">
        <f ca="1">AVERAGE(OFFSET($GY$3,0,0,'Données projet'!$E$18+1,1))-AVERAGE(OFFSET($H$3,0,0,'Données projet'!$E$18+1,1))</f>
        <v>#N/A</v>
      </c>
      <c r="HA160" s="60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5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68">
        <f t="shared" si="110"/>
        <v>256.66666666666669</v>
      </c>
      <c r="I161" s="7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0" t="e">
        <f t="shared" si="109"/>
        <v>#NUM!</v>
      </c>
      <c r="S161" s="60">
        <f ca="1">AVERAGE(OFFSET($R$3,0,0,'Données projet'!$E$9+1,1))-AVERAGE(OFFSET($H$3,0,0,'Données projet'!$E$9+1,1))</f>
        <v>64.775385872852041</v>
      </c>
      <c r="T161" s="60">
        <f t="shared" si="142"/>
        <v>201.69061202990468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2.5472450321099149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3.2750961775844843E-21</v>
      </c>
      <c r="AC161" s="24">
        <f t="shared" si="163"/>
        <v>2.5472450321099149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-9.7986685432260874E-13</v>
      </c>
      <c r="AK161" s="14" t="e">
        <f t="shared" si="164"/>
        <v>#NUM!</v>
      </c>
      <c r="AL161" s="22" t="e">
        <f t="shared" si="165"/>
        <v>#NUM!</v>
      </c>
      <c r="AM161" s="60" t="e">
        <f t="shared" si="113"/>
        <v>#NUM!</v>
      </c>
      <c r="AN161" s="60">
        <f ca="1">AVERAGE(OFFSET($AM$3,0,0,'Données projet'!$E$10+1,1))-AVERAGE(OFFSET($H$3,0,0,'Données projet'!$E$10+1,1))</f>
        <v>475.47920969424894</v>
      </c>
      <c r="AO161" s="60">
        <f t="shared" si="144"/>
        <v>271.73544012419364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7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6.7984728957526396E-14</v>
      </c>
      <c r="BF161" s="14">
        <f t="shared" si="167"/>
        <v>1.0682447123141398E-12</v>
      </c>
      <c r="BG161" s="22">
        <f t="shared" si="168"/>
        <v>1.978932943548152E-12</v>
      </c>
      <c r="BH161" s="60">
        <f t="shared" si="116"/>
        <v>293.3333333333353</v>
      </c>
      <c r="BI161" s="60">
        <f ca="1">AVERAGE(OFFSET($BH$3,0,0,'Données projet'!$E$11+1,1))-AVERAGE(OFFSET($H$3,0,0,'Données projet'!$E$11+1,1))</f>
        <v>260.02504691866199</v>
      </c>
      <c r="BJ161" s="60">
        <f t="shared" si="146"/>
        <v>270.11268336406368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0.79332438901051183</v>
      </c>
      <c r="BQ161" s="23">
        <f>EXP(-LN(2)/25)*BQ160+(1-EXP(-LN(2)/25))/(LN(2)/25)*Calculateur!BL161*Calculateur!BN161*VLOOKUP('Données projet'!$B$11,Paramètres!$A$1:$I$89,3,0)*0.475*44/12</f>
        <v>0.47263245879297683</v>
      </c>
      <c r="BR161" s="23">
        <f>EXP(-LN(2)/2)*BR160+(1-EXP(-LN(2)/2))/(LN(2)/2)*BL161*BO161*VLOOKUP('Données projet'!$B$11,Paramètres!$A$1:$I$89,3,0)*0.475*44/12</f>
        <v>3.4368997155219425E-19</v>
      </c>
      <c r="BS161" s="24">
        <f t="shared" si="169"/>
        <v>1.2659568478034886</v>
      </c>
      <c r="BT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5.1159076974727213E-13</v>
      </c>
      <c r="BZ161" s="14">
        <f>BY161*VLOOKUP('Données projet'!$B$12,Paramètres!$A$1:$I$89,3,0)*VLOOKUP('Données projet'!$B$12,Paramètres!$A$1:$I$89,5,0)</f>
        <v>2.3942448024172334E-13</v>
      </c>
      <c r="CA161" s="14">
        <f t="shared" si="170"/>
        <v>3.2492669905861755E-12</v>
      </c>
      <c r="CB161" s="22">
        <f t="shared" si="171"/>
        <v>6.0761376450252565E-12</v>
      </c>
      <c r="CC161" s="60">
        <f t="shared" si="119"/>
        <v>293.3333333333394</v>
      </c>
      <c r="CD161" s="60">
        <f ca="1">AVERAGE(OFFSET($CC$3,0,0,'Données projet'!$E$12+1,1))-AVERAGE(OFFSET($H$3,0,0,'Données projet'!$E$12+1,1))</f>
        <v>246.72166704460847</v>
      </c>
      <c r="CE161" s="60">
        <f t="shared" si="148"/>
        <v>145.54897745089966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-9.6633812063373625E-13</v>
      </c>
      <c r="CU161" s="18">
        <f>CT161*VLOOKUP('Données projet'!$B$13,Paramètres!$A$1:$I$89,3,0)*VLOOKUP('Données projet'!$B$13,Paramètres!$A$1:$I$89,5,0)</f>
        <v>-8.7434273154940449E-13</v>
      </c>
      <c r="CV161" s="14" t="e">
        <f t="shared" si="173"/>
        <v>#NUM!</v>
      </c>
      <c r="CW161" s="22" t="e">
        <f t="shared" si="174"/>
        <v>#NUM!</v>
      </c>
      <c r="CX161" s="60" t="e">
        <f t="shared" si="122"/>
        <v>#NUM!</v>
      </c>
      <c r="CY161" s="60">
        <f ca="1">AVERAGE(OFFSET($CX$3,0,0,'Données projet'!$E$13+1,1))-AVERAGE(OFFSET($H$3,0,0,'Données projet'!$E$13+1,1))</f>
        <v>428.8489304403459</v>
      </c>
      <c r="CZ161" s="60">
        <f t="shared" si="150"/>
        <v>247.01165577562966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-5.1159076974727213E-13</v>
      </c>
      <c r="DP161" s="18">
        <f>DO161*VLOOKUP('Données projet'!$B$14,Paramètres!$A$1:$I$89,3,0)*VLOOKUP('Données projet'!$B$14,Paramètres!$A$1:$I$89,5,0)</f>
        <v>-5.3471467253984886E-13</v>
      </c>
      <c r="DQ161" s="14" t="e">
        <f t="shared" si="176"/>
        <v>#NUM!</v>
      </c>
      <c r="DR161" s="22" t="e">
        <f t="shared" si="177"/>
        <v>#NUM!</v>
      </c>
      <c r="DS161" s="60" t="e">
        <f t="shared" si="125"/>
        <v>#NUM!</v>
      </c>
      <c r="DT161" s="60">
        <f ca="1">AVERAGE(OFFSET($DS$3,0,0,'Données projet'!$E$14+1,1))-AVERAGE(OFFSET($H$3,0,0,'Données projet'!$E$14+1,1))</f>
        <v>493.70175665335978</v>
      </c>
      <c r="DU161" s="60">
        <f t="shared" si="152"/>
        <v>325.12357781685949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-1.9895196601282805E-13</v>
      </c>
      <c r="EK161" s="18">
        <f>EJ161*VLOOKUP('Données projet'!$B$15,Paramètres!$A$1:$I$89,3,0)*VLOOKUP('Données projet'!$B$15,Paramètres!$A$1:$I$89,5,0)</f>
        <v>-1.6138983482960614E-13</v>
      </c>
      <c r="EL161" s="14" t="e">
        <f t="shared" si="179"/>
        <v>#NUM!</v>
      </c>
      <c r="EM161" s="22" t="e">
        <f t="shared" si="180"/>
        <v>#NUM!</v>
      </c>
      <c r="EN161" s="60" t="e">
        <f t="shared" si="128"/>
        <v>#NUM!</v>
      </c>
      <c r="EO161" s="60">
        <f ca="1">AVERAGE(OFFSET($EN$3,0,0,'Données projet'!$E$15+1,1))-AVERAGE(OFFSET($H$3,0,0,'Données projet'!$E$15+1,1))</f>
        <v>236.22643401787644</v>
      </c>
      <c r="EP161" s="60">
        <f t="shared" si="154"/>
        <v>188.80444043778022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5.4978954722173515E-14</v>
      </c>
      <c r="FG161" s="14">
        <f t="shared" si="182"/>
        <v>8.8550225887742724E-13</v>
      </c>
      <c r="FH161" s="22">
        <f t="shared" si="183"/>
        <v>1.6380047803526383E-12</v>
      </c>
      <c r="FI161" s="60">
        <f t="shared" si="131"/>
        <v>293.33333333333496</v>
      </c>
      <c r="FJ161" s="60">
        <f ca="1">AVERAGE(OFFSET($FI$3,0,0,'Données projet'!$E$16+1,1))-AVERAGE(OFFSET($H$3,0,0,'Données projet'!$E$16+1,1))</f>
        <v>255.59755832175625</v>
      </c>
      <c r="FK161" s="60">
        <f t="shared" si="156"/>
        <v>154.0840647586964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0" t="e">
        <f t="shared" si="134"/>
        <v>#N/A</v>
      </c>
      <c r="GE161" s="60" t="e">
        <f ca="1">AVERAGE(OFFSET($GD$3,0,0,'Données projet'!$E$17+1,1))-AVERAGE(OFFSET($H$3,0,0,'Données projet'!$E$17+1,1))</f>
        <v>#N/A</v>
      </c>
      <c r="GF161" s="60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7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0" t="e">
        <f t="shared" si="137"/>
        <v>#N/A</v>
      </c>
      <c r="GZ161" s="60" t="e">
        <f ca="1">AVERAGE(OFFSET($GY$3,0,0,'Données projet'!$E$18+1,1))-AVERAGE(OFFSET($H$3,0,0,'Données projet'!$E$18+1,1))</f>
        <v>#N/A</v>
      </c>
      <c r="HA161" s="60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5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68">
        <f t="shared" si="110"/>
        <v>256.66666666666669</v>
      </c>
      <c r="I162" s="7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0" t="e">
        <f t="shared" si="109"/>
        <v>#NUM!</v>
      </c>
      <c r="S162" s="60">
        <f ca="1">AVERAGE(OFFSET($R$3,0,0,'Données projet'!$E$9+1,1))-AVERAGE(OFFSET($H$3,0,0,'Données projet'!$E$9+1,1))</f>
        <v>64.775385872852041</v>
      </c>
      <c r="T162" s="60">
        <f t="shared" si="142"/>
        <v>201.69061202990468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2.4972951106962973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2.3158427162081301E-21</v>
      </c>
      <c r="AC162" s="24">
        <f t="shared" si="163"/>
        <v>2.4972951106962973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-9.7986685432260874E-13</v>
      </c>
      <c r="AK162" s="14" t="e">
        <f t="shared" si="164"/>
        <v>#NUM!</v>
      </c>
      <c r="AL162" s="22" t="e">
        <f t="shared" si="165"/>
        <v>#NUM!</v>
      </c>
      <c r="AM162" s="60" t="e">
        <f t="shared" si="113"/>
        <v>#NUM!</v>
      </c>
      <c r="AN162" s="60">
        <f ca="1">AVERAGE(OFFSET($AM$3,0,0,'Données projet'!$E$10+1,1))-AVERAGE(OFFSET($H$3,0,0,'Données projet'!$E$10+1,1))</f>
        <v>475.47920969424894</v>
      </c>
      <c r="AO162" s="60">
        <f t="shared" si="144"/>
        <v>271.73544012419364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7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6.7984728957526396E-14</v>
      </c>
      <c r="BF162" s="14">
        <f t="shared" si="167"/>
        <v>1.0682447123141398E-12</v>
      </c>
      <c r="BG162" s="22">
        <f t="shared" si="168"/>
        <v>1.978932943548152E-12</v>
      </c>
      <c r="BH162" s="60">
        <f t="shared" si="116"/>
        <v>293.3333333333353</v>
      </c>
      <c r="BI162" s="60">
        <f ca="1">AVERAGE(OFFSET($BH$3,0,0,'Données projet'!$E$11+1,1))-AVERAGE(OFFSET($H$3,0,0,'Données projet'!$E$11+1,1))</f>
        <v>260.02504691866199</v>
      </c>
      <c r="BJ162" s="60">
        <f t="shared" si="146"/>
        <v>270.11268336406368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0.7777677816221138</v>
      </c>
      <c r="BQ162" s="23">
        <f>EXP(-LN(2)/25)*BQ161+(1-EXP(-LN(2)/25))/(LN(2)/25)*Calculateur!BL162*Calculateur!BN162*VLOOKUP('Données projet'!$B$11,Paramètres!$A$1:$I$89,3,0)*0.475*44/12</f>
        <v>0.45970829935262209</v>
      </c>
      <c r="BR162" s="23">
        <f>EXP(-LN(2)/2)*BR161+(1-EXP(-LN(2)/2))/(LN(2)/2)*BL162*BO162*VLOOKUP('Données projet'!$B$11,Paramètres!$A$1:$I$89,3,0)*0.475*44/12</f>
        <v>2.4302550951036817E-19</v>
      </c>
      <c r="BS162" s="24">
        <f t="shared" si="169"/>
        <v>1.2374760809747358</v>
      </c>
      <c r="BT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5.1159076974727213E-13</v>
      </c>
      <c r="BZ162" s="14">
        <f>BY162*VLOOKUP('Données projet'!$B$12,Paramètres!$A$1:$I$89,3,0)*VLOOKUP('Données projet'!$B$12,Paramètres!$A$1:$I$89,5,0)</f>
        <v>2.3942448024172334E-13</v>
      </c>
      <c r="CA162" s="14">
        <f t="shared" si="170"/>
        <v>3.2492669905861755E-12</v>
      </c>
      <c r="CB162" s="22">
        <f t="shared" si="171"/>
        <v>6.0761376450252565E-12</v>
      </c>
      <c r="CC162" s="60">
        <f t="shared" si="119"/>
        <v>293.3333333333394</v>
      </c>
      <c r="CD162" s="60">
        <f ca="1">AVERAGE(OFFSET($CC$3,0,0,'Données projet'!$E$12+1,1))-AVERAGE(OFFSET($H$3,0,0,'Données projet'!$E$12+1,1))</f>
        <v>246.72166704460847</v>
      </c>
      <c r="CE162" s="60">
        <f t="shared" si="148"/>
        <v>145.54897745089966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-9.6633812063373625E-13</v>
      </c>
      <c r="CU162" s="18">
        <f>CT162*VLOOKUP('Données projet'!$B$13,Paramètres!$A$1:$I$89,3,0)*VLOOKUP('Données projet'!$B$13,Paramètres!$A$1:$I$89,5,0)</f>
        <v>-8.7434273154940449E-13</v>
      </c>
      <c r="CV162" s="14" t="e">
        <f t="shared" si="173"/>
        <v>#NUM!</v>
      </c>
      <c r="CW162" s="22" t="e">
        <f t="shared" si="174"/>
        <v>#NUM!</v>
      </c>
      <c r="CX162" s="60" t="e">
        <f t="shared" si="122"/>
        <v>#NUM!</v>
      </c>
      <c r="CY162" s="60">
        <f ca="1">AVERAGE(OFFSET($CX$3,0,0,'Données projet'!$E$13+1,1))-AVERAGE(OFFSET($H$3,0,0,'Données projet'!$E$13+1,1))</f>
        <v>428.8489304403459</v>
      </c>
      <c r="CZ162" s="60">
        <f t="shared" si="150"/>
        <v>247.01165577562966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-5.1159076974727213E-13</v>
      </c>
      <c r="DP162" s="18">
        <f>DO162*VLOOKUP('Données projet'!$B$14,Paramètres!$A$1:$I$89,3,0)*VLOOKUP('Données projet'!$B$14,Paramètres!$A$1:$I$89,5,0)</f>
        <v>-5.3471467253984886E-13</v>
      </c>
      <c r="DQ162" s="14" t="e">
        <f t="shared" si="176"/>
        <v>#NUM!</v>
      </c>
      <c r="DR162" s="22" t="e">
        <f t="shared" si="177"/>
        <v>#NUM!</v>
      </c>
      <c r="DS162" s="60" t="e">
        <f t="shared" si="125"/>
        <v>#NUM!</v>
      </c>
      <c r="DT162" s="60">
        <f ca="1">AVERAGE(OFFSET($DS$3,0,0,'Données projet'!$E$14+1,1))-AVERAGE(OFFSET($H$3,0,0,'Données projet'!$E$14+1,1))</f>
        <v>493.70175665335978</v>
      </c>
      <c r="DU162" s="60">
        <f t="shared" si="152"/>
        <v>325.12357781685949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-1.9895196601282805E-13</v>
      </c>
      <c r="EK162" s="18">
        <f>EJ162*VLOOKUP('Données projet'!$B$15,Paramètres!$A$1:$I$89,3,0)*VLOOKUP('Données projet'!$B$15,Paramètres!$A$1:$I$89,5,0)</f>
        <v>-1.6138983482960614E-13</v>
      </c>
      <c r="EL162" s="14" t="e">
        <f t="shared" si="179"/>
        <v>#NUM!</v>
      </c>
      <c r="EM162" s="22" t="e">
        <f t="shared" si="180"/>
        <v>#NUM!</v>
      </c>
      <c r="EN162" s="60" t="e">
        <f t="shared" si="128"/>
        <v>#NUM!</v>
      </c>
      <c r="EO162" s="60">
        <f ca="1">AVERAGE(OFFSET($EN$3,0,0,'Données projet'!$E$15+1,1))-AVERAGE(OFFSET($H$3,0,0,'Données projet'!$E$15+1,1))</f>
        <v>236.22643401787644</v>
      </c>
      <c r="EP162" s="60">
        <f t="shared" si="154"/>
        <v>188.80444043778022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5.4978954722173515E-14</v>
      </c>
      <c r="FG162" s="14">
        <f t="shared" si="182"/>
        <v>8.8550225887742724E-13</v>
      </c>
      <c r="FH162" s="22">
        <f t="shared" si="183"/>
        <v>1.6380047803526383E-12</v>
      </c>
      <c r="FI162" s="60">
        <f t="shared" si="131"/>
        <v>293.33333333333496</v>
      </c>
      <c r="FJ162" s="60">
        <f ca="1">AVERAGE(OFFSET($FI$3,0,0,'Données projet'!$E$16+1,1))-AVERAGE(OFFSET($H$3,0,0,'Données projet'!$E$16+1,1))</f>
        <v>255.59755832175625</v>
      </c>
      <c r="FK162" s="60">
        <f t="shared" si="156"/>
        <v>154.0840647586964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0" t="e">
        <f t="shared" si="134"/>
        <v>#N/A</v>
      </c>
      <c r="GE162" s="60" t="e">
        <f ca="1">AVERAGE(OFFSET($GD$3,0,0,'Données projet'!$E$17+1,1))-AVERAGE(OFFSET($H$3,0,0,'Données projet'!$E$17+1,1))</f>
        <v>#N/A</v>
      </c>
      <c r="GF162" s="60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7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0" t="e">
        <f t="shared" si="137"/>
        <v>#N/A</v>
      </c>
      <c r="GZ162" s="60" t="e">
        <f ca="1">AVERAGE(OFFSET($GY$3,0,0,'Données projet'!$E$18+1,1))-AVERAGE(OFFSET($H$3,0,0,'Données projet'!$E$18+1,1))</f>
        <v>#N/A</v>
      </c>
      <c r="HA162" s="60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5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68">
        <f t="shared" si="110"/>
        <v>256.66666666666669</v>
      </c>
      <c r="I163" s="7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0" t="e">
        <f t="shared" si="109"/>
        <v>#NUM!</v>
      </c>
      <c r="S163" s="60">
        <f ca="1">AVERAGE(OFFSET($R$3,0,0,'Données projet'!$E$9+1,1))-AVERAGE(OFFSET($H$3,0,0,'Données projet'!$E$9+1,1))</f>
        <v>64.775385872852041</v>
      </c>
      <c r="T163" s="60">
        <f t="shared" si="142"/>
        <v>201.69061202990468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2.4483246767751567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1.6375480887922422E-21</v>
      </c>
      <c r="AC163" s="24">
        <f t="shared" si="163"/>
        <v>2.4483246767751567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-9.7986685432260874E-13</v>
      </c>
      <c r="AK163" s="14" t="e">
        <f t="shared" si="164"/>
        <v>#NUM!</v>
      </c>
      <c r="AL163" s="22" t="e">
        <f t="shared" si="165"/>
        <v>#NUM!</v>
      </c>
      <c r="AM163" s="60" t="e">
        <f t="shared" si="113"/>
        <v>#NUM!</v>
      </c>
      <c r="AN163" s="60">
        <f ca="1">AVERAGE(OFFSET($AM$3,0,0,'Données projet'!$E$10+1,1))-AVERAGE(OFFSET($H$3,0,0,'Données projet'!$E$10+1,1))</f>
        <v>475.47920969424894</v>
      </c>
      <c r="AO163" s="60">
        <f t="shared" si="144"/>
        <v>271.73544012419364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7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6.7984728957526396E-14</v>
      </c>
      <c r="BF163" s="14">
        <f t="shared" si="167"/>
        <v>1.0682447123141398E-12</v>
      </c>
      <c r="BG163" s="22">
        <f t="shared" si="168"/>
        <v>1.978932943548152E-12</v>
      </c>
      <c r="BH163" s="60">
        <f t="shared" si="116"/>
        <v>293.3333333333353</v>
      </c>
      <c r="BI163" s="60">
        <f ca="1">AVERAGE(OFFSET($BH$3,0,0,'Données projet'!$E$11+1,1))-AVERAGE(OFFSET($H$3,0,0,'Données projet'!$E$11+1,1))</f>
        <v>260.02504691866199</v>
      </c>
      <c r="BJ163" s="60">
        <f t="shared" si="146"/>
        <v>270.11268336406368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0.76251622981600864</v>
      </c>
      <c r="BQ163" s="23">
        <f>EXP(-LN(2)/25)*BQ162+(1-EXP(-LN(2)/25))/(LN(2)/25)*Calculateur!BL163*Calculateur!BN163*VLOOKUP('Données projet'!$B$11,Paramètres!$A$1:$I$89,3,0)*0.475*44/12</f>
        <v>0.44713755173181585</v>
      </c>
      <c r="BR163" s="23">
        <f>EXP(-LN(2)/2)*BR162+(1-EXP(-LN(2)/2))/(LN(2)/2)*BL163*BO163*VLOOKUP('Données projet'!$B$11,Paramètres!$A$1:$I$89,3,0)*0.475*44/12</f>
        <v>1.7184498577609713E-19</v>
      </c>
      <c r="BS163" s="24">
        <f t="shared" si="169"/>
        <v>1.2096537815478245</v>
      </c>
      <c r="BT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5.1159076974727213E-13</v>
      </c>
      <c r="BZ163" s="14">
        <f>BY163*VLOOKUP('Données projet'!$B$12,Paramètres!$A$1:$I$89,3,0)*VLOOKUP('Données projet'!$B$12,Paramètres!$A$1:$I$89,5,0)</f>
        <v>2.3942448024172334E-13</v>
      </c>
      <c r="CA163" s="14">
        <f t="shared" si="170"/>
        <v>3.2492669905861755E-12</v>
      </c>
      <c r="CB163" s="22">
        <f t="shared" si="171"/>
        <v>6.0761376450252565E-12</v>
      </c>
      <c r="CC163" s="60">
        <f t="shared" si="119"/>
        <v>293.3333333333394</v>
      </c>
      <c r="CD163" s="60">
        <f ca="1">AVERAGE(OFFSET($CC$3,0,0,'Données projet'!$E$12+1,1))-AVERAGE(OFFSET($H$3,0,0,'Données projet'!$E$12+1,1))</f>
        <v>246.72166704460847</v>
      </c>
      <c r="CE163" s="60">
        <f t="shared" si="148"/>
        <v>145.54897745089966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-9.6633812063373625E-13</v>
      </c>
      <c r="CU163" s="18">
        <f>CT163*VLOOKUP('Données projet'!$B$13,Paramètres!$A$1:$I$89,3,0)*VLOOKUP('Données projet'!$B$13,Paramètres!$A$1:$I$89,5,0)</f>
        <v>-8.7434273154940449E-13</v>
      </c>
      <c r="CV163" s="14" t="e">
        <f t="shared" si="173"/>
        <v>#NUM!</v>
      </c>
      <c r="CW163" s="22" t="e">
        <f t="shared" si="174"/>
        <v>#NUM!</v>
      </c>
      <c r="CX163" s="60" t="e">
        <f t="shared" si="122"/>
        <v>#NUM!</v>
      </c>
      <c r="CY163" s="60">
        <f ca="1">AVERAGE(OFFSET($CX$3,0,0,'Données projet'!$E$13+1,1))-AVERAGE(OFFSET($H$3,0,0,'Données projet'!$E$13+1,1))</f>
        <v>428.8489304403459</v>
      </c>
      <c r="CZ163" s="60">
        <f t="shared" si="150"/>
        <v>247.01165577562966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-5.1159076974727213E-13</v>
      </c>
      <c r="DP163" s="18">
        <f>DO163*VLOOKUP('Données projet'!$B$14,Paramètres!$A$1:$I$89,3,0)*VLOOKUP('Données projet'!$B$14,Paramètres!$A$1:$I$89,5,0)</f>
        <v>-5.3471467253984886E-13</v>
      </c>
      <c r="DQ163" s="14" t="e">
        <f t="shared" si="176"/>
        <v>#NUM!</v>
      </c>
      <c r="DR163" s="22" t="e">
        <f t="shared" si="177"/>
        <v>#NUM!</v>
      </c>
      <c r="DS163" s="60" t="e">
        <f t="shared" si="125"/>
        <v>#NUM!</v>
      </c>
      <c r="DT163" s="60">
        <f ca="1">AVERAGE(OFFSET($DS$3,0,0,'Données projet'!$E$14+1,1))-AVERAGE(OFFSET($H$3,0,0,'Données projet'!$E$14+1,1))</f>
        <v>493.70175665335978</v>
      </c>
      <c r="DU163" s="60">
        <f t="shared" si="152"/>
        <v>325.12357781685949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-1.9895196601282805E-13</v>
      </c>
      <c r="EK163" s="18">
        <f>EJ163*VLOOKUP('Données projet'!$B$15,Paramètres!$A$1:$I$89,3,0)*VLOOKUP('Données projet'!$B$15,Paramètres!$A$1:$I$89,5,0)</f>
        <v>-1.6138983482960614E-13</v>
      </c>
      <c r="EL163" s="14" t="e">
        <f t="shared" si="179"/>
        <v>#NUM!</v>
      </c>
      <c r="EM163" s="22" t="e">
        <f t="shared" si="180"/>
        <v>#NUM!</v>
      </c>
      <c r="EN163" s="60" t="e">
        <f t="shared" si="128"/>
        <v>#NUM!</v>
      </c>
      <c r="EO163" s="60">
        <f ca="1">AVERAGE(OFFSET($EN$3,0,0,'Données projet'!$E$15+1,1))-AVERAGE(OFFSET($H$3,0,0,'Données projet'!$E$15+1,1))</f>
        <v>236.22643401787644</v>
      </c>
      <c r="EP163" s="60">
        <f t="shared" si="154"/>
        <v>188.80444043778022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5.4978954722173515E-14</v>
      </c>
      <c r="FG163" s="14">
        <f t="shared" si="182"/>
        <v>8.8550225887742724E-13</v>
      </c>
      <c r="FH163" s="22">
        <f t="shared" si="183"/>
        <v>1.6380047803526383E-12</v>
      </c>
      <c r="FI163" s="60">
        <f t="shared" si="131"/>
        <v>293.33333333333496</v>
      </c>
      <c r="FJ163" s="60">
        <f ca="1">AVERAGE(OFFSET($FI$3,0,0,'Données projet'!$E$16+1,1))-AVERAGE(OFFSET($H$3,0,0,'Données projet'!$E$16+1,1))</f>
        <v>255.59755832175625</v>
      </c>
      <c r="FK163" s="60">
        <f t="shared" si="156"/>
        <v>154.0840647586964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0" t="e">
        <f t="shared" si="134"/>
        <v>#N/A</v>
      </c>
      <c r="GE163" s="60" t="e">
        <f ca="1">AVERAGE(OFFSET($GD$3,0,0,'Données projet'!$E$17+1,1))-AVERAGE(OFFSET($H$3,0,0,'Données projet'!$E$17+1,1))</f>
        <v>#N/A</v>
      </c>
      <c r="GF163" s="60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7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0" t="e">
        <f t="shared" si="137"/>
        <v>#N/A</v>
      </c>
      <c r="GZ163" s="60" t="e">
        <f ca="1">AVERAGE(OFFSET($GY$3,0,0,'Données projet'!$E$18+1,1))-AVERAGE(OFFSET($H$3,0,0,'Données projet'!$E$18+1,1))</f>
        <v>#N/A</v>
      </c>
      <c r="HA163" s="60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5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68">
        <f t="shared" si="110"/>
        <v>256.66666666666669</v>
      </c>
      <c r="I164" s="7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0" t="e">
        <f t="shared" si="109"/>
        <v>#NUM!</v>
      </c>
      <c r="S164" s="60">
        <f ca="1">AVERAGE(OFFSET($R$3,0,0,'Données projet'!$E$9+1,1))-AVERAGE(OFFSET($H$3,0,0,'Données projet'!$E$9+1,1))</f>
        <v>64.775385872852041</v>
      </c>
      <c r="T164" s="60">
        <f t="shared" si="142"/>
        <v>201.69061202990468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2.4003145231941945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1.1579213581040651E-21</v>
      </c>
      <c r="AC164" s="24">
        <f t="shared" si="163"/>
        <v>2.4003145231941945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-9.7986685432260874E-13</v>
      </c>
      <c r="AK164" s="14" t="e">
        <f t="shared" si="164"/>
        <v>#NUM!</v>
      </c>
      <c r="AL164" s="22" t="e">
        <f t="shared" si="165"/>
        <v>#NUM!</v>
      </c>
      <c r="AM164" s="60" t="e">
        <f t="shared" si="113"/>
        <v>#NUM!</v>
      </c>
      <c r="AN164" s="60">
        <f ca="1">AVERAGE(OFFSET($AM$3,0,0,'Données projet'!$E$10+1,1))-AVERAGE(OFFSET($H$3,0,0,'Données projet'!$E$10+1,1))</f>
        <v>475.47920969424894</v>
      </c>
      <c r="AO164" s="60">
        <f t="shared" si="144"/>
        <v>271.73544012419364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7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6.7984728957526396E-14</v>
      </c>
      <c r="BF164" s="14">
        <f t="shared" si="167"/>
        <v>1.0682447123141398E-12</v>
      </c>
      <c r="BG164" s="22">
        <f t="shared" si="168"/>
        <v>1.978932943548152E-12</v>
      </c>
      <c r="BH164" s="60">
        <f t="shared" si="116"/>
        <v>293.3333333333353</v>
      </c>
      <c r="BI164" s="60">
        <f ca="1">AVERAGE(OFFSET($BH$3,0,0,'Données projet'!$E$11+1,1))-AVERAGE(OFFSET($H$3,0,0,'Données projet'!$E$11+1,1))</f>
        <v>260.02504691866199</v>
      </c>
      <c r="BJ164" s="60">
        <f t="shared" si="146"/>
        <v>270.11268336406368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0.74756375163829314</v>
      </c>
      <c r="BQ164" s="23">
        <f>EXP(-LN(2)/25)*BQ163+(1-EXP(-LN(2)/25))/(LN(2)/25)*Calculateur!BL164*Calculateur!BN164*VLOOKUP('Données projet'!$B$11,Paramètres!$A$1:$I$89,3,0)*0.475*44/12</f>
        <v>0.43491055186576744</v>
      </c>
      <c r="BR164" s="23">
        <f>EXP(-LN(2)/2)*BR163+(1-EXP(-LN(2)/2))/(LN(2)/2)*BL164*BO164*VLOOKUP('Données projet'!$B$11,Paramètres!$A$1:$I$89,3,0)*0.475*44/12</f>
        <v>1.2151275475518408E-19</v>
      </c>
      <c r="BS164" s="24">
        <f t="shared" si="169"/>
        <v>1.1824743035040606</v>
      </c>
      <c r="BT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5.1159076974727213E-13</v>
      </c>
      <c r="BZ164" s="14">
        <f>BY164*VLOOKUP('Données projet'!$B$12,Paramètres!$A$1:$I$89,3,0)*VLOOKUP('Données projet'!$B$12,Paramètres!$A$1:$I$89,5,0)</f>
        <v>2.3942448024172334E-13</v>
      </c>
      <c r="CA164" s="14">
        <f t="shared" si="170"/>
        <v>3.2492669905861755E-12</v>
      </c>
      <c r="CB164" s="22">
        <f t="shared" si="171"/>
        <v>6.0761376450252565E-12</v>
      </c>
      <c r="CC164" s="60">
        <f t="shared" si="119"/>
        <v>293.3333333333394</v>
      </c>
      <c r="CD164" s="60">
        <f ca="1">AVERAGE(OFFSET($CC$3,0,0,'Données projet'!$E$12+1,1))-AVERAGE(OFFSET($H$3,0,0,'Données projet'!$E$12+1,1))</f>
        <v>246.72166704460847</v>
      </c>
      <c r="CE164" s="60">
        <f t="shared" si="148"/>
        <v>145.54897745089966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-9.6633812063373625E-13</v>
      </c>
      <c r="CU164" s="18">
        <f>CT164*VLOOKUP('Données projet'!$B$13,Paramètres!$A$1:$I$89,3,0)*VLOOKUP('Données projet'!$B$13,Paramètres!$A$1:$I$89,5,0)</f>
        <v>-8.7434273154940449E-13</v>
      </c>
      <c r="CV164" s="14" t="e">
        <f t="shared" si="173"/>
        <v>#NUM!</v>
      </c>
      <c r="CW164" s="22" t="e">
        <f t="shared" si="174"/>
        <v>#NUM!</v>
      </c>
      <c r="CX164" s="60" t="e">
        <f t="shared" si="122"/>
        <v>#NUM!</v>
      </c>
      <c r="CY164" s="60">
        <f ca="1">AVERAGE(OFFSET($CX$3,0,0,'Données projet'!$E$13+1,1))-AVERAGE(OFFSET($H$3,0,0,'Données projet'!$E$13+1,1))</f>
        <v>428.8489304403459</v>
      </c>
      <c r="CZ164" s="60">
        <f t="shared" si="150"/>
        <v>247.01165577562966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-5.1159076974727213E-13</v>
      </c>
      <c r="DP164" s="18">
        <f>DO164*VLOOKUP('Données projet'!$B$14,Paramètres!$A$1:$I$89,3,0)*VLOOKUP('Données projet'!$B$14,Paramètres!$A$1:$I$89,5,0)</f>
        <v>-5.3471467253984886E-13</v>
      </c>
      <c r="DQ164" s="14" t="e">
        <f t="shared" si="176"/>
        <v>#NUM!</v>
      </c>
      <c r="DR164" s="22" t="e">
        <f t="shared" si="177"/>
        <v>#NUM!</v>
      </c>
      <c r="DS164" s="60" t="e">
        <f t="shared" si="125"/>
        <v>#NUM!</v>
      </c>
      <c r="DT164" s="60">
        <f ca="1">AVERAGE(OFFSET($DS$3,0,0,'Données projet'!$E$14+1,1))-AVERAGE(OFFSET($H$3,0,0,'Données projet'!$E$14+1,1))</f>
        <v>493.70175665335978</v>
      </c>
      <c r="DU164" s="60">
        <f t="shared" si="152"/>
        <v>325.12357781685949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-1.9895196601282805E-13</v>
      </c>
      <c r="EK164" s="18">
        <f>EJ164*VLOOKUP('Données projet'!$B$15,Paramètres!$A$1:$I$89,3,0)*VLOOKUP('Données projet'!$B$15,Paramètres!$A$1:$I$89,5,0)</f>
        <v>-1.6138983482960614E-13</v>
      </c>
      <c r="EL164" s="14" t="e">
        <f t="shared" si="179"/>
        <v>#NUM!</v>
      </c>
      <c r="EM164" s="22" t="e">
        <f t="shared" si="180"/>
        <v>#NUM!</v>
      </c>
      <c r="EN164" s="60" t="e">
        <f t="shared" si="128"/>
        <v>#NUM!</v>
      </c>
      <c r="EO164" s="60">
        <f ca="1">AVERAGE(OFFSET($EN$3,0,0,'Données projet'!$E$15+1,1))-AVERAGE(OFFSET($H$3,0,0,'Données projet'!$E$15+1,1))</f>
        <v>236.22643401787644</v>
      </c>
      <c r="EP164" s="60">
        <f t="shared" si="154"/>
        <v>188.80444043778022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5.4978954722173515E-14</v>
      </c>
      <c r="FG164" s="14">
        <f t="shared" si="182"/>
        <v>8.8550225887742724E-13</v>
      </c>
      <c r="FH164" s="22">
        <f t="shared" si="183"/>
        <v>1.6380047803526383E-12</v>
      </c>
      <c r="FI164" s="60">
        <f t="shared" si="131"/>
        <v>293.33333333333496</v>
      </c>
      <c r="FJ164" s="60">
        <f ca="1">AVERAGE(OFFSET($FI$3,0,0,'Données projet'!$E$16+1,1))-AVERAGE(OFFSET($H$3,0,0,'Données projet'!$E$16+1,1))</f>
        <v>255.59755832175625</v>
      </c>
      <c r="FK164" s="60">
        <f t="shared" si="156"/>
        <v>154.0840647586964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0" t="e">
        <f t="shared" si="134"/>
        <v>#N/A</v>
      </c>
      <c r="GE164" s="60" t="e">
        <f ca="1">AVERAGE(OFFSET($GD$3,0,0,'Données projet'!$E$17+1,1))-AVERAGE(OFFSET($H$3,0,0,'Données projet'!$E$17+1,1))</f>
        <v>#N/A</v>
      </c>
      <c r="GF164" s="60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7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0" t="e">
        <f t="shared" si="137"/>
        <v>#N/A</v>
      </c>
      <c r="GZ164" s="60" t="e">
        <f ca="1">AVERAGE(OFFSET($GY$3,0,0,'Données projet'!$E$18+1,1))-AVERAGE(OFFSET($H$3,0,0,'Données projet'!$E$18+1,1))</f>
        <v>#N/A</v>
      </c>
      <c r="HA164" s="60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5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68">
        <f t="shared" si="110"/>
        <v>256.66666666666669</v>
      </c>
      <c r="I165" s="7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0" t="e">
        <f t="shared" si="109"/>
        <v>#NUM!</v>
      </c>
      <c r="S165" s="60">
        <f ca="1">AVERAGE(OFFSET($R$3,0,0,'Données projet'!$E$9+1,1))-AVERAGE(OFFSET($H$3,0,0,'Données projet'!$E$9+1,1))</f>
        <v>64.775385872852041</v>
      </c>
      <c r="T165" s="60">
        <f t="shared" si="142"/>
        <v>201.69061202990468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2.353245819441653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8.1877404439612108E-22</v>
      </c>
      <c r="AC165" s="24">
        <f t="shared" si="163"/>
        <v>2.353245819441653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-9.7986685432260874E-13</v>
      </c>
      <c r="AK165" s="14" t="e">
        <f t="shared" si="164"/>
        <v>#NUM!</v>
      </c>
      <c r="AL165" s="22" t="e">
        <f t="shared" si="165"/>
        <v>#NUM!</v>
      </c>
      <c r="AM165" s="60" t="e">
        <f t="shared" si="113"/>
        <v>#NUM!</v>
      </c>
      <c r="AN165" s="60">
        <f ca="1">AVERAGE(OFFSET($AM$3,0,0,'Données projet'!$E$10+1,1))-AVERAGE(OFFSET($H$3,0,0,'Données projet'!$E$10+1,1))</f>
        <v>475.47920969424894</v>
      </c>
      <c r="AO165" s="60">
        <f t="shared" si="144"/>
        <v>271.73544012419364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7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6.7984728957526396E-14</v>
      </c>
      <c r="BF165" s="14">
        <f t="shared" si="167"/>
        <v>1.0682447123141398E-12</v>
      </c>
      <c r="BG165" s="22">
        <f t="shared" si="168"/>
        <v>1.978932943548152E-12</v>
      </c>
      <c r="BH165" s="60">
        <f t="shared" si="116"/>
        <v>293.3333333333353</v>
      </c>
      <c r="BI165" s="60">
        <f ca="1">AVERAGE(OFFSET($BH$3,0,0,'Données projet'!$E$11+1,1))-AVERAGE(OFFSET($H$3,0,0,'Données projet'!$E$11+1,1))</f>
        <v>260.02504691866199</v>
      </c>
      <c r="BJ165" s="60">
        <f t="shared" si="146"/>
        <v>270.11268336406368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0.73290448243753148</v>
      </c>
      <c r="BQ165" s="23">
        <f>EXP(-LN(2)/25)*BQ164+(1-EXP(-LN(2)/25))/(LN(2)/25)*Calculateur!BL165*Calculateur!BN165*VLOOKUP('Données projet'!$B$11,Paramètres!$A$1:$I$89,3,0)*0.475*44/12</f>
        <v>0.42301789995404609</v>
      </c>
      <c r="BR165" s="23">
        <f>EXP(-LN(2)/2)*BR164+(1-EXP(-LN(2)/2))/(LN(2)/2)*BL165*BO165*VLOOKUP('Données projet'!$B$11,Paramètres!$A$1:$I$89,3,0)*0.475*44/12</f>
        <v>8.5922492888048563E-20</v>
      </c>
      <c r="BS165" s="24">
        <f t="shared" si="169"/>
        <v>1.1559223823915776</v>
      </c>
      <c r="BT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5.1159076974727213E-13</v>
      </c>
      <c r="BZ165" s="14">
        <f>BY165*VLOOKUP('Données projet'!$B$12,Paramètres!$A$1:$I$89,3,0)*VLOOKUP('Données projet'!$B$12,Paramètres!$A$1:$I$89,5,0)</f>
        <v>2.3942448024172334E-13</v>
      </c>
      <c r="CA165" s="14">
        <f t="shared" si="170"/>
        <v>3.2492669905861755E-12</v>
      </c>
      <c r="CB165" s="22">
        <f t="shared" si="171"/>
        <v>6.0761376450252565E-12</v>
      </c>
      <c r="CC165" s="60">
        <f t="shared" si="119"/>
        <v>293.3333333333394</v>
      </c>
      <c r="CD165" s="60">
        <f ca="1">AVERAGE(OFFSET($CC$3,0,0,'Données projet'!$E$12+1,1))-AVERAGE(OFFSET($H$3,0,0,'Données projet'!$E$12+1,1))</f>
        <v>246.72166704460847</v>
      </c>
      <c r="CE165" s="60">
        <f t="shared" si="148"/>
        <v>145.54897745089966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-9.6633812063373625E-13</v>
      </c>
      <c r="CU165" s="18">
        <f>CT165*VLOOKUP('Données projet'!$B$13,Paramètres!$A$1:$I$89,3,0)*VLOOKUP('Données projet'!$B$13,Paramètres!$A$1:$I$89,5,0)</f>
        <v>-8.7434273154940449E-13</v>
      </c>
      <c r="CV165" s="14" t="e">
        <f t="shared" si="173"/>
        <v>#NUM!</v>
      </c>
      <c r="CW165" s="22" t="e">
        <f t="shared" si="174"/>
        <v>#NUM!</v>
      </c>
      <c r="CX165" s="60" t="e">
        <f t="shared" si="122"/>
        <v>#NUM!</v>
      </c>
      <c r="CY165" s="60">
        <f ca="1">AVERAGE(OFFSET($CX$3,0,0,'Données projet'!$E$13+1,1))-AVERAGE(OFFSET($H$3,0,0,'Données projet'!$E$13+1,1))</f>
        <v>428.8489304403459</v>
      </c>
      <c r="CZ165" s="60">
        <f t="shared" si="150"/>
        <v>247.01165577562966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-5.1159076974727213E-13</v>
      </c>
      <c r="DP165" s="18">
        <f>DO165*VLOOKUP('Données projet'!$B$14,Paramètres!$A$1:$I$89,3,0)*VLOOKUP('Données projet'!$B$14,Paramètres!$A$1:$I$89,5,0)</f>
        <v>-5.3471467253984886E-13</v>
      </c>
      <c r="DQ165" s="14" t="e">
        <f t="shared" si="176"/>
        <v>#NUM!</v>
      </c>
      <c r="DR165" s="22" t="e">
        <f t="shared" si="177"/>
        <v>#NUM!</v>
      </c>
      <c r="DS165" s="60" t="e">
        <f t="shared" si="125"/>
        <v>#NUM!</v>
      </c>
      <c r="DT165" s="60">
        <f ca="1">AVERAGE(OFFSET($DS$3,0,0,'Données projet'!$E$14+1,1))-AVERAGE(OFFSET($H$3,0,0,'Données projet'!$E$14+1,1))</f>
        <v>493.70175665335978</v>
      </c>
      <c r="DU165" s="60">
        <f t="shared" si="152"/>
        <v>325.12357781685949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-1.9895196601282805E-13</v>
      </c>
      <c r="EK165" s="18">
        <f>EJ165*VLOOKUP('Données projet'!$B$15,Paramètres!$A$1:$I$89,3,0)*VLOOKUP('Données projet'!$B$15,Paramètres!$A$1:$I$89,5,0)</f>
        <v>-1.6138983482960614E-13</v>
      </c>
      <c r="EL165" s="14" t="e">
        <f t="shared" si="179"/>
        <v>#NUM!</v>
      </c>
      <c r="EM165" s="22" t="e">
        <f t="shared" si="180"/>
        <v>#NUM!</v>
      </c>
      <c r="EN165" s="60" t="e">
        <f t="shared" si="128"/>
        <v>#NUM!</v>
      </c>
      <c r="EO165" s="60">
        <f ca="1">AVERAGE(OFFSET($EN$3,0,0,'Données projet'!$E$15+1,1))-AVERAGE(OFFSET($H$3,0,0,'Données projet'!$E$15+1,1))</f>
        <v>236.22643401787644</v>
      </c>
      <c r="EP165" s="60">
        <f t="shared" si="154"/>
        <v>188.80444043778022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5.4978954722173515E-14</v>
      </c>
      <c r="FG165" s="14">
        <f t="shared" si="182"/>
        <v>8.8550225887742724E-13</v>
      </c>
      <c r="FH165" s="22">
        <f t="shared" si="183"/>
        <v>1.6380047803526383E-12</v>
      </c>
      <c r="FI165" s="60">
        <f t="shared" si="131"/>
        <v>293.33333333333496</v>
      </c>
      <c r="FJ165" s="60">
        <f ca="1">AVERAGE(OFFSET($FI$3,0,0,'Données projet'!$E$16+1,1))-AVERAGE(OFFSET($H$3,0,0,'Données projet'!$E$16+1,1))</f>
        <v>255.59755832175625</v>
      </c>
      <c r="FK165" s="60">
        <f t="shared" si="156"/>
        <v>154.0840647586964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0" t="e">
        <f t="shared" si="134"/>
        <v>#N/A</v>
      </c>
      <c r="GE165" s="60" t="e">
        <f ca="1">AVERAGE(OFFSET($GD$3,0,0,'Données projet'!$E$17+1,1))-AVERAGE(OFFSET($H$3,0,0,'Données projet'!$E$17+1,1))</f>
        <v>#N/A</v>
      </c>
      <c r="GF165" s="60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7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0" t="e">
        <f t="shared" si="137"/>
        <v>#N/A</v>
      </c>
      <c r="GZ165" s="60" t="e">
        <f ca="1">AVERAGE(OFFSET($GY$3,0,0,'Données projet'!$E$18+1,1))-AVERAGE(OFFSET($H$3,0,0,'Données projet'!$E$18+1,1))</f>
        <v>#N/A</v>
      </c>
      <c r="HA165" s="60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5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68">
        <f t="shared" si="110"/>
        <v>256.66666666666669</v>
      </c>
      <c r="I166" s="7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0" t="e">
        <f t="shared" si="109"/>
        <v>#NUM!</v>
      </c>
      <c r="S166" s="60">
        <f ca="1">AVERAGE(OFFSET($R$3,0,0,'Données projet'!$E$9+1,1))-AVERAGE(OFFSET($H$3,0,0,'Données projet'!$E$9+1,1))</f>
        <v>64.775385872852041</v>
      </c>
      <c r="T166" s="60">
        <f t="shared" si="142"/>
        <v>201.69061202990468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2.3071001042606243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5.7896067905203253E-22</v>
      </c>
      <c r="AC166" s="24">
        <f t="shared" si="163"/>
        <v>2.3071001042606243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-9.7986685432260874E-13</v>
      </c>
      <c r="AK166" s="14" t="e">
        <f t="shared" si="164"/>
        <v>#NUM!</v>
      </c>
      <c r="AL166" s="22" t="e">
        <f t="shared" si="165"/>
        <v>#NUM!</v>
      </c>
      <c r="AM166" s="60" t="e">
        <f t="shared" si="113"/>
        <v>#NUM!</v>
      </c>
      <c r="AN166" s="60">
        <f ca="1">AVERAGE(OFFSET($AM$3,0,0,'Données projet'!$E$10+1,1))-AVERAGE(OFFSET($H$3,0,0,'Données projet'!$E$10+1,1))</f>
        <v>475.47920969424894</v>
      </c>
      <c r="AO166" s="60">
        <f t="shared" si="144"/>
        <v>271.73544012419364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7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6.7984728957526396E-14</v>
      </c>
      <c r="BF166" s="14">
        <f t="shared" si="167"/>
        <v>1.0682447123141398E-12</v>
      </c>
      <c r="BG166" s="22">
        <f t="shared" si="168"/>
        <v>1.978932943548152E-12</v>
      </c>
      <c r="BH166" s="60">
        <f t="shared" si="116"/>
        <v>293.3333333333353</v>
      </c>
      <c r="BI166" s="60">
        <f ca="1">AVERAGE(OFFSET($BH$3,0,0,'Données projet'!$E$11+1,1))-AVERAGE(OFFSET($H$3,0,0,'Données projet'!$E$11+1,1))</f>
        <v>260.02504691866199</v>
      </c>
      <c r="BJ166" s="60">
        <f t="shared" si="146"/>
        <v>270.11268336406368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0.71853267256452547</v>
      </c>
      <c r="BQ166" s="23">
        <f>EXP(-LN(2)/25)*BQ165+(1-EXP(-LN(2)/25))/(LN(2)/25)*Calculateur!BL166*Calculateur!BN166*VLOOKUP('Données projet'!$B$11,Paramètres!$A$1:$I$89,3,0)*0.475*44/12</f>
        <v>0.41145045323425816</v>
      </c>
      <c r="BR166" s="23">
        <f>EXP(-LN(2)/2)*BR165+(1-EXP(-LN(2)/2))/(LN(2)/2)*BL166*BO166*VLOOKUP('Données projet'!$B$11,Paramètres!$A$1:$I$89,3,0)*0.475*44/12</f>
        <v>6.0756377377592041E-20</v>
      </c>
      <c r="BS166" s="24">
        <f t="shared" si="169"/>
        <v>1.1299831257987836</v>
      </c>
      <c r="BT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5.1159076974727213E-13</v>
      </c>
      <c r="BZ166" s="14">
        <f>BY166*VLOOKUP('Données projet'!$B$12,Paramètres!$A$1:$I$89,3,0)*VLOOKUP('Données projet'!$B$12,Paramètres!$A$1:$I$89,5,0)</f>
        <v>2.3942448024172334E-13</v>
      </c>
      <c r="CA166" s="14">
        <f t="shared" si="170"/>
        <v>3.2492669905861755E-12</v>
      </c>
      <c r="CB166" s="22">
        <f t="shared" si="171"/>
        <v>6.0761376450252565E-12</v>
      </c>
      <c r="CC166" s="60">
        <f t="shared" si="119"/>
        <v>293.3333333333394</v>
      </c>
      <c r="CD166" s="60">
        <f ca="1">AVERAGE(OFFSET($CC$3,0,0,'Données projet'!$E$12+1,1))-AVERAGE(OFFSET($H$3,0,0,'Données projet'!$E$12+1,1))</f>
        <v>246.72166704460847</v>
      </c>
      <c r="CE166" s="60">
        <f t="shared" si="148"/>
        <v>145.54897745089966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-9.6633812063373625E-13</v>
      </c>
      <c r="CU166" s="18">
        <f>CT166*VLOOKUP('Données projet'!$B$13,Paramètres!$A$1:$I$89,3,0)*VLOOKUP('Données projet'!$B$13,Paramètres!$A$1:$I$89,5,0)</f>
        <v>-8.7434273154940449E-13</v>
      </c>
      <c r="CV166" s="14" t="e">
        <f t="shared" si="173"/>
        <v>#NUM!</v>
      </c>
      <c r="CW166" s="22" t="e">
        <f t="shared" si="174"/>
        <v>#NUM!</v>
      </c>
      <c r="CX166" s="60" t="e">
        <f t="shared" si="122"/>
        <v>#NUM!</v>
      </c>
      <c r="CY166" s="60">
        <f ca="1">AVERAGE(OFFSET($CX$3,0,0,'Données projet'!$E$13+1,1))-AVERAGE(OFFSET($H$3,0,0,'Données projet'!$E$13+1,1))</f>
        <v>428.8489304403459</v>
      </c>
      <c r="CZ166" s="60">
        <f t="shared" si="150"/>
        <v>247.01165577562966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-5.1159076974727213E-13</v>
      </c>
      <c r="DP166" s="18">
        <f>DO166*VLOOKUP('Données projet'!$B$14,Paramètres!$A$1:$I$89,3,0)*VLOOKUP('Données projet'!$B$14,Paramètres!$A$1:$I$89,5,0)</f>
        <v>-5.3471467253984886E-13</v>
      </c>
      <c r="DQ166" s="14" t="e">
        <f t="shared" si="176"/>
        <v>#NUM!</v>
      </c>
      <c r="DR166" s="22" t="e">
        <f t="shared" si="177"/>
        <v>#NUM!</v>
      </c>
      <c r="DS166" s="60" t="e">
        <f t="shared" si="125"/>
        <v>#NUM!</v>
      </c>
      <c r="DT166" s="60">
        <f ca="1">AVERAGE(OFFSET($DS$3,0,0,'Données projet'!$E$14+1,1))-AVERAGE(OFFSET($H$3,0,0,'Données projet'!$E$14+1,1))</f>
        <v>493.70175665335978</v>
      </c>
      <c r="DU166" s="60">
        <f t="shared" si="152"/>
        <v>325.12357781685949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-1.9895196601282805E-13</v>
      </c>
      <c r="EK166" s="18">
        <f>EJ166*VLOOKUP('Données projet'!$B$15,Paramètres!$A$1:$I$89,3,0)*VLOOKUP('Données projet'!$B$15,Paramètres!$A$1:$I$89,5,0)</f>
        <v>-1.6138983482960614E-13</v>
      </c>
      <c r="EL166" s="14" t="e">
        <f t="shared" si="179"/>
        <v>#NUM!</v>
      </c>
      <c r="EM166" s="22" t="e">
        <f t="shared" si="180"/>
        <v>#NUM!</v>
      </c>
      <c r="EN166" s="60" t="e">
        <f t="shared" si="128"/>
        <v>#NUM!</v>
      </c>
      <c r="EO166" s="60">
        <f ca="1">AVERAGE(OFFSET($EN$3,0,0,'Données projet'!$E$15+1,1))-AVERAGE(OFFSET($H$3,0,0,'Données projet'!$E$15+1,1))</f>
        <v>236.22643401787644</v>
      </c>
      <c r="EP166" s="60">
        <f t="shared" si="154"/>
        <v>188.80444043778022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5.4978954722173515E-14</v>
      </c>
      <c r="FG166" s="14">
        <f t="shared" si="182"/>
        <v>8.8550225887742724E-13</v>
      </c>
      <c r="FH166" s="22">
        <f t="shared" si="183"/>
        <v>1.6380047803526383E-12</v>
      </c>
      <c r="FI166" s="60">
        <f t="shared" si="131"/>
        <v>293.33333333333496</v>
      </c>
      <c r="FJ166" s="60">
        <f ca="1">AVERAGE(OFFSET($FI$3,0,0,'Données projet'!$E$16+1,1))-AVERAGE(OFFSET($H$3,0,0,'Données projet'!$E$16+1,1))</f>
        <v>255.59755832175625</v>
      </c>
      <c r="FK166" s="60">
        <f t="shared" si="156"/>
        <v>154.0840647586964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0" t="e">
        <f t="shared" si="134"/>
        <v>#N/A</v>
      </c>
      <c r="GE166" s="60" t="e">
        <f ca="1">AVERAGE(OFFSET($GD$3,0,0,'Données projet'!$E$17+1,1))-AVERAGE(OFFSET($H$3,0,0,'Données projet'!$E$17+1,1))</f>
        <v>#N/A</v>
      </c>
      <c r="GF166" s="60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7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0" t="e">
        <f t="shared" si="137"/>
        <v>#N/A</v>
      </c>
      <c r="GZ166" s="60" t="e">
        <f ca="1">AVERAGE(OFFSET($GY$3,0,0,'Données projet'!$E$18+1,1))-AVERAGE(OFFSET($H$3,0,0,'Données projet'!$E$18+1,1))</f>
        <v>#N/A</v>
      </c>
      <c r="HA166" s="60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5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68">
        <f t="shared" si="110"/>
        <v>256.66666666666669</v>
      </c>
      <c r="I167" s="7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0" t="e">
        <f t="shared" si="109"/>
        <v>#NUM!</v>
      </c>
      <c r="S167" s="60">
        <f ca="1">AVERAGE(OFFSET($R$3,0,0,'Données projet'!$E$9+1,1))-AVERAGE(OFFSET($H$3,0,0,'Données projet'!$E$9+1,1))</f>
        <v>64.775385872852041</v>
      </c>
      <c r="T167" s="60">
        <f t="shared" si="142"/>
        <v>201.69061202990468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2.2618592784081883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4.0938702219806054E-22</v>
      </c>
      <c r="AC167" s="24">
        <f t="shared" si="163"/>
        <v>2.2618592784081883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-9.7986685432260874E-13</v>
      </c>
      <c r="AK167" s="14" t="e">
        <f t="shared" si="164"/>
        <v>#NUM!</v>
      </c>
      <c r="AL167" s="22" t="e">
        <f t="shared" si="165"/>
        <v>#NUM!</v>
      </c>
      <c r="AM167" s="60" t="e">
        <f t="shared" si="113"/>
        <v>#NUM!</v>
      </c>
      <c r="AN167" s="60">
        <f ca="1">AVERAGE(OFFSET($AM$3,0,0,'Données projet'!$E$10+1,1))-AVERAGE(OFFSET($H$3,0,0,'Données projet'!$E$10+1,1))</f>
        <v>475.47920969424894</v>
      </c>
      <c r="AO167" s="60">
        <f t="shared" si="144"/>
        <v>271.73544012419364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7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6.7984728957526396E-14</v>
      </c>
      <c r="BF167" s="14">
        <f t="shared" si="167"/>
        <v>1.0682447123141398E-12</v>
      </c>
      <c r="BG167" s="22">
        <f t="shared" si="168"/>
        <v>1.978932943548152E-12</v>
      </c>
      <c r="BH167" s="60">
        <f t="shared" si="116"/>
        <v>293.3333333333353</v>
      </c>
      <c r="BI167" s="60">
        <f ca="1">AVERAGE(OFFSET($BH$3,0,0,'Données projet'!$E$11+1,1))-AVERAGE(OFFSET($H$3,0,0,'Données projet'!$E$11+1,1))</f>
        <v>260.02504691866199</v>
      </c>
      <c r="BJ167" s="60">
        <f t="shared" si="146"/>
        <v>270.11268336406368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0.70444268511719066</v>
      </c>
      <c r="BQ167" s="23">
        <f>EXP(-LN(2)/25)*BQ166+(1-EXP(-LN(2)/25))/(LN(2)/25)*Calculateur!BL167*Calculateur!BN167*VLOOKUP('Données projet'!$B$11,Paramètres!$A$1:$I$89,3,0)*0.475*44/12</f>
        <v>0.40019931895332844</v>
      </c>
      <c r="BR167" s="23">
        <f>EXP(-LN(2)/2)*BR166+(1-EXP(-LN(2)/2))/(LN(2)/2)*BL167*BO167*VLOOKUP('Données projet'!$B$11,Paramètres!$A$1:$I$89,3,0)*0.475*44/12</f>
        <v>4.2961246444024282E-20</v>
      </c>
      <c r="BS167" s="24">
        <f t="shared" si="169"/>
        <v>1.1046420040705192</v>
      </c>
      <c r="BT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5.1159076974727213E-13</v>
      </c>
      <c r="BZ167" s="14">
        <f>BY167*VLOOKUP('Données projet'!$B$12,Paramètres!$A$1:$I$89,3,0)*VLOOKUP('Données projet'!$B$12,Paramètres!$A$1:$I$89,5,0)</f>
        <v>2.3942448024172334E-13</v>
      </c>
      <c r="CA167" s="14">
        <f t="shared" si="170"/>
        <v>3.2492669905861755E-12</v>
      </c>
      <c r="CB167" s="22">
        <f t="shared" si="171"/>
        <v>6.0761376450252565E-12</v>
      </c>
      <c r="CC167" s="60">
        <f t="shared" si="119"/>
        <v>293.3333333333394</v>
      </c>
      <c r="CD167" s="60">
        <f ca="1">AVERAGE(OFFSET($CC$3,0,0,'Données projet'!$E$12+1,1))-AVERAGE(OFFSET($H$3,0,0,'Données projet'!$E$12+1,1))</f>
        <v>246.72166704460847</v>
      </c>
      <c r="CE167" s="60">
        <f t="shared" si="148"/>
        <v>145.54897745089966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-9.6633812063373625E-13</v>
      </c>
      <c r="CU167" s="18">
        <f>CT167*VLOOKUP('Données projet'!$B$13,Paramètres!$A$1:$I$89,3,0)*VLOOKUP('Données projet'!$B$13,Paramètres!$A$1:$I$89,5,0)</f>
        <v>-8.7434273154940449E-13</v>
      </c>
      <c r="CV167" s="14" t="e">
        <f t="shared" si="173"/>
        <v>#NUM!</v>
      </c>
      <c r="CW167" s="22" t="e">
        <f t="shared" si="174"/>
        <v>#NUM!</v>
      </c>
      <c r="CX167" s="60" t="e">
        <f t="shared" si="122"/>
        <v>#NUM!</v>
      </c>
      <c r="CY167" s="60">
        <f ca="1">AVERAGE(OFFSET($CX$3,0,0,'Données projet'!$E$13+1,1))-AVERAGE(OFFSET($H$3,0,0,'Données projet'!$E$13+1,1))</f>
        <v>428.8489304403459</v>
      </c>
      <c r="CZ167" s="60">
        <f t="shared" si="150"/>
        <v>247.01165577562966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-5.1159076974727213E-13</v>
      </c>
      <c r="DP167" s="18">
        <f>DO167*VLOOKUP('Données projet'!$B$14,Paramètres!$A$1:$I$89,3,0)*VLOOKUP('Données projet'!$B$14,Paramètres!$A$1:$I$89,5,0)</f>
        <v>-5.3471467253984886E-13</v>
      </c>
      <c r="DQ167" s="14" t="e">
        <f t="shared" si="176"/>
        <v>#NUM!</v>
      </c>
      <c r="DR167" s="22" t="e">
        <f t="shared" si="177"/>
        <v>#NUM!</v>
      </c>
      <c r="DS167" s="60" t="e">
        <f t="shared" si="125"/>
        <v>#NUM!</v>
      </c>
      <c r="DT167" s="60">
        <f ca="1">AVERAGE(OFFSET($DS$3,0,0,'Données projet'!$E$14+1,1))-AVERAGE(OFFSET($H$3,0,0,'Données projet'!$E$14+1,1))</f>
        <v>493.70175665335978</v>
      </c>
      <c r="DU167" s="60">
        <f t="shared" si="152"/>
        <v>325.12357781685949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-1.9895196601282805E-13</v>
      </c>
      <c r="EK167" s="18">
        <f>EJ167*VLOOKUP('Données projet'!$B$15,Paramètres!$A$1:$I$89,3,0)*VLOOKUP('Données projet'!$B$15,Paramètres!$A$1:$I$89,5,0)</f>
        <v>-1.6138983482960614E-13</v>
      </c>
      <c r="EL167" s="14" t="e">
        <f t="shared" si="179"/>
        <v>#NUM!</v>
      </c>
      <c r="EM167" s="22" t="e">
        <f t="shared" si="180"/>
        <v>#NUM!</v>
      </c>
      <c r="EN167" s="60" t="e">
        <f t="shared" si="128"/>
        <v>#NUM!</v>
      </c>
      <c r="EO167" s="60">
        <f ca="1">AVERAGE(OFFSET($EN$3,0,0,'Données projet'!$E$15+1,1))-AVERAGE(OFFSET($H$3,0,0,'Données projet'!$E$15+1,1))</f>
        <v>236.22643401787644</v>
      </c>
      <c r="EP167" s="60">
        <f t="shared" si="154"/>
        <v>188.80444043778022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5.4978954722173515E-14</v>
      </c>
      <c r="FG167" s="14">
        <f t="shared" si="182"/>
        <v>8.8550225887742724E-13</v>
      </c>
      <c r="FH167" s="22">
        <f t="shared" si="183"/>
        <v>1.6380047803526383E-12</v>
      </c>
      <c r="FI167" s="60">
        <f t="shared" si="131"/>
        <v>293.33333333333496</v>
      </c>
      <c r="FJ167" s="60">
        <f ca="1">AVERAGE(OFFSET($FI$3,0,0,'Données projet'!$E$16+1,1))-AVERAGE(OFFSET($H$3,0,0,'Données projet'!$E$16+1,1))</f>
        <v>255.59755832175625</v>
      </c>
      <c r="FK167" s="60">
        <f t="shared" si="156"/>
        <v>154.0840647586964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0" t="e">
        <f t="shared" si="134"/>
        <v>#N/A</v>
      </c>
      <c r="GE167" s="60" t="e">
        <f ca="1">AVERAGE(OFFSET($GD$3,0,0,'Données projet'!$E$17+1,1))-AVERAGE(OFFSET($H$3,0,0,'Données projet'!$E$17+1,1))</f>
        <v>#N/A</v>
      </c>
      <c r="GF167" s="60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7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0" t="e">
        <f t="shared" si="137"/>
        <v>#N/A</v>
      </c>
      <c r="GZ167" s="60" t="e">
        <f ca="1">AVERAGE(OFFSET($GY$3,0,0,'Données projet'!$E$18+1,1))-AVERAGE(OFFSET($H$3,0,0,'Données projet'!$E$18+1,1))</f>
        <v>#N/A</v>
      </c>
      <c r="HA167" s="60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5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68">
        <f t="shared" si="110"/>
        <v>256.66666666666669</v>
      </c>
      <c r="I168" s="7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0" t="e">
        <f t="shared" si="109"/>
        <v>#NUM!</v>
      </c>
      <c r="S168" s="60">
        <f ca="1">AVERAGE(OFFSET($R$3,0,0,'Données projet'!$E$9+1,1))-AVERAGE(OFFSET($H$3,0,0,'Données projet'!$E$9+1,1))</f>
        <v>64.775385872852041</v>
      </c>
      <c r="T168" s="60">
        <f t="shared" si="142"/>
        <v>201.69061202990468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2.2175055975565394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2.8948033952601626E-22</v>
      </c>
      <c r="AC168" s="24">
        <f t="shared" si="163"/>
        <v>2.2175055975565394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-9.7986685432260874E-13</v>
      </c>
      <c r="AK168" s="14" t="e">
        <f t="shared" si="164"/>
        <v>#NUM!</v>
      </c>
      <c r="AL168" s="22" t="e">
        <f t="shared" si="165"/>
        <v>#NUM!</v>
      </c>
      <c r="AM168" s="60" t="e">
        <f t="shared" si="113"/>
        <v>#NUM!</v>
      </c>
      <c r="AN168" s="60">
        <f ca="1">AVERAGE(OFFSET($AM$3,0,0,'Données projet'!$E$10+1,1))-AVERAGE(OFFSET($H$3,0,0,'Données projet'!$E$10+1,1))</f>
        <v>475.47920969424894</v>
      </c>
      <c r="AO168" s="60">
        <f t="shared" si="144"/>
        <v>271.73544012419364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7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6.7984728957526396E-14</v>
      </c>
      <c r="BF168" s="14">
        <f t="shared" si="167"/>
        <v>1.0682447123141398E-12</v>
      </c>
      <c r="BG168" s="22">
        <f t="shared" si="168"/>
        <v>1.978932943548152E-12</v>
      </c>
      <c r="BH168" s="60">
        <f t="shared" si="116"/>
        <v>293.3333333333353</v>
      </c>
      <c r="BI168" s="60">
        <f ca="1">AVERAGE(OFFSET($BH$3,0,0,'Données projet'!$E$11+1,1))-AVERAGE(OFFSET($H$3,0,0,'Données projet'!$E$11+1,1))</f>
        <v>260.02504691866199</v>
      </c>
      <c r="BJ168" s="60">
        <f t="shared" si="146"/>
        <v>270.11268336406368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0.69062899372965436</v>
      </c>
      <c r="BQ168" s="23">
        <f>EXP(-LN(2)/25)*BQ167+(1-EXP(-LN(2)/25))/(LN(2)/25)*Calculateur!BL168*Calculateur!BN168*VLOOKUP('Données projet'!$B$11,Paramètres!$A$1:$I$89,3,0)*0.475*44/12</f>
        <v>0.38925584753098214</v>
      </c>
      <c r="BR168" s="23">
        <f>EXP(-LN(2)/2)*BR167+(1-EXP(-LN(2)/2))/(LN(2)/2)*BL168*BO168*VLOOKUP('Données projet'!$B$11,Paramètres!$A$1:$I$89,3,0)*0.475*44/12</f>
        <v>3.0378188688796021E-20</v>
      </c>
      <c r="BS168" s="24">
        <f t="shared" si="169"/>
        <v>1.0798848412606366</v>
      </c>
      <c r="BT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5.1159076974727213E-13</v>
      </c>
      <c r="BZ168" s="14">
        <f>BY168*VLOOKUP('Données projet'!$B$12,Paramètres!$A$1:$I$89,3,0)*VLOOKUP('Données projet'!$B$12,Paramètres!$A$1:$I$89,5,0)</f>
        <v>2.3942448024172334E-13</v>
      </c>
      <c r="CA168" s="14">
        <f t="shared" si="170"/>
        <v>3.2492669905861755E-12</v>
      </c>
      <c r="CB168" s="22">
        <f t="shared" si="171"/>
        <v>6.0761376450252565E-12</v>
      </c>
      <c r="CC168" s="60">
        <f t="shared" si="119"/>
        <v>293.3333333333394</v>
      </c>
      <c r="CD168" s="60">
        <f ca="1">AVERAGE(OFFSET($CC$3,0,0,'Données projet'!$E$12+1,1))-AVERAGE(OFFSET($H$3,0,0,'Données projet'!$E$12+1,1))</f>
        <v>246.72166704460847</v>
      </c>
      <c r="CE168" s="60">
        <f t="shared" si="148"/>
        <v>145.54897745089966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-9.6633812063373625E-13</v>
      </c>
      <c r="CU168" s="18">
        <f>CT168*VLOOKUP('Données projet'!$B$13,Paramètres!$A$1:$I$89,3,0)*VLOOKUP('Données projet'!$B$13,Paramètres!$A$1:$I$89,5,0)</f>
        <v>-8.7434273154940449E-13</v>
      </c>
      <c r="CV168" s="14" t="e">
        <f t="shared" si="173"/>
        <v>#NUM!</v>
      </c>
      <c r="CW168" s="22" t="e">
        <f t="shared" si="174"/>
        <v>#NUM!</v>
      </c>
      <c r="CX168" s="60" t="e">
        <f t="shared" si="122"/>
        <v>#NUM!</v>
      </c>
      <c r="CY168" s="60">
        <f ca="1">AVERAGE(OFFSET($CX$3,0,0,'Données projet'!$E$13+1,1))-AVERAGE(OFFSET($H$3,0,0,'Données projet'!$E$13+1,1))</f>
        <v>428.8489304403459</v>
      </c>
      <c r="CZ168" s="60">
        <f t="shared" si="150"/>
        <v>247.01165577562966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-5.1159076974727213E-13</v>
      </c>
      <c r="DP168" s="18">
        <f>DO168*VLOOKUP('Données projet'!$B$14,Paramètres!$A$1:$I$89,3,0)*VLOOKUP('Données projet'!$B$14,Paramètres!$A$1:$I$89,5,0)</f>
        <v>-5.3471467253984886E-13</v>
      </c>
      <c r="DQ168" s="14" t="e">
        <f t="shared" si="176"/>
        <v>#NUM!</v>
      </c>
      <c r="DR168" s="22" t="e">
        <f t="shared" si="177"/>
        <v>#NUM!</v>
      </c>
      <c r="DS168" s="60" t="e">
        <f t="shared" si="125"/>
        <v>#NUM!</v>
      </c>
      <c r="DT168" s="60">
        <f ca="1">AVERAGE(OFFSET($DS$3,0,0,'Données projet'!$E$14+1,1))-AVERAGE(OFFSET($H$3,0,0,'Données projet'!$E$14+1,1))</f>
        <v>493.70175665335978</v>
      </c>
      <c r="DU168" s="60">
        <f t="shared" si="152"/>
        <v>325.12357781685949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-1.9895196601282805E-13</v>
      </c>
      <c r="EK168" s="18">
        <f>EJ168*VLOOKUP('Données projet'!$B$15,Paramètres!$A$1:$I$89,3,0)*VLOOKUP('Données projet'!$B$15,Paramètres!$A$1:$I$89,5,0)</f>
        <v>-1.6138983482960614E-13</v>
      </c>
      <c r="EL168" s="14" t="e">
        <f t="shared" si="179"/>
        <v>#NUM!</v>
      </c>
      <c r="EM168" s="22" t="e">
        <f t="shared" si="180"/>
        <v>#NUM!</v>
      </c>
      <c r="EN168" s="60" t="e">
        <f t="shared" si="128"/>
        <v>#NUM!</v>
      </c>
      <c r="EO168" s="60">
        <f ca="1">AVERAGE(OFFSET($EN$3,0,0,'Données projet'!$E$15+1,1))-AVERAGE(OFFSET($H$3,0,0,'Données projet'!$E$15+1,1))</f>
        <v>236.22643401787644</v>
      </c>
      <c r="EP168" s="60">
        <f t="shared" si="154"/>
        <v>188.80444043778022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5.4978954722173515E-14</v>
      </c>
      <c r="FG168" s="14">
        <f t="shared" si="182"/>
        <v>8.8550225887742724E-13</v>
      </c>
      <c r="FH168" s="22">
        <f t="shared" si="183"/>
        <v>1.6380047803526383E-12</v>
      </c>
      <c r="FI168" s="60">
        <f t="shared" si="131"/>
        <v>293.33333333333496</v>
      </c>
      <c r="FJ168" s="60">
        <f ca="1">AVERAGE(OFFSET($FI$3,0,0,'Données projet'!$E$16+1,1))-AVERAGE(OFFSET($H$3,0,0,'Données projet'!$E$16+1,1))</f>
        <v>255.59755832175625</v>
      </c>
      <c r="FK168" s="60">
        <f t="shared" si="156"/>
        <v>154.0840647586964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0" t="e">
        <f t="shared" si="134"/>
        <v>#N/A</v>
      </c>
      <c r="GE168" s="60" t="e">
        <f ca="1">AVERAGE(OFFSET($GD$3,0,0,'Données projet'!$E$17+1,1))-AVERAGE(OFFSET($H$3,0,0,'Données projet'!$E$17+1,1))</f>
        <v>#N/A</v>
      </c>
      <c r="GF168" s="60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7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0" t="e">
        <f t="shared" si="137"/>
        <v>#N/A</v>
      </c>
      <c r="GZ168" s="60" t="e">
        <f ca="1">AVERAGE(OFFSET($GY$3,0,0,'Données projet'!$E$18+1,1))-AVERAGE(OFFSET($H$3,0,0,'Données projet'!$E$18+1,1))</f>
        <v>#N/A</v>
      </c>
      <c r="HA168" s="60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5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68">
        <f t="shared" si="110"/>
        <v>256.66666666666669</v>
      </c>
      <c r="I169" s="7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0" t="e">
        <f t="shared" si="109"/>
        <v>#NUM!</v>
      </c>
      <c r="S169" s="60">
        <f ca="1">AVERAGE(OFFSET($R$3,0,0,'Données projet'!$E$9+1,1))-AVERAGE(OFFSET($H$3,0,0,'Données projet'!$E$9+1,1))</f>
        <v>64.775385872852041</v>
      </c>
      <c r="T169" s="60">
        <f t="shared" si="142"/>
        <v>201.69061202990468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2.1740216653333175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2.0469351109903027E-22</v>
      </c>
      <c r="AC169" s="24">
        <f t="shared" si="163"/>
        <v>2.1740216653333175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-9.7986685432260874E-13</v>
      </c>
      <c r="AK169" s="14" t="e">
        <f t="shared" si="164"/>
        <v>#NUM!</v>
      </c>
      <c r="AL169" s="22" t="e">
        <f t="shared" si="165"/>
        <v>#NUM!</v>
      </c>
      <c r="AM169" s="60" t="e">
        <f t="shared" si="113"/>
        <v>#NUM!</v>
      </c>
      <c r="AN169" s="60">
        <f ca="1">AVERAGE(OFFSET($AM$3,0,0,'Données projet'!$E$10+1,1))-AVERAGE(OFFSET($H$3,0,0,'Données projet'!$E$10+1,1))</f>
        <v>475.47920969424894</v>
      </c>
      <c r="AO169" s="60">
        <f t="shared" si="144"/>
        <v>271.73544012419364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7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6.7984728957526396E-14</v>
      </c>
      <c r="BF169" s="14">
        <f t="shared" si="167"/>
        <v>1.0682447123141398E-12</v>
      </c>
      <c r="BG169" s="22">
        <f t="shared" si="168"/>
        <v>1.978932943548152E-12</v>
      </c>
      <c r="BH169" s="60">
        <f t="shared" si="116"/>
        <v>293.3333333333353</v>
      </c>
      <c r="BI169" s="60">
        <f ca="1">AVERAGE(OFFSET($BH$3,0,0,'Données projet'!$E$11+1,1))-AVERAGE(OFFSET($H$3,0,0,'Données projet'!$E$11+1,1))</f>
        <v>260.02504691866199</v>
      </c>
      <c r="BJ169" s="60">
        <f t="shared" si="146"/>
        <v>270.11268336406368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0.6770861804047078</v>
      </c>
      <c r="BQ169" s="23">
        <f>EXP(-LN(2)/25)*BQ168+(1-EXP(-LN(2)/25))/(LN(2)/25)*Calculateur!BL169*Calculateur!BN169*VLOOKUP('Données projet'!$B$11,Paramètres!$A$1:$I$89,3,0)*0.475*44/12</f>
        <v>0.37861162591017206</v>
      </c>
      <c r="BR169" s="23">
        <f>EXP(-LN(2)/2)*BR168+(1-EXP(-LN(2)/2))/(LN(2)/2)*BL169*BO169*VLOOKUP('Données projet'!$B$11,Paramètres!$A$1:$I$89,3,0)*0.475*44/12</f>
        <v>2.1480623222012141E-20</v>
      </c>
      <c r="BS169" s="24">
        <f t="shared" si="169"/>
        <v>1.0556978063148799</v>
      </c>
      <c r="BT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5.1159076974727213E-13</v>
      </c>
      <c r="BZ169" s="14">
        <f>BY169*VLOOKUP('Données projet'!$B$12,Paramètres!$A$1:$I$89,3,0)*VLOOKUP('Données projet'!$B$12,Paramètres!$A$1:$I$89,5,0)</f>
        <v>2.3942448024172334E-13</v>
      </c>
      <c r="CA169" s="14">
        <f t="shared" si="170"/>
        <v>3.2492669905861755E-12</v>
      </c>
      <c r="CB169" s="22">
        <f t="shared" si="171"/>
        <v>6.0761376450252565E-12</v>
      </c>
      <c r="CC169" s="60">
        <f t="shared" si="119"/>
        <v>293.3333333333394</v>
      </c>
      <c r="CD169" s="60">
        <f ca="1">AVERAGE(OFFSET($CC$3,0,0,'Données projet'!$E$12+1,1))-AVERAGE(OFFSET($H$3,0,0,'Données projet'!$E$12+1,1))</f>
        <v>246.72166704460847</v>
      </c>
      <c r="CE169" s="60">
        <f t="shared" si="148"/>
        <v>145.54897745089966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-9.6633812063373625E-13</v>
      </c>
      <c r="CU169" s="18">
        <f>CT169*VLOOKUP('Données projet'!$B$13,Paramètres!$A$1:$I$89,3,0)*VLOOKUP('Données projet'!$B$13,Paramètres!$A$1:$I$89,5,0)</f>
        <v>-8.7434273154940449E-13</v>
      </c>
      <c r="CV169" s="14" t="e">
        <f t="shared" si="173"/>
        <v>#NUM!</v>
      </c>
      <c r="CW169" s="22" t="e">
        <f t="shared" si="174"/>
        <v>#NUM!</v>
      </c>
      <c r="CX169" s="60" t="e">
        <f t="shared" si="122"/>
        <v>#NUM!</v>
      </c>
      <c r="CY169" s="60">
        <f ca="1">AVERAGE(OFFSET($CX$3,0,0,'Données projet'!$E$13+1,1))-AVERAGE(OFFSET($H$3,0,0,'Données projet'!$E$13+1,1))</f>
        <v>428.8489304403459</v>
      </c>
      <c r="CZ169" s="60">
        <f t="shared" si="150"/>
        <v>247.01165577562966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-5.1159076974727213E-13</v>
      </c>
      <c r="DP169" s="18">
        <f>DO169*VLOOKUP('Données projet'!$B$14,Paramètres!$A$1:$I$89,3,0)*VLOOKUP('Données projet'!$B$14,Paramètres!$A$1:$I$89,5,0)</f>
        <v>-5.3471467253984886E-13</v>
      </c>
      <c r="DQ169" s="14" t="e">
        <f t="shared" si="176"/>
        <v>#NUM!</v>
      </c>
      <c r="DR169" s="22" t="e">
        <f t="shared" si="177"/>
        <v>#NUM!</v>
      </c>
      <c r="DS169" s="60" t="e">
        <f t="shared" si="125"/>
        <v>#NUM!</v>
      </c>
      <c r="DT169" s="60">
        <f ca="1">AVERAGE(OFFSET($DS$3,0,0,'Données projet'!$E$14+1,1))-AVERAGE(OFFSET($H$3,0,0,'Données projet'!$E$14+1,1))</f>
        <v>493.70175665335978</v>
      </c>
      <c r="DU169" s="60">
        <f t="shared" si="152"/>
        <v>325.12357781685949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-1.9895196601282805E-13</v>
      </c>
      <c r="EK169" s="18">
        <f>EJ169*VLOOKUP('Données projet'!$B$15,Paramètres!$A$1:$I$89,3,0)*VLOOKUP('Données projet'!$B$15,Paramètres!$A$1:$I$89,5,0)</f>
        <v>-1.6138983482960614E-13</v>
      </c>
      <c r="EL169" s="14" t="e">
        <f t="shared" si="179"/>
        <v>#NUM!</v>
      </c>
      <c r="EM169" s="22" t="e">
        <f t="shared" si="180"/>
        <v>#NUM!</v>
      </c>
      <c r="EN169" s="60" t="e">
        <f t="shared" si="128"/>
        <v>#NUM!</v>
      </c>
      <c r="EO169" s="60">
        <f ca="1">AVERAGE(OFFSET($EN$3,0,0,'Données projet'!$E$15+1,1))-AVERAGE(OFFSET($H$3,0,0,'Données projet'!$E$15+1,1))</f>
        <v>236.22643401787644</v>
      </c>
      <c r="EP169" s="60">
        <f t="shared" si="154"/>
        <v>188.80444043778022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5.4978954722173515E-14</v>
      </c>
      <c r="FG169" s="14">
        <f t="shared" si="182"/>
        <v>8.8550225887742724E-13</v>
      </c>
      <c r="FH169" s="22">
        <f t="shared" si="183"/>
        <v>1.6380047803526383E-12</v>
      </c>
      <c r="FI169" s="60">
        <f t="shared" si="131"/>
        <v>293.33333333333496</v>
      </c>
      <c r="FJ169" s="60">
        <f ca="1">AVERAGE(OFFSET($FI$3,0,0,'Données projet'!$E$16+1,1))-AVERAGE(OFFSET($H$3,0,0,'Données projet'!$E$16+1,1))</f>
        <v>255.59755832175625</v>
      </c>
      <c r="FK169" s="60">
        <f t="shared" si="156"/>
        <v>154.0840647586964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0" t="e">
        <f t="shared" si="134"/>
        <v>#N/A</v>
      </c>
      <c r="GE169" s="60" t="e">
        <f ca="1">AVERAGE(OFFSET($GD$3,0,0,'Données projet'!$E$17+1,1))-AVERAGE(OFFSET($H$3,0,0,'Données projet'!$E$17+1,1))</f>
        <v>#N/A</v>
      </c>
      <c r="GF169" s="60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7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0" t="e">
        <f t="shared" si="137"/>
        <v>#N/A</v>
      </c>
      <c r="GZ169" s="60" t="e">
        <f ca="1">AVERAGE(OFFSET($GY$3,0,0,'Données projet'!$E$18+1,1))-AVERAGE(OFFSET($H$3,0,0,'Données projet'!$E$18+1,1))</f>
        <v>#N/A</v>
      </c>
      <c r="HA169" s="60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5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68">
        <f t="shared" si="110"/>
        <v>256.66666666666669</v>
      </c>
      <c r="I170" s="7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0" t="e">
        <f t="shared" si="109"/>
        <v>#NUM!</v>
      </c>
      <c r="S170" s="60">
        <f ca="1">AVERAGE(OFFSET($R$3,0,0,'Données projet'!$E$9+1,1))-AVERAGE(OFFSET($H$3,0,0,'Données projet'!$E$9+1,1))</f>
        <v>64.775385872852041</v>
      </c>
      <c r="T170" s="60">
        <f t="shared" si="142"/>
        <v>201.69061202990468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2.1313904264984131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1.4474016976300813E-22</v>
      </c>
      <c r="AC170" s="24">
        <f t="shared" si="163"/>
        <v>2.1313904264984131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-9.7986685432260874E-13</v>
      </c>
      <c r="AK170" s="14" t="e">
        <f t="shared" si="164"/>
        <v>#NUM!</v>
      </c>
      <c r="AL170" s="22" t="e">
        <f t="shared" si="165"/>
        <v>#NUM!</v>
      </c>
      <c r="AM170" s="60" t="e">
        <f t="shared" si="113"/>
        <v>#NUM!</v>
      </c>
      <c r="AN170" s="60">
        <f ca="1">AVERAGE(OFFSET($AM$3,0,0,'Données projet'!$E$10+1,1))-AVERAGE(OFFSET($H$3,0,0,'Données projet'!$E$10+1,1))</f>
        <v>475.47920969424894</v>
      </c>
      <c r="AO170" s="60">
        <f t="shared" si="144"/>
        <v>271.73544012419364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7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6.7984728957526396E-14</v>
      </c>
      <c r="BF170" s="14">
        <f t="shared" si="167"/>
        <v>1.0682447123141398E-12</v>
      </c>
      <c r="BG170" s="22">
        <f t="shared" si="168"/>
        <v>1.978932943548152E-12</v>
      </c>
      <c r="BH170" s="60">
        <f t="shared" si="116"/>
        <v>293.3333333333353</v>
      </c>
      <c r="BI170" s="60">
        <f ca="1">AVERAGE(OFFSET($BH$3,0,0,'Données projet'!$E$11+1,1))-AVERAGE(OFFSET($H$3,0,0,'Données projet'!$E$11+1,1))</f>
        <v>260.02504691866199</v>
      </c>
      <c r="BJ170" s="60">
        <f t="shared" si="146"/>
        <v>270.11268336406368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0.66380893338876301</v>
      </c>
      <c r="BQ170" s="23">
        <f>EXP(-LN(2)/25)*BQ169+(1-EXP(-LN(2)/25))/(LN(2)/25)*Calculateur!BL170*Calculateur!BN170*VLOOKUP('Données projet'!$B$11,Paramètres!$A$1:$I$89,3,0)*0.475*44/12</f>
        <v>0.36825847108933835</v>
      </c>
      <c r="BR170" s="23">
        <f>EXP(-LN(2)/2)*BR169+(1-EXP(-LN(2)/2))/(LN(2)/2)*BL170*BO170*VLOOKUP('Données projet'!$B$11,Paramètres!$A$1:$I$89,3,0)*0.475*44/12</f>
        <v>1.518909434439801E-20</v>
      </c>
      <c r="BS170" s="24">
        <f t="shared" si="169"/>
        <v>1.0320674044781013</v>
      </c>
      <c r="BT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5.1159076974727213E-13</v>
      </c>
      <c r="BZ170" s="14">
        <f>BY170*VLOOKUP('Données projet'!$B$12,Paramètres!$A$1:$I$89,3,0)*VLOOKUP('Données projet'!$B$12,Paramètres!$A$1:$I$89,5,0)</f>
        <v>2.3942448024172334E-13</v>
      </c>
      <c r="CA170" s="14">
        <f t="shared" si="170"/>
        <v>3.2492669905861755E-12</v>
      </c>
      <c r="CB170" s="22">
        <f t="shared" si="171"/>
        <v>6.0761376450252565E-12</v>
      </c>
      <c r="CC170" s="60">
        <f t="shared" si="119"/>
        <v>293.3333333333394</v>
      </c>
      <c r="CD170" s="60">
        <f ca="1">AVERAGE(OFFSET($CC$3,0,0,'Données projet'!$E$12+1,1))-AVERAGE(OFFSET($H$3,0,0,'Données projet'!$E$12+1,1))</f>
        <v>246.72166704460847</v>
      </c>
      <c r="CE170" s="60">
        <f t="shared" si="148"/>
        <v>145.54897745089966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-9.6633812063373625E-13</v>
      </c>
      <c r="CU170" s="18">
        <f>CT170*VLOOKUP('Données projet'!$B$13,Paramètres!$A$1:$I$89,3,0)*VLOOKUP('Données projet'!$B$13,Paramètres!$A$1:$I$89,5,0)</f>
        <v>-8.7434273154940449E-13</v>
      </c>
      <c r="CV170" s="14" t="e">
        <f t="shared" si="173"/>
        <v>#NUM!</v>
      </c>
      <c r="CW170" s="22" t="e">
        <f t="shared" si="174"/>
        <v>#NUM!</v>
      </c>
      <c r="CX170" s="60" t="e">
        <f t="shared" si="122"/>
        <v>#NUM!</v>
      </c>
      <c r="CY170" s="60">
        <f ca="1">AVERAGE(OFFSET($CX$3,0,0,'Données projet'!$E$13+1,1))-AVERAGE(OFFSET($H$3,0,0,'Données projet'!$E$13+1,1))</f>
        <v>428.8489304403459</v>
      </c>
      <c r="CZ170" s="60">
        <f t="shared" si="150"/>
        <v>247.01165577562966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-5.1159076974727213E-13</v>
      </c>
      <c r="DP170" s="18">
        <f>DO170*VLOOKUP('Données projet'!$B$14,Paramètres!$A$1:$I$89,3,0)*VLOOKUP('Données projet'!$B$14,Paramètres!$A$1:$I$89,5,0)</f>
        <v>-5.3471467253984886E-13</v>
      </c>
      <c r="DQ170" s="14" t="e">
        <f t="shared" si="176"/>
        <v>#NUM!</v>
      </c>
      <c r="DR170" s="22" t="e">
        <f t="shared" si="177"/>
        <v>#NUM!</v>
      </c>
      <c r="DS170" s="60" t="e">
        <f t="shared" si="125"/>
        <v>#NUM!</v>
      </c>
      <c r="DT170" s="60">
        <f ca="1">AVERAGE(OFFSET($DS$3,0,0,'Données projet'!$E$14+1,1))-AVERAGE(OFFSET($H$3,0,0,'Données projet'!$E$14+1,1))</f>
        <v>493.70175665335978</v>
      </c>
      <c r="DU170" s="60">
        <f t="shared" si="152"/>
        <v>325.12357781685949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-1.9895196601282805E-13</v>
      </c>
      <c r="EK170" s="18">
        <f>EJ170*VLOOKUP('Données projet'!$B$15,Paramètres!$A$1:$I$89,3,0)*VLOOKUP('Données projet'!$B$15,Paramètres!$A$1:$I$89,5,0)</f>
        <v>-1.6138983482960614E-13</v>
      </c>
      <c r="EL170" s="14" t="e">
        <f t="shared" si="179"/>
        <v>#NUM!</v>
      </c>
      <c r="EM170" s="22" t="e">
        <f t="shared" si="180"/>
        <v>#NUM!</v>
      </c>
      <c r="EN170" s="60" t="e">
        <f t="shared" si="128"/>
        <v>#NUM!</v>
      </c>
      <c r="EO170" s="60">
        <f ca="1">AVERAGE(OFFSET($EN$3,0,0,'Données projet'!$E$15+1,1))-AVERAGE(OFFSET($H$3,0,0,'Données projet'!$E$15+1,1))</f>
        <v>236.22643401787644</v>
      </c>
      <c r="EP170" s="60">
        <f t="shared" si="154"/>
        <v>188.80444043778022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5.4978954722173515E-14</v>
      </c>
      <c r="FG170" s="14">
        <f t="shared" si="182"/>
        <v>8.8550225887742724E-13</v>
      </c>
      <c r="FH170" s="22">
        <f t="shared" si="183"/>
        <v>1.6380047803526383E-12</v>
      </c>
      <c r="FI170" s="60">
        <f t="shared" si="131"/>
        <v>293.33333333333496</v>
      </c>
      <c r="FJ170" s="60">
        <f ca="1">AVERAGE(OFFSET($FI$3,0,0,'Données projet'!$E$16+1,1))-AVERAGE(OFFSET($H$3,0,0,'Données projet'!$E$16+1,1))</f>
        <v>255.59755832175625</v>
      </c>
      <c r="FK170" s="60">
        <f t="shared" si="156"/>
        <v>154.0840647586964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0" t="e">
        <f t="shared" si="134"/>
        <v>#N/A</v>
      </c>
      <c r="GE170" s="60" t="e">
        <f ca="1">AVERAGE(OFFSET($GD$3,0,0,'Données projet'!$E$17+1,1))-AVERAGE(OFFSET($H$3,0,0,'Données projet'!$E$17+1,1))</f>
        <v>#N/A</v>
      </c>
      <c r="GF170" s="60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7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0" t="e">
        <f t="shared" si="137"/>
        <v>#N/A</v>
      </c>
      <c r="GZ170" s="60" t="e">
        <f ca="1">AVERAGE(OFFSET($GY$3,0,0,'Données projet'!$E$18+1,1))-AVERAGE(OFFSET($H$3,0,0,'Données projet'!$E$18+1,1))</f>
        <v>#N/A</v>
      </c>
      <c r="HA170" s="60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5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68">
        <f t="shared" si="110"/>
        <v>256.66666666666669</v>
      </c>
      <c r="I171" s="7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0" t="e">
        <f t="shared" si="109"/>
        <v>#NUM!</v>
      </c>
      <c r="S171" s="60">
        <f ca="1">AVERAGE(OFFSET($R$3,0,0,'Données projet'!$E$9+1,1))-AVERAGE(OFFSET($H$3,0,0,'Données projet'!$E$9+1,1))</f>
        <v>64.775385872852041</v>
      </c>
      <c r="T171" s="60">
        <f t="shared" si="142"/>
        <v>201.69061202990468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2.0895951602545733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1.0234675554951513E-22</v>
      </c>
      <c r="AC171" s="24">
        <f t="shared" si="163"/>
        <v>2.0895951602545733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-9.7986685432260874E-13</v>
      </c>
      <c r="AK171" s="14" t="e">
        <f t="shared" si="164"/>
        <v>#NUM!</v>
      </c>
      <c r="AL171" s="22" t="e">
        <f t="shared" si="165"/>
        <v>#NUM!</v>
      </c>
      <c r="AM171" s="60" t="e">
        <f t="shared" si="113"/>
        <v>#NUM!</v>
      </c>
      <c r="AN171" s="60">
        <f ca="1">AVERAGE(OFFSET($AM$3,0,0,'Données projet'!$E$10+1,1))-AVERAGE(OFFSET($H$3,0,0,'Données projet'!$E$10+1,1))</f>
        <v>475.47920969424894</v>
      </c>
      <c r="AO171" s="60">
        <f t="shared" si="144"/>
        <v>271.73544012419364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7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6.7984728957526396E-14</v>
      </c>
      <c r="BF171" s="14">
        <f t="shared" si="167"/>
        <v>1.0682447123141398E-12</v>
      </c>
      <c r="BG171" s="22">
        <f t="shared" si="168"/>
        <v>1.978932943548152E-12</v>
      </c>
      <c r="BH171" s="60">
        <f t="shared" si="116"/>
        <v>293.3333333333353</v>
      </c>
      <c r="BI171" s="60">
        <f ca="1">AVERAGE(OFFSET($BH$3,0,0,'Données projet'!$E$11+1,1))-AVERAGE(OFFSET($H$3,0,0,'Données projet'!$E$11+1,1))</f>
        <v>260.02504691866199</v>
      </c>
      <c r="BJ171" s="60">
        <f t="shared" si="146"/>
        <v>270.11268336406368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0.65079204508847976</v>
      </c>
      <c r="BQ171" s="23">
        <f>EXP(-LN(2)/25)*BQ170+(1-EXP(-LN(2)/25))/(LN(2)/25)*Calculateur!BL171*Calculateur!BN171*VLOOKUP('Données projet'!$B$11,Paramètres!$A$1:$I$89,3,0)*0.475*44/12</f>
        <v>0.35818842383152905</v>
      </c>
      <c r="BR171" s="23">
        <f>EXP(-LN(2)/2)*BR170+(1-EXP(-LN(2)/2))/(LN(2)/2)*BL171*BO171*VLOOKUP('Données projet'!$B$11,Paramètres!$A$1:$I$89,3,0)*0.475*44/12</f>
        <v>1.074031161100607E-20</v>
      </c>
      <c r="BS171" s="24">
        <f t="shared" si="169"/>
        <v>1.0089804689200088</v>
      </c>
      <c r="BT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5.1159076974727213E-13</v>
      </c>
      <c r="BZ171" s="14">
        <f>BY171*VLOOKUP('Données projet'!$B$12,Paramètres!$A$1:$I$89,3,0)*VLOOKUP('Données projet'!$B$12,Paramètres!$A$1:$I$89,5,0)</f>
        <v>2.3942448024172334E-13</v>
      </c>
      <c r="CA171" s="14">
        <f t="shared" si="170"/>
        <v>3.2492669905861755E-12</v>
      </c>
      <c r="CB171" s="22">
        <f t="shared" si="171"/>
        <v>6.0761376450252565E-12</v>
      </c>
      <c r="CC171" s="60">
        <f t="shared" si="119"/>
        <v>293.3333333333394</v>
      </c>
      <c r="CD171" s="60">
        <f ca="1">AVERAGE(OFFSET($CC$3,0,0,'Données projet'!$E$12+1,1))-AVERAGE(OFFSET($H$3,0,0,'Données projet'!$E$12+1,1))</f>
        <v>246.72166704460847</v>
      </c>
      <c r="CE171" s="60">
        <f t="shared" si="148"/>
        <v>145.54897745089966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-9.6633812063373625E-13</v>
      </c>
      <c r="CU171" s="18">
        <f>CT171*VLOOKUP('Données projet'!$B$13,Paramètres!$A$1:$I$89,3,0)*VLOOKUP('Données projet'!$B$13,Paramètres!$A$1:$I$89,5,0)</f>
        <v>-8.7434273154940449E-13</v>
      </c>
      <c r="CV171" s="14" t="e">
        <f t="shared" si="173"/>
        <v>#NUM!</v>
      </c>
      <c r="CW171" s="22" t="e">
        <f t="shared" si="174"/>
        <v>#NUM!</v>
      </c>
      <c r="CX171" s="60" t="e">
        <f t="shared" si="122"/>
        <v>#NUM!</v>
      </c>
      <c r="CY171" s="60">
        <f ca="1">AVERAGE(OFFSET($CX$3,0,0,'Données projet'!$E$13+1,1))-AVERAGE(OFFSET($H$3,0,0,'Données projet'!$E$13+1,1))</f>
        <v>428.8489304403459</v>
      </c>
      <c r="CZ171" s="60">
        <f t="shared" si="150"/>
        <v>247.01165577562966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-5.1159076974727213E-13</v>
      </c>
      <c r="DP171" s="18">
        <f>DO171*VLOOKUP('Données projet'!$B$14,Paramètres!$A$1:$I$89,3,0)*VLOOKUP('Données projet'!$B$14,Paramètres!$A$1:$I$89,5,0)</f>
        <v>-5.3471467253984886E-13</v>
      </c>
      <c r="DQ171" s="14" t="e">
        <f t="shared" si="176"/>
        <v>#NUM!</v>
      </c>
      <c r="DR171" s="22" t="e">
        <f t="shared" si="177"/>
        <v>#NUM!</v>
      </c>
      <c r="DS171" s="60" t="e">
        <f t="shared" si="125"/>
        <v>#NUM!</v>
      </c>
      <c r="DT171" s="60">
        <f ca="1">AVERAGE(OFFSET($DS$3,0,0,'Données projet'!$E$14+1,1))-AVERAGE(OFFSET($H$3,0,0,'Données projet'!$E$14+1,1))</f>
        <v>493.70175665335978</v>
      </c>
      <c r="DU171" s="60">
        <f t="shared" si="152"/>
        <v>325.12357781685949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-1.9895196601282805E-13</v>
      </c>
      <c r="EK171" s="18">
        <f>EJ171*VLOOKUP('Données projet'!$B$15,Paramètres!$A$1:$I$89,3,0)*VLOOKUP('Données projet'!$B$15,Paramètres!$A$1:$I$89,5,0)</f>
        <v>-1.6138983482960614E-13</v>
      </c>
      <c r="EL171" s="14" t="e">
        <f t="shared" si="179"/>
        <v>#NUM!</v>
      </c>
      <c r="EM171" s="22" t="e">
        <f t="shared" si="180"/>
        <v>#NUM!</v>
      </c>
      <c r="EN171" s="60" t="e">
        <f t="shared" si="128"/>
        <v>#NUM!</v>
      </c>
      <c r="EO171" s="60">
        <f ca="1">AVERAGE(OFFSET($EN$3,0,0,'Données projet'!$E$15+1,1))-AVERAGE(OFFSET($H$3,0,0,'Données projet'!$E$15+1,1))</f>
        <v>236.22643401787644</v>
      </c>
      <c r="EP171" s="60">
        <f t="shared" si="154"/>
        <v>188.80444043778022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5.4978954722173515E-14</v>
      </c>
      <c r="FG171" s="14">
        <f t="shared" si="182"/>
        <v>8.8550225887742724E-13</v>
      </c>
      <c r="FH171" s="22">
        <f t="shared" si="183"/>
        <v>1.6380047803526383E-12</v>
      </c>
      <c r="FI171" s="60">
        <f t="shared" si="131"/>
        <v>293.33333333333496</v>
      </c>
      <c r="FJ171" s="60">
        <f ca="1">AVERAGE(OFFSET($FI$3,0,0,'Données projet'!$E$16+1,1))-AVERAGE(OFFSET($H$3,0,0,'Données projet'!$E$16+1,1))</f>
        <v>255.59755832175625</v>
      </c>
      <c r="FK171" s="60">
        <f t="shared" si="156"/>
        <v>154.0840647586964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0" t="e">
        <f t="shared" si="134"/>
        <v>#N/A</v>
      </c>
      <c r="GE171" s="60" t="e">
        <f ca="1">AVERAGE(OFFSET($GD$3,0,0,'Données projet'!$E$17+1,1))-AVERAGE(OFFSET($H$3,0,0,'Données projet'!$E$17+1,1))</f>
        <v>#N/A</v>
      </c>
      <c r="GF171" s="60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7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0" t="e">
        <f t="shared" si="137"/>
        <v>#N/A</v>
      </c>
      <c r="GZ171" s="60" t="e">
        <f ca="1">AVERAGE(OFFSET($GY$3,0,0,'Données projet'!$E$18+1,1))-AVERAGE(OFFSET($H$3,0,0,'Données projet'!$E$18+1,1))</f>
        <v>#N/A</v>
      </c>
      <c r="HA171" s="60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5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68">
        <f t="shared" si="110"/>
        <v>256.66666666666669</v>
      </c>
      <c r="I172" s="7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0" t="e">
        <f t="shared" si="109"/>
        <v>#NUM!</v>
      </c>
      <c r="S172" s="60">
        <f ca="1">AVERAGE(OFFSET($R$3,0,0,'Données projet'!$E$9+1,1))-AVERAGE(OFFSET($H$3,0,0,'Données projet'!$E$9+1,1))</f>
        <v>64.775385872852041</v>
      </c>
      <c r="T172" s="60">
        <f t="shared" si="142"/>
        <v>201.69061202990468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2.0486194736891798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7.2370084881504066E-23</v>
      </c>
      <c r="AC172" s="24">
        <f t="shared" si="163"/>
        <v>2.0486194736891798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-9.7986685432260874E-13</v>
      </c>
      <c r="AK172" s="14" t="e">
        <f t="shared" si="164"/>
        <v>#NUM!</v>
      </c>
      <c r="AL172" s="22" t="e">
        <f t="shared" si="165"/>
        <v>#NUM!</v>
      </c>
      <c r="AM172" s="60" t="e">
        <f t="shared" si="113"/>
        <v>#NUM!</v>
      </c>
      <c r="AN172" s="60">
        <f ca="1">AVERAGE(OFFSET($AM$3,0,0,'Données projet'!$E$10+1,1))-AVERAGE(OFFSET($H$3,0,0,'Données projet'!$E$10+1,1))</f>
        <v>475.47920969424894</v>
      </c>
      <c r="AO172" s="60">
        <f t="shared" si="144"/>
        <v>271.73544012419364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7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6.7984728957526396E-14</v>
      </c>
      <c r="BF172" s="14">
        <f t="shared" si="167"/>
        <v>1.0682447123141398E-12</v>
      </c>
      <c r="BG172" s="22">
        <f t="shared" si="168"/>
        <v>1.978932943548152E-12</v>
      </c>
      <c r="BH172" s="60">
        <f t="shared" si="116"/>
        <v>293.3333333333353</v>
      </c>
      <c r="BI172" s="60">
        <f ca="1">AVERAGE(OFFSET($BH$3,0,0,'Données projet'!$E$11+1,1))-AVERAGE(OFFSET($H$3,0,0,'Données projet'!$E$11+1,1))</f>
        <v>260.02504691866199</v>
      </c>
      <c r="BJ172" s="60">
        <f t="shared" si="146"/>
        <v>270.11268336406368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0.63803041002824723</v>
      </c>
      <c r="BQ172" s="23">
        <f>EXP(-LN(2)/25)*BQ171+(1-EXP(-LN(2)/25))/(LN(2)/25)*Calculateur!BL172*Calculateur!BN172*VLOOKUP('Données projet'!$B$11,Paramètres!$A$1:$I$89,3,0)*0.475*44/12</f>
        <v>0.34839374254554534</v>
      </c>
      <c r="BR172" s="23">
        <f>EXP(-LN(2)/2)*BR171+(1-EXP(-LN(2)/2))/(LN(2)/2)*BL172*BO172*VLOOKUP('Données projet'!$B$11,Paramètres!$A$1:$I$89,3,0)*0.475*44/12</f>
        <v>7.5945471721990052E-21</v>
      </c>
      <c r="BS172" s="24">
        <f t="shared" si="169"/>
        <v>0.98642415257379257</v>
      </c>
      <c r="BT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5.1159076974727213E-13</v>
      </c>
      <c r="BZ172" s="14">
        <f>BY172*VLOOKUP('Données projet'!$B$12,Paramètres!$A$1:$I$89,3,0)*VLOOKUP('Données projet'!$B$12,Paramètres!$A$1:$I$89,5,0)</f>
        <v>2.3942448024172334E-13</v>
      </c>
      <c r="CA172" s="14">
        <f t="shared" si="170"/>
        <v>3.2492669905861755E-12</v>
      </c>
      <c r="CB172" s="22">
        <f t="shared" si="171"/>
        <v>6.0761376450252565E-12</v>
      </c>
      <c r="CC172" s="60">
        <f t="shared" si="119"/>
        <v>293.3333333333394</v>
      </c>
      <c r="CD172" s="60">
        <f ca="1">AVERAGE(OFFSET($CC$3,0,0,'Données projet'!$E$12+1,1))-AVERAGE(OFFSET($H$3,0,0,'Données projet'!$E$12+1,1))</f>
        <v>246.72166704460847</v>
      </c>
      <c r="CE172" s="60">
        <f t="shared" si="148"/>
        <v>145.54897745089966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-9.6633812063373625E-13</v>
      </c>
      <c r="CU172" s="18">
        <f>CT172*VLOOKUP('Données projet'!$B$13,Paramètres!$A$1:$I$89,3,0)*VLOOKUP('Données projet'!$B$13,Paramètres!$A$1:$I$89,5,0)</f>
        <v>-8.7434273154940449E-13</v>
      </c>
      <c r="CV172" s="14" t="e">
        <f t="shared" si="173"/>
        <v>#NUM!</v>
      </c>
      <c r="CW172" s="22" t="e">
        <f t="shared" si="174"/>
        <v>#NUM!</v>
      </c>
      <c r="CX172" s="60" t="e">
        <f t="shared" si="122"/>
        <v>#NUM!</v>
      </c>
      <c r="CY172" s="60">
        <f ca="1">AVERAGE(OFFSET($CX$3,0,0,'Données projet'!$E$13+1,1))-AVERAGE(OFFSET($H$3,0,0,'Données projet'!$E$13+1,1))</f>
        <v>428.8489304403459</v>
      </c>
      <c r="CZ172" s="60">
        <f t="shared" si="150"/>
        <v>247.01165577562966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-5.1159076974727213E-13</v>
      </c>
      <c r="DP172" s="18">
        <f>DO172*VLOOKUP('Données projet'!$B$14,Paramètres!$A$1:$I$89,3,0)*VLOOKUP('Données projet'!$B$14,Paramètres!$A$1:$I$89,5,0)</f>
        <v>-5.3471467253984886E-13</v>
      </c>
      <c r="DQ172" s="14" t="e">
        <f t="shared" si="176"/>
        <v>#NUM!</v>
      </c>
      <c r="DR172" s="22" t="e">
        <f t="shared" si="177"/>
        <v>#NUM!</v>
      </c>
      <c r="DS172" s="60" t="e">
        <f t="shared" si="125"/>
        <v>#NUM!</v>
      </c>
      <c r="DT172" s="60">
        <f ca="1">AVERAGE(OFFSET($DS$3,0,0,'Données projet'!$E$14+1,1))-AVERAGE(OFFSET($H$3,0,0,'Données projet'!$E$14+1,1))</f>
        <v>493.70175665335978</v>
      </c>
      <c r="DU172" s="60">
        <f t="shared" si="152"/>
        <v>325.12357781685949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-1.9895196601282805E-13</v>
      </c>
      <c r="EK172" s="18">
        <f>EJ172*VLOOKUP('Données projet'!$B$15,Paramètres!$A$1:$I$89,3,0)*VLOOKUP('Données projet'!$B$15,Paramètres!$A$1:$I$89,5,0)</f>
        <v>-1.6138983482960614E-13</v>
      </c>
      <c r="EL172" s="14" t="e">
        <f t="shared" si="179"/>
        <v>#NUM!</v>
      </c>
      <c r="EM172" s="22" t="e">
        <f t="shared" si="180"/>
        <v>#NUM!</v>
      </c>
      <c r="EN172" s="60" t="e">
        <f t="shared" si="128"/>
        <v>#NUM!</v>
      </c>
      <c r="EO172" s="60">
        <f ca="1">AVERAGE(OFFSET($EN$3,0,0,'Données projet'!$E$15+1,1))-AVERAGE(OFFSET($H$3,0,0,'Données projet'!$E$15+1,1))</f>
        <v>236.22643401787644</v>
      </c>
      <c r="EP172" s="60">
        <f t="shared" si="154"/>
        <v>188.80444043778022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5.4978954722173515E-14</v>
      </c>
      <c r="FG172" s="14">
        <f t="shared" si="182"/>
        <v>8.8550225887742724E-13</v>
      </c>
      <c r="FH172" s="22">
        <f t="shared" si="183"/>
        <v>1.6380047803526383E-12</v>
      </c>
      <c r="FI172" s="60">
        <f t="shared" si="131"/>
        <v>293.33333333333496</v>
      </c>
      <c r="FJ172" s="60">
        <f ca="1">AVERAGE(OFFSET($FI$3,0,0,'Données projet'!$E$16+1,1))-AVERAGE(OFFSET($H$3,0,0,'Données projet'!$E$16+1,1))</f>
        <v>255.59755832175625</v>
      </c>
      <c r="FK172" s="60">
        <f t="shared" si="156"/>
        <v>154.0840647586964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0" t="e">
        <f t="shared" si="134"/>
        <v>#N/A</v>
      </c>
      <c r="GE172" s="60" t="e">
        <f ca="1">AVERAGE(OFFSET($GD$3,0,0,'Données projet'!$E$17+1,1))-AVERAGE(OFFSET($H$3,0,0,'Données projet'!$E$17+1,1))</f>
        <v>#N/A</v>
      </c>
      <c r="GF172" s="60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7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0" t="e">
        <f t="shared" si="137"/>
        <v>#N/A</v>
      </c>
      <c r="GZ172" s="60" t="e">
        <f ca="1">AVERAGE(OFFSET($GY$3,0,0,'Données projet'!$E$18+1,1))-AVERAGE(OFFSET($H$3,0,0,'Données projet'!$E$18+1,1))</f>
        <v>#N/A</v>
      </c>
      <c r="HA172" s="60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5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68">
        <f t="shared" si="110"/>
        <v>256.66666666666669</v>
      </c>
      <c r="I173" s="7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0" t="e">
        <f t="shared" si="109"/>
        <v>#NUM!</v>
      </c>
      <c r="S173" s="60">
        <f ca="1">AVERAGE(OFFSET($R$3,0,0,'Données projet'!$E$9+1,1))-AVERAGE(OFFSET($H$3,0,0,'Données projet'!$E$9+1,1))</f>
        <v>64.775385872852041</v>
      </c>
      <c r="T173" s="60">
        <f t="shared" si="142"/>
        <v>201.69061202990468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2.0084472953446326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5.1173377774757567E-23</v>
      </c>
      <c r="AC173" s="24">
        <f t="shared" si="163"/>
        <v>2.0084472953446326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-9.7986685432260874E-13</v>
      </c>
      <c r="AK173" s="14" t="e">
        <f t="shared" si="164"/>
        <v>#NUM!</v>
      </c>
      <c r="AL173" s="22" t="e">
        <f t="shared" si="165"/>
        <v>#NUM!</v>
      </c>
      <c r="AM173" s="60" t="e">
        <f t="shared" si="113"/>
        <v>#NUM!</v>
      </c>
      <c r="AN173" s="60">
        <f ca="1">AVERAGE(OFFSET($AM$3,0,0,'Données projet'!$E$10+1,1))-AVERAGE(OFFSET($H$3,0,0,'Données projet'!$E$10+1,1))</f>
        <v>475.47920969424894</v>
      </c>
      <c r="AO173" s="60">
        <f t="shared" si="144"/>
        <v>271.73544012419364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7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6.7984728957526396E-14</v>
      </c>
      <c r="BF173" s="14">
        <f t="shared" si="167"/>
        <v>1.0682447123141398E-12</v>
      </c>
      <c r="BG173" s="22">
        <f t="shared" si="168"/>
        <v>1.978932943548152E-12</v>
      </c>
      <c r="BH173" s="60">
        <f t="shared" si="116"/>
        <v>293.3333333333353</v>
      </c>
      <c r="BI173" s="60">
        <f ca="1">AVERAGE(OFFSET($BH$3,0,0,'Données projet'!$E$11+1,1))-AVERAGE(OFFSET($H$3,0,0,'Données projet'!$E$11+1,1))</f>
        <v>260.02504691866199</v>
      </c>
      <c r="BJ173" s="60">
        <f t="shared" si="146"/>
        <v>270.11268336406368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0.6255190228477171</v>
      </c>
      <c r="BQ173" s="23">
        <f>EXP(-LN(2)/25)*BQ172+(1-EXP(-LN(2)/25))/(LN(2)/25)*Calculateur!BL173*Calculateur!BN173*VLOOKUP('Données projet'!$B$11,Paramètres!$A$1:$I$89,3,0)*0.475*44/12</f>
        <v>0.33886689733440672</v>
      </c>
      <c r="BR173" s="23">
        <f>EXP(-LN(2)/2)*BR172+(1-EXP(-LN(2)/2))/(LN(2)/2)*BL173*BO173*VLOOKUP('Données projet'!$B$11,Paramètres!$A$1:$I$89,3,0)*0.475*44/12</f>
        <v>5.3701558055030352E-21</v>
      </c>
      <c r="BS173" s="24">
        <f t="shared" si="169"/>
        <v>0.96438592018212388</v>
      </c>
      <c r="BT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5.1159076974727213E-13</v>
      </c>
      <c r="BZ173" s="14">
        <f>BY173*VLOOKUP('Données projet'!$B$12,Paramètres!$A$1:$I$89,3,0)*VLOOKUP('Données projet'!$B$12,Paramètres!$A$1:$I$89,5,0)</f>
        <v>2.3942448024172334E-13</v>
      </c>
      <c r="CA173" s="14">
        <f t="shared" si="170"/>
        <v>3.2492669905861755E-12</v>
      </c>
      <c r="CB173" s="22">
        <f t="shared" si="171"/>
        <v>6.0761376450252565E-12</v>
      </c>
      <c r="CC173" s="60">
        <f t="shared" si="119"/>
        <v>293.3333333333394</v>
      </c>
      <c r="CD173" s="60">
        <f ca="1">AVERAGE(OFFSET($CC$3,0,0,'Données projet'!$E$12+1,1))-AVERAGE(OFFSET($H$3,0,0,'Données projet'!$E$12+1,1))</f>
        <v>246.72166704460847</v>
      </c>
      <c r="CE173" s="60">
        <f t="shared" si="148"/>
        <v>145.54897745089966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-9.6633812063373625E-13</v>
      </c>
      <c r="CU173" s="18">
        <f>CT173*VLOOKUP('Données projet'!$B$13,Paramètres!$A$1:$I$89,3,0)*VLOOKUP('Données projet'!$B$13,Paramètres!$A$1:$I$89,5,0)</f>
        <v>-8.7434273154940449E-13</v>
      </c>
      <c r="CV173" s="14" t="e">
        <f t="shared" si="173"/>
        <v>#NUM!</v>
      </c>
      <c r="CW173" s="22" t="e">
        <f t="shared" si="174"/>
        <v>#NUM!</v>
      </c>
      <c r="CX173" s="60" t="e">
        <f t="shared" si="122"/>
        <v>#NUM!</v>
      </c>
      <c r="CY173" s="60">
        <f ca="1">AVERAGE(OFFSET($CX$3,0,0,'Données projet'!$E$13+1,1))-AVERAGE(OFFSET($H$3,0,0,'Données projet'!$E$13+1,1))</f>
        <v>428.8489304403459</v>
      </c>
      <c r="CZ173" s="60">
        <f t="shared" si="150"/>
        <v>247.01165577562966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-5.1159076974727213E-13</v>
      </c>
      <c r="DP173" s="18">
        <f>DO173*VLOOKUP('Données projet'!$B$14,Paramètres!$A$1:$I$89,3,0)*VLOOKUP('Données projet'!$B$14,Paramètres!$A$1:$I$89,5,0)</f>
        <v>-5.3471467253984886E-13</v>
      </c>
      <c r="DQ173" s="14" t="e">
        <f t="shared" si="176"/>
        <v>#NUM!</v>
      </c>
      <c r="DR173" s="22" t="e">
        <f t="shared" si="177"/>
        <v>#NUM!</v>
      </c>
      <c r="DS173" s="60" t="e">
        <f t="shared" si="125"/>
        <v>#NUM!</v>
      </c>
      <c r="DT173" s="60">
        <f ca="1">AVERAGE(OFFSET($DS$3,0,0,'Données projet'!$E$14+1,1))-AVERAGE(OFFSET($H$3,0,0,'Données projet'!$E$14+1,1))</f>
        <v>493.70175665335978</v>
      </c>
      <c r="DU173" s="60">
        <f t="shared" si="152"/>
        <v>325.12357781685949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-1.9895196601282805E-13</v>
      </c>
      <c r="EK173" s="18">
        <f>EJ173*VLOOKUP('Données projet'!$B$15,Paramètres!$A$1:$I$89,3,0)*VLOOKUP('Données projet'!$B$15,Paramètres!$A$1:$I$89,5,0)</f>
        <v>-1.6138983482960614E-13</v>
      </c>
      <c r="EL173" s="14" t="e">
        <f t="shared" si="179"/>
        <v>#NUM!</v>
      </c>
      <c r="EM173" s="22" t="e">
        <f t="shared" si="180"/>
        <v>#NUM!</v>
      </c>
      <c r="EN173" s="60" t="e">
        <f t="shared" si="128"/>
        <v>#NUM!</v>
      </c>
      <c r="EO173" s="60">
        <f ca="1">AVERAGE(OFFSET($EN$3,0,0,'Données projet'!$E$15+1,1))-AVERAGE(OFFSET($H$3,0,0,'Données projet'!$E$15+1,1))</f>
        <v>236.22643401787644</v>
      </c>
      <c r="EP173" s="60">
        <f t="shared" si="154"/>
        <v>188.80444043778022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5.4978954722173515E-14</v>
      </c>
      <c r="FG173" s="14">
        <f t="shared" si="182"/>
        <v>8.8550225887742724E-13</v>
      </c>
      <c r="FH173" s="22">
        <f t="shared" si="183"/>
        <v>1.6380047803526383E-12</v>
      </c>
      <c r="FI173" s="60">
        <f t="shared" si="131"/>
        <v>293.33333333333496</v>
      </c>
      <c r="FJ173" s="60">
        <f ca="1">AVERAGE(OFFSET($FI$3,0,0,'Données projet'!$E$16+1,1))-AVERAGE(OFFSET($H$3,0,0,'Données projet'!$E$16+1,1))</f>
        <v>255.59755832175625</v>
      </c>
      <c r="FK173" s="60">
        <f t="shared" si="156"/>
        <v>154.0840647586964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0" t="e">
        <f t="shared" si="134"/>
        <v>#N/A</v>
      </c>
      <c r="GE173" s="60" t="e">
        <f ca="1">AVERAGE(OFFSET($GD$3,0,0,'Données projet'!$E$17+1,1))-AVERAGE(OFFSET($H$3,0,0,'Données projet'!$E$17+1,1))</f>
        <v>#N/A</v>
      </c>
      <c r="GF173" s="60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7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0" t="e">
        <f t="shared" si="137"/>
        <v>#N/A</v>
      </c>
      <c r="GZ173" s="60" t="e">
        <f ca="1">AVERAGE(OFFSET($GY$3,0,0,'Données projet'!$E$18+1,1))-AVERAGE(OFFSET($H$3,0,0,'Données projet'!$E$18+1,1))</f>
        <v>#N/A</v>
      </c>
      <c r="HA173" s="60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5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68">
        <f t="shared" si="110"/>
        <v>256.66666666666669</v>
      </c>
      <c r="I174" s="7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0" t="e">
        <f t="shared" si="109"/>
        <v>#NUM!</v>
      </c>
      <c r="S174" s="60">
        <f ca="1">AVERAGE(OFFSET($R$3,0,0,'Données projet'!$E$9+1,1))-AVERAGE(OFFSET($H$3,0,0,'Données projet'!$E$9+1,1))</f>
        <v>64.775385872852041</v>
      </c>
      <c r="T174" s="60">
        <f t="shared" si="142"/>
        <v>201.69061202990468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1.9690628689148126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3.6185042440752033E-23</v>
      </c>
      <c r="AC174" s="24">
        <f t="shared" si="163"/>
        <v>1.9690628689148126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-9.7986685432260874E-13</v>
      </c>
      <c r="AK174" s="14" t="e">
        <f t="shared" si="164"/>
        <v>#NUM!</v>
      </c>
      <c r="AL174" s="22" t="e">
        <f t="shared" si="165"/>
        <v>#NUM!</v>
      </c>
      <c r="AM174" s="60" t="e">
        <f t="shared" si="113"/>
        <v>#NUM!</v>
      </c>
      <c r="AN174" s="60">
        <f ca="1">AVERAGE(OFFSET($AM$3,0,0,'Données projet'!$E$10+1,1))-AVERAGE(OFFSET($H$3,0,0,'Données projet'!$E$10+1,1))</f>
        <v>475.47920969424894</v>
      </c>
      <c r="AO174" s="60">
        <f t="shared" si="144"/>
        <v>271.73544012419364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7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6.7984728957526396E-14</v>
      </c>
      <c r="BF174" s="14">
        <f t="shared" si="167"/>
        <v>1.0682447123141398E-12</v>
      </c>
      <c r="BG174" s="22">
        <f t="shared" si="168"/>
        <v>1.978932943548152E-12</v>
      </c>
      <c r="BH174" s="60">
        <f t="shared" si="116"/>
        <v>293.3333333333353</v>
      </c>
      <c r="BI174" s="60">
        <f ca="1">AVERAGE(OFFSET($BH$3,0,0,'Données projet'!$E$11+1,1))-AVERAGE(OFFSET($H$3,0,0,'Données projet'!$E$11+1,1))</f>
        <v>260.02504691866199</v>
      </c>
      <c r="BJ174" s="60">
        <f t="shared" si="146"/>
        <v>270.11268336406368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0.61325297633860443</v>
      </c>
      <c r="BQ174" s="23">
        <f>EXP(-LN(2)/25)*BQ173+(1-EXP(-LN(2)/25))/(LN(2)/25)*Calculateur!BL174*Calculateur!BN174*VLOOKUP('Données projet'!$B$11,Paramètres!$A$1:$I$89,3,0)*0.475*44/12</f>
        <v>0.32960056420656175</v>
      </c>
      <c r="BR174" s="23">
        <f>EXP(-LN(2)/2)*BR173+(1-EXP(-LN(2)/2))/(LN(2)/2)*BL174*BO174*VLOOKUP('Données projet'!$B$11,Paramètres!$A$1:$I$89,3,0)*0.475*44/12</f>
        <v>3.7972735860995026E-21</v>
      </c>
      <c r="BS174" s="24">
        <f t="shared" si="169"/>
        <v>0.94285354054516612</v>
      </c>
      <c r="BT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5.1159076974727213E-13</v>
      </c>
      <c r="BZ174" s="14">
        <f>BY174*VLOOKUP('Données projet'!$B$12,Paramètres!$A$1:$I$89,3,0)*VLOOKUP('Données projet'!$B$12,Paramètres!$A$1:$I$89,5,0)</f>
        <v>2.3942448024172334E-13</v>
      </c>
      <c r="CA174" s="14">
        <f t="shared" si="170"/>
        <v>3.2492669905861755E-12</v>
      </c>
      <c r="CB174" s="22">
        <f t="shared" si="171"/>
        <v>6.0761376450252565E-12</v>
      </c>
      <c r="CC174" s="60">
        <f t="shared" si="119"/>
        <v>293.3333333333394</v>
      </c>
      <c r="CD174" s="60">
        <f ca="1">AVERAGE(OFFSET($CC$3,0,0,'Données projet'!$E$12+1,1))-AVERAGE(OFFSET($H$3,0,0,'Données projet'!$E$12+1,1))</f>
        <v>246.72166704460847</v>
      </c>
      <c r="CE174" s="60">
        <f t="shared" si="148"/>
        <v>145.54897745089966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-9.6633812063373625E-13</v>
      </c>
      <c r="CU174" s="18">
        <f>CT174*VLOOKUP('Données projet'!$B$13,Paramètres!$A$1:$I$89,3,0)*VLOOKUP('Données projet'!$B$13,Paramètres!$A$1:$I$89,5,0)</f>
        <v>-8.7434273154940449E-13</v>
      </c>
      <c r="CV174" s="14" t="e">
        <f t="shared" si="173"/>
        <v>#NUM!</v>
      </c>
      <c r="CW174" s="22" t="e">
        <f t="shared" si="174"/>
        <v>#NUM!</v>
      </c>
      <c r="CX174" s="60" t="e">
        <f t="shared" si="122"/>
        <v>#NUM!</v>
      </c>
      <c r="CY174" s="60">
        <f ca="1">AVERAGE(OFFSET($CX$3,0,0,'Données projet'!$E$13+1,1))-AVERAGE(OFFSET($H$3,0,0,'Données projet'!$E$13+1,1))</f>
        <v>428.8489304403459</v>
      </c>
      <c r="CZ174" s="60">
        <f t="shared" si="150"/>
        <v>247.01165577562966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-5.1159076974727213E-13</v>
      </c>
      <c r="DP174" s="18">
        <f>DO174*VLOOKUP('Données projet'!$B$14,Paramètres!$A$1:$I$89,3,0)*VLOOKUP('Données projet'!$B$14,Paramètres!$A$1:$I$89,5,0)</f>
        <v>-5.3471467253984886E-13</v>
      </c>
      <c r="DQ174" s="14" t="e">
        <f t="shared" si="176"/>
        <v>#NUM!</v>
      </c>
      <c r="DR174" s="22" t="e">
        <f t="shared" si="177"/>
        <v>#NUM!</v>
      </c>
      <c r="DS174" s="60" t="e">
        <f t="shared" si="125"/>
        <v>#NUM!</v>
      </c>
      <c r="DT174" s="60">
        <f ca="1">AVERAGE(OFFSET($DS$3,0,0,'Données projet'!$E$14+1,1))-AVERAGE(OFFSET($H$3,0,0,'Données projet'!$E$14+1,1))</f>
        <v>493.70175665335978</v>
      </c>
      <c r="DU174" s="60">
        <f t="shared" si="152"/>
        <v>325.12357781685949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-1.9895196601282805E-13</v>
      </c>
      <c r="EK174" s="18">
        <f>EJ174*VLOOKUP('Données projet'!$B$15,Paramètres!$A$1:$I$89,3,0)*VLOOKUP('Données projet'!$B$15,Paramètres!$A$1:$I$89,5,0)</f>
        <v>-1.6138983482960614E-13</v>
      </c>
      <c r="EL174" s="14" t="e">
        <f t="shared" si="179"/>
        <v>#NUM!</v>
      </c>
      <c r="EM174" s="22" t="e">
        <f t="shared" si="180"/>
        <v>#NUM!</v>
      </c>
      <c r="EN174" s="60" t="e">
        <f t="shared" si="128"/>
        <v>#NUM!</v>
      </c>
      <c r="EO174" s="60">
        <f ca="1">AVERAGE(OFFSET($EN$3,0,0,'Données projet'!$E$15+1,1))-AVERAGE(OFFSET($H$3,0,0,'Données projet'!$E$15+1,1))</f>
        <v>236.22643401787644</v>
      </c>
      <c r="EP174" s="60">
        <f t="shared" si="154"/>
        <v>188.80444043778022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5.4978954722173515E-14</v>
      </c>
      <c r="FG174" s="14">
        <f t="shared" si="182"/>
        <v>8.8550225887742724E-13</v>
      </c>
      <c r="FH174" s="22">
        <f t="shared" si="183"/>
        <v>1.6380047803526383E-12</v>
      </c>
      <c r="FI174" s="60">
        <f t="shared" si="131"/>
        <v>293.33333333333496</v>
      </c>
      <c r="FJ174" s="60">
        <f ca="1">AVERAGE(OFFSET($FI$3,0,0,'Données projet'!$E$16+1,1))-AVERAGE(OFFSET($H$3,0,0,'Données projet'!$E$16+1,1))</f>
        <v>255.59755832175625</v>
      </c>
      <c r="FK174" s="60">
        <f t="shared" si="156"/>
        <v>154.0840647586964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0" t="e">
        <f t="shared" si="134"/>
        <v>#N/A</v>
      </c>
      <c r="GE174" s="60" t="e">
        <f ca="1">AVERAGE(OFFSET($GD$3,0,0,'Données projet'!$E$17+1,1))-AVERAGE(OFFSET($H$3,0,0,'Données projet'!$E$17+1,1))</f>
        <v>#N/A</v>
      </c>
      <c r="GF174" s="60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7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0" t="e">
        <f t="shared" si="137"/>
        <v>#N/A</v>
      </c>
      <c r="GZ174" s="60" t="e">
        <f ca="1">AVERAGE(OFFSET($GY$3,0,0,'Données projet'!$E$18+1,1))-AVERAGE(OFFSET($H$3,0,0,'Données projet'!$E$18+1,1))</f>
        <v>#N/A</v>
      </c>
      <c r="HA174" s="60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5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68">
        <f t="shared" si="110"/>
        <v>256.66666666666669</v>
      </c>
      <c r="I175" s="7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0" t="e">
        <f t="shared" si="109"/>
        <v>#NUM!</v>
      </c>
      <c r="S175" s="60">
        <f ca="1">AVERAGE(OFFSET($R$3,0,0,'Données projet'!$E$9+1,1))-AVERAGE(OFFSET($H$3,0,0,'Données projet'!$E$9+1,1))</f>
        <v>64.775385872852041</v>
      </c>
      <c r="T175" s="60">
        <f t="shared" si="142"/>
        <v>201.69061202990468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1.9304507470651533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2.5586688887378784E-23</v>
      </c>
      <c r="AC175" s="24">
        <f t="shared" si="163"/>
        <v>1.9304507470651533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-9.7986685432260874E-13</v>
      </c>
      <c r="AK175" s="14" t="e">
        <f t="shared" si="164"/>
        <v>#NUM!</v>
      </c>
      <c r="AL175" s="22" t="e">
        <f t="shared" si="165"/>
        <v>#NUM!</v>
      </c>
      <c r="AM175" s="60" t="e">
        <f t="shared" si="113"/>
        <v>#NUM!</v>
      </c>
      <c r="AN175" s="60">
        <f ca="1">AVERAGE(OFFSET($AM$3,0,0,'Données projet'!$E$10+1,1))-AVERAGE(OFFSET($H$3,0,0,'Données projet'!$E$10+1,1))</f>
        <v>475.47920969424894</v>
      </c>
      <c r="AO175" s="60">
        <f t="shared" si="144"/>
        <v>271.73544012419364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7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6.7984728957526396E-14</v>
      </c>
      <c r="BF175" s="14">
        <f t="shared" si="167"/>
        <v>1.0682447123141398E-12</v>
      </c>
      <c r="BG175" s="22">
        <f t="shared" si="168"/>
        <v>1.978932943548152E-12</v>
      </c>
      <c r="BH175" s="60">
        <f t="shared" si="116"/>
        <v>293.3333333333353</v>
      </c>
      <c r="BI175" s="60">
        <f ca="1">AVERAGE(OFFSET($BH$3,0,0,'Données projet'!$E$11+1,1))-AVERAGE(OFFSET($H$3,0,0,'Données projet'!$E$11+1,1))</f>
        <v>260.02504691866199</v>
      </c>
      <c r="BJ175" s="60">
        <f t="shared" si="146"/>
        <v>270.11268336406368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0.6012274595199858</v>
      </c>
      <c r="BQ175" s="23">
        <f>EXP(-LN(2)/25)*BQ174+(1-EXP(-LN(2)/25))/(LN(2)/25)*Calculateur!BL175*Calculateur!BN175*VLOOKUP('Données projet'!$B$11,Paramètres!$A$1:$I$89,3,0)*0.475*44/12</f>
        <v>0.32058761944539294</v>
      </c>
      <c r="BR175" s="23">
        <f>EXP(-LN(2)/2)*BR174+(1-EXP(-LN(2)/2))/(LN(2)/2)*BL175*BO175*VLOOKUP('Données projet'!$B$11,Paramètres!$A$1:$I$89,3,0)*0.475*44/12</f>
        <v>2.6850779027515176E-21</v>
      </c>
      <c r="BS175" s="24">
        <f t="shared" si="169"/>
        <v>0.92181507896537873</v>
      </c>
      <c r="BT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5.1159076974727213E-13</v>
      </c>
      <c r="BZ175" s="14">
        <f>BY175*VLOOKUP('Données projet'!$B$12,Paramètres!$A$1:$I$89,3,0)*VLOOKUP('Données projet'!$B$12,Paramètres!$A$1:$I$89,5,0)</f>
        <v>2.3942448024172334E-13</v>
      </c>
      <c r="CA175" s="14">
        <f t="shared" si="170"/>
        <v>3.2492669905861755E-12</v>
      </c>
      <c r="CB175" s="22">
        <f t="shared" si="171"/>
        <v>6.0761376450252565E-12</v>
      </c>
      <c r="CC175" s="60">
        <f t="shared" si="119"/>
        <v>293.3333333333394</v>
      </c>
      <c r="CD175" s="60">
        <f ca="1">AVERAGE(OFFSET($CC$3,0,0,'Données projet'!$E$12+1,1))-AVERAGE(OFFSET($H$3,0,0,'Données projet'!$E$12+1,1))</f>
        <v>246.72166704460847</v>
      </c>
      <c r="CE175" s="60">
        <f t="shared" si="148"/>
        <v>145.54897745089966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-9.6633812063373625E-13</v>
      </c>
      <c r="CU175" s="18">
        <f>CT175*VLOOKUP('Données projet'!$B$13,Paramètres!$A$1:$I$89,3,0)*VLOOKUP('Données projet'!$B$13,Paramètres!$A$1:$I$89,5,0)</f>
        <v>-8.7434273154940449E-13</v>
      </c>
      <c r="CV175" s="14" t="e">
        <f t="shared" si="173"/>
        <v>#NUM!</v>
      </c>
      <c r="CW175" s="22" t="e">
        <f t="shared" si="174"/>
        <v>#NUM!</v>
      </c>
      <c r="CX175" s="60" t="e">
        <f t="shared" si="122"/>
        <v>#NUM!</v>
      </c>
      <c r="CY175" s="60">
        <f ca="1">AVERAGE(OFFSET($CX$3,0,0,'Données projet'!$E$13+1,1))-AVERAGE(OFFSET($H$3,0,0,'Données projet'!$E$13+1,1))</f>
        <v>428.8489304403459</v>
      </c>
      <c r="CZ175" s="60">
        <f t="shared" si="150"/>
        <v>247.01165577562966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-5.1159076974727213E-13</v>
      </c>
      <c r="DP175" s="18">
        <f>DO175*VLOOKUP('Données projet'!$B$14,Paramètres!$A$1:$I$89,3,0)*VLOOKUP('Données projet'!$B$14,Paramètres!$A$1:$I$89,5,0)</f>
        <v>-5.3471467253984886E-13</v>
      </c>
      <c r="DQ175" s="14" t="e">
        <f t="shared" si="176"/>
        <v>#NUM!</v>
      </c>
      <c r="DR175" s="22" t="e">
        <f t="shared" si="177"/>
        <v>#NUM!</v>
      </c>
      <c r="DS175" s="60" t="e">
        <f t="shared" si="125"/>
        <v>#NUM!</v>
      </c>
      <c r="DT175" s="60">
        <f ca="1">AVERAGE(OFFSET($DS$3,0,0,'Données projet'!$E$14+1,1))-AVERAGE(OFFSET($H$3,0,0,'Données projet'!$E$14+1,1))</f>
        <v>493.70175665335978</v>
      </c>
      <c r="DU175" s="60">
        <f t="shared" si="152"/>
        <v>325.12357781685949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-1.9895196601282805E-13</v>
      </c>
      <c r="EK175" s="18">
        <f>EJ175*VLOOKUP('Données projet'!$B$15,Paramètres!$A$1:$I$89,3,0)*VLOOKUP('Données projet'!$B$15,Paramètres!$A$1:$I$89,5,0)</f>
        <v>-1.6138983482960614E-13</v>
      </c>
      <c r="EL175" s="14" t="e">
        <f t="shared" si="179"/>
        <v>#NUM!</v>
      </c>
      <c r="EM175" s="22" t="e">
        <f t="shared" si="180"/>
        <v>#NUM!</v>
      </c>
      <c r="EN175" s="60" t="e">
        <f t="shared" si="128"/>
        <v>#NUM!</v>
      </c>
      <c r="EO175" s="60">
        <f ca="1">AVERAGE(OFFSET($EN$3,0,0,'Données projet'!$E$15+1,1))-AVERAGE(OFFSET($H$3,0,0,'Données projet'!$E$15+1,1))</f>
        <v>236.22643401787644</v>
      </c>
      <c r="EP175" s="60">
        <f t="shared" si="154"/>
        <v>188.80444043778022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5.4978954722173515E-14</v>
      </c>
      <c r="FG175" s="14">
        <f t="shared" si="182"/>
        <v>8.8550225887742724E-13</v>
      </c>
      <c r="FH175" s="22">
        <f t="shared" si="183"/>
        <v>1.6380047803526383E-12</v>
      </c>
      <c r="FI175" s="60">
        <f t="shared" si="131"/>
        <v>293.33333333333496</v>
      </c>
      <c r="FJ175" s="60">
        <f ca="1">AVERAGE(OFFSET($FI$3,0,0,'Données projet'!$E$16+1,1))-AVERAGE(OFFSET($H$3,0,0,'Données projet'!$E$16+1,1))</f>
        <v>255.59755832175625</v>
      </c>
      <c r="FK175" s="60">
        <f t="shared" si="156"/>
        <v>154.0840647586964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0" t="e">
        <f t="shared" si="134"/>
        <v>#N/A</v>
      </c>
      <c r="GE175" s="60" t="e">
        <f ca="1">AVERAGE(OFFSET($GD$3,0,0,'Données projet'!$E$17+1,1))-AVERAGE(OFFSET($H$3,0,0,'Données projet'!$E$17+1,1))</f>
        <v>#N/A</v>
      </c>
      <c r="GF175" s="60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7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0" t="e">
        <f t="shared" si="137"/>
        <v>#N/A</v>
      </c>
      <c r="GZ175" s="60" t="e">
        <f ca="1">AVERAGE(OFFSET($GY$3,0,0,'Données projet'!$E$18+1,1))-AVERAGE(OFFSET($H$3,0,0,'Données projet'!$E$18+1,1))</f>
        <v>#N/A</v>
      </c>
      <c r="HA175" s="60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5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68">
        <f t="shared" si="110"/>
        <v>256.66666666666669</v>
      </c>
      <c r="I176" s="7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0" t="e">
        <f t="shared" si="109"/>
        <v>#NUM!</v>
      </c>
      <c r="S176" s="60">
        <f ca="1">AVERAGE(OFFSET($R$3,0,0,'Données projet'!$E$9+1,1))-AVERAGE(OFFSET($H$3,0,0,'Données projet'!$E$9+1,1))</f>
        <v>64.775385872852041</v>
      </c>
      <c r="T176" s="60">
        <f t="shared" si="142"/>
        <v>201.69061202990468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1.8925957853738971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1.8092521220376017E-23</v>
      </c>
      <c r="AC176" s="24">
        <f t="shared" si="163"/>
        <v>1.8925957853738971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-9.7986685432260874E-13</v>
      </c>
      <c r="AK176" s="14" t="e">
        <f t="shared" si="164"/>
        <v>#NUM!</v>
      </c>
      <c r="AL176" s="22" t="e">
        <f t="shared" si="165"/>
        <v>#NUM!</v>
      </c>
      <c r="AM176" s="60" t="e">
        <f t="shared" si="113"/>
        <v>#NUM!</v>
      </c>
      <c r="AN176" s="60">
        <f ca="1">AVERAGE(OFFSET($AM$3,0,0,'Données projet'!$E$10+1,1))-AVERAGE(OFFSET($H$3,0,0,'Données projet'!$E$10+1,1))</f>
        <v>475.47920969424894</v>
      </c>
      <c r="AO176" s="60">
        <f t="shared" si="144"/>
        <v>271.73544012419364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7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6.7984728957526396E-14</v>
      </c>
      <c r="BF176" s="14">
        <f t="shared" si="167"/>
        <v>1.0682447123141398E-12</v>
      </c>
      <c r="BG176" s="22">
        <f t="shared" si="168"/>
        <v>1.978932943548152E-12</v>
      </c>
      <c r="BH176" s="60">
        <f t="shared" si="116"/>
        <v>293.3333333333353</v>
      </c>
      <c r="BI176" s="60">
        <f ca="1">AVERAGE(OFFSET($BH$3,0,0,'Données projet'!$E$11+1,1))-AVERAGE(OFFSET($H$3,0,0,'Données projet'!$E$11+1,1))</f>
        <v>260.02504691866199</v>
      </c>
      <c r="BJ176" s="60">
        <f t="shared" si="146"/>
        <v>270.11268336406368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0.58943775575133928</v>
      </c>
      <c r="BQ176" s="23">
        <f>EXP(-LN(2)/25)*BQ175+(1-EXP(-LN(2)/25))/(LN(2)/25)*Calculateur!BL176*Calculateur!BN176*VLOOKUP('Données projet'!$B$11,Paramètres!$A$1:$I$89,3,0)*0.475*44/12</f>
        <v>0.31182113413268847</v>
      </c>
      <c r="BR176" s="23">
        <f>EXP(-LN(2)/2)*BR175+(1-EXP(-LN(2)/2))/(LN(2)/2)*BL176*BO176*VLOOKUP('Données projet'!$B$11,Paramètres!$A$1:$I$89,3,0)*0.475*44/12</f>
        <v>1.8986367930497513E-21</v>
      </c>
      <c r="BS176" s="24">
        <f t="shared" si="169"/>
        <v>0.90125888988402769</v>
      </c>
      <c r="BT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5.1159076974727213E-13</v>
      </c>
      <c r="BZ176" s="14">
        <f>BY176*VLOOKUP('Données projet'!$B$12,Paramètres!$A$1:$I$89,3,0)*VLOOKUP('Données projet'!$B$12,Paramètres!$A$1:$I$89,5,0)</f>
        <v>2.3942448024172334E-13</v>
      </c>
      <c r="CA176" s="14">
        <f t="shared" si="170"/>
        <v>3.2492669905861755E-12</v>
      </c>
      <c r="CB176" s="22">
        <f t="shared" si="171"/>
        <v>6.0761376450252565E-12</v>
      </c>
      <c r="CC176" s="60">
        <f t="shared" si="119"/>
        <v>293.3333333333394</v>
      </c>
      <c r="CD176" s="60">
        <f ca="1">AVERAGE(OFFSET($CC$3,0,0,'Données projet'!$E$12+1,1))-AVERAGE(OFFSET($H$3,0,0,'Données projet'!$E$12+1,1))</f>
        <v>246.72166704460847</v>
      </c>
      <c r="CE176" s="60">
        <f t="shared" si="148"/>
        <v>145.54897745089966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-9.6633812063373625E-13</v>
      </c>
      <c r="CU176" s="18">
        <f>CT176*VLOOKUP('Données projet'!$B$13,Paramètres!$A$1:$I$89,3,0)*VLOOKUP('Données projet'!$B$13,Paramètres!$A$1:$I$89,5,0)</f>
        <v>-8.7434273154940449E-13</v>
      </c>
      <c r="CV176" s="14" t="e">
        <f t="shared" si="173"/>
        <v>#NUM!</v>
      </c>
      <c r="CW176" s="22" t="e">
        <f t="shared" si="174"/>
        <v>#NUM!</v>
      </c>
      <c r="CX176" s="60" t="e">
        <f t="shared" si="122"/>
        <v>#NUM!</v>
      </c>
      <c r="CY176" s="60">
        <f ca="1">AVERAGE(OFFSET($CX$3,0,0,'Données projet'!$E$13+1,1))-AVERAGE(OFFSET($H$3,0,0,'Données projet'!$E$13+1,1))</f>
        <v>428.8489304403459</v>
      </c>
      <c r="CZ176" s="60">
        <f t="shared" si="150"/>
        <v>247.01165577562966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-5.1159076974727213E-13</v>
      </c>
      <c r="DP176" s="18">
        <f>DO176*VLOOKUP('Données projet'!$B$14,Paramètres!$A$1:$I$89,3,0)*VLOOKUP('Données projet'!$B$14,Paramètres!$A$1:$I$89,5,0)</f>
        <v>-5.3471467253984886E-13</v>
      </c>
      <c r="DQ176" s="14" t="e">
        <f t="shared" si="176"/>
        <v>#NUM!</v>
      </c>
      <c r="DR176" s="22" t="e">
        <f t="shared" si="177"/>
        <v>#NUM!</v>
      </c>
      <c r="DS176" s="60" t="e">
        <f t="shared" si="125"/>
        <v>#NUM!</v>
      </c>
      <c r="DT176" s="60">
        <f ca="1">AVERAGE(OFFSET($DS$3,0,0,'Données projet'!$E$14+1,1))-AVERAGE(OFFSET($H$3,0,0,'Données projet'!$E$14+1,1))</f>
        <v>493.70175665335978</v>
      </c>
      <c r="DU176" s="60">
        <f t="shared" si="152"/>
        <v>325.12357781685949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-1.9895196601282805E-13</v>
      </c>
      <c r="EK176" s="18">
        <f>EJ176*VLOOKUP('Données projet'!$B$15,Paramètres!$A$1:$I$89,3,0)*VLOOKUP('Données projet'!$B$15,Paramètres!$A$1:$I$89,5,0)</f>
        <v>-1.6138983482960614E-13</v>
      </c>
      <c r="EL176" s="14" t="e">
        <f t="shared" si="179"/>
        <v>#NUM!</v>
      </c>
      <c r="EM176" s="22" t="e">
        <f t="shared" si="180"/>
        <v>#NUM!</v>
      </c>
      <c r="EN176" s="60" t="e">
        <f t="shared" si="128"/>
        <v>#NUM!</v>
      </c>
      <c r="EO176" s="60">
        <f ca="1">AVERAGE(OFFSET($EN$3,0,0,'Données projet'!$E$15+1,1))-AVERAGE(OFFSET($H$3,0,0,'Données projet'!$E$15+1,1))</f>
        <v>236.22643401787644</v>
      </c>
      <c r="EP176" s="60">
        <f t="shared" si="154"/>
        <v>188.80444043778022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5.4978954722173515E-14</v>
      </c>
      <c r="FG176" s="14">
        <f t="shared" si="182"/>
        <v>8.8550225887742724E-13</v>
      </c>
      <c r="FH176" s="22">
        <f t="shared" si="183"/>
        <v>1.6380047803526383E-12</v>
      </c>
      <c r="FI176" s="60">
        <f t="shared" si="131"/>
        <v>293.33333333333496</v>
      </c>
      <c r="FJ176" s="60">
        <f ca="1">AVERAGE(OFFSET($FI$3,0,0,'Données projet'!$E$16+1,1))-AVERAGE(OFFSET($H$3,0,0,'Données projet'!$E$16+1,1))</f>
        <v>255.59755832175625</v>
      </c>
      <c r="FK176" s="60">
        <f t="shared" si="156"/>
        <v>154.0840647586964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0" t="e">
        <f t="shared" si="134"/>
        <v>#N/A</v>
      </c>
      <c r="GE176" s="60" t="e">
        <f ca="1">AVERAGE(OFFSET($GD$3,0,0,'Données projet'!$E$17+1,1))-AVERAGE(OFFSET($H$3,0,0,'Données projet'!$E$17+1,1))</f>
        <v>#N/A</v>
      </c>
      <c r="GF176" s="60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7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0" t="e">
        <f t="shared" si="137"/>
        <v>#N/A</v>
      </c>
      <c r="GZ176" s="60" t="e">
        <f ca="1">AVERAGE(OFFSET($GY$3,0,0,'Données projet'!$E$18+1,1))-AVERAGE(OFFSET($H$3,0,0,'Données projet'!$E$18+1,1))</f>
        <v>#N/A</v>
      </c>
      <c r="HA176" s="60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5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68">
        <f t="shared" si="110"/>
        <v>256.66666666666669</v>
      </c>
      <c r="I177" s="7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0" t="e">
        <f t="shared" si="109"/>
        <v>#NUM!</v>
      </c>
      <c r="S177" s="60">
        <f ca="1">AVERAGE(OFFSET($R$3,0,0,'Données projet'!$E$9+1,1))-AVERAGE(OFFSET($H$3,0,0,'Données projet'!$E$9+1,1))</f>
        <v>64.775385872852041</v>
      </c>
      <c r="T177" s="60">
        <f t="shared" si="142"/>
        <v>201.69061202990468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1.8554831363921596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1.2793344443689392E-23</v>
      </c>
      <c r="AC177" s="24">
        <f t="shared" si="163"/>
        <v>1.8554831363921596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-9.7986685432260874E-13</v>
      </c>
      <c r="AK177" s="14" t="e">
        <f t="shared" si="164"/>
        <v>#NUM!</v>
      </c>
      <c r="AL177" s="22" t="e">
        <f t="shared" si="165"/>
        <v>#NUM!</v>
      </c>
      <c r="AM177" s="60" t="e">
        <f t="shared" si="113"/>
        <v>#NUM!</v>
      </c>
      <c r="AN177" s="60">
        <f ca="1">AVERAGE(OFFSET($AM$3,0,0,'Données projet'!$E$10+1,1))-AVERAGE(OFFSET($H$3,0,0,'Données projet'!$E$10+1,1))</f>
        <v>475.47920969424894</v>
      </c>
      <c r="AO177" s="60">
        <f t="shared" si="144"/>
        <v>271.73544012419364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7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6.7984728957526396E-14</v>
      </c>
      <c r="BF177" s="14">
        <f t="shared" si="167"/>
        <v>1.0682447123141398E-12</v>
      </c>
      <c r="BG177" s="22">
        <f t="shared" si="168"/>
        <v>1.978932943548152E-12</v>
      </c>
      <c r="BH177" s="60">
        <f t="shared" si="116"/>
        <v>293.3333333333353</v>
      </c>
      <c r="BI177" s="60">
        <f ca="1">AVERAGE(OFFSET($BH$3,0,0,'Données projet'!$E$11+1,1))-AVERAGE(OFFSET($H$3,0,0,'Données projet'!$E$11+1,1))</f>
        <v>260.02504691866199</v>
      </c>
      <c r="BJ177" s="60">
        <f t="shared" si="146"/>
        <v>270.11268336406368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0.57787924088258669</v>
      </c>
      <c r="BQ177" s="23">
        <f>EXP(-LN(2)/25)*BQ176+(1-EXP(-LN(2)/25))/(LN(2)/25)*Calculateur!BL177*Calculateur!BN177*VLOOKUP('Données projet'!$B$11,Paramètres!$A$1:$I$89,3,0)*0.475*44/12</f>
        <v>0.30329436882186933</v>
      </c>
      <c r="BR177" s="23">
        <f>EXP(-LN(2)/2)*BR176+(1-EXP(-LN(2)/2))/(LN(2)/2)*BL177*BO177*VLOOKUP('Données projet'!$B$11,Paramètres!$A$1:$I$89,3,0)*0.475*44/12</f>
        <v>1.3425389513757588E-21</v>
      </c>
      <c r="BS177" s="24">
        <f t="shared" si="169"/>
        <v>0.88117360970445602</v>
      </c>
      <c r="BT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5.1159076974727213E-13</v>
      </c>
      <c r="BZ177" s="14">
        <f>BY177*VLOOKUP('Données projet'!$B$12,Paramètres!$A$1:$I$89,3,0)*VLOOKUP('Données projet'!$B$12,Paramètres!$A$1:$I$89,5,0)</f>
        <v>2.3942448024172334E-13</v>
      </c>
      <c r="CA177" s="14">
        <f t="shared" si="170"/>
        <v>3.2492669905861755E-12</v>
      </c>
      <c r="CB177" s="22">
        <f t="shared" si="171"/>
        <v>6.0761376450252565E-12</v>
      </c>
      <c r="CC177" s="60">
        <f t="shared" si="119"/>
        <v>293.3333333333394</v>
      </c>
      <c r="CD177" s="60">
        <f ca="1">AVERAGE(OFFSET($CC$3,0,0,'Données projet'!$E$12+1,1))-AVERAGE(OFFSET($H$3,0,0,'Données projet'!$E$12+1,1))</f>
        <v>246.72166704460847</v>
      </c>
      <c r="CE177" s="60">
        <f t="shared" si="148"/>
        <v>145.54897745089966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-9.6633812063373625E-13</v>
      </c>
      <c r="CU177" s="18">
        <f>CT177*VLOOKUP('Données projet'!$B$13,Paramètres!$A$1:$I$89,3,0)*VLOOKUP('Données projet'!$B$13,Paramètres!$A$1:$I$89,5,0)</f>
        <v>-8.7434273154940449E-13</v>
      </c>
      <c r="CV177" s="14" t="e">
        <f t="shared" si="173"/>
        <v>#NUM!</v>
      </c>
      <c r="CW177" s="22" t="e">
        <f t="shared" si="174"/>
        <v>#NUM!</v>
      </c>
      <c r="CX177" s="60" t="e">
        <f t="shared" si="122"/>
        <v>#NUM!</v>
      </c>
      <c r="CY177" s="60">
        <f ca="1">AVERAGE(OFFSET($CX$3,0,0,'Données projet'!$E$13+1,1))-AVERAGE(OFFSET($H$3,0,0,'Données projet'!$E$13+1,1))</f>
        <v>428.8489304403459</v>
      </c>
      <c r="CZ177" s="60">
        <f t="shared" si="150"/>
        <v>247.01165577562966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-5.1159076974727213E-13</v>
      </c>
      <c r="DP177" s="18">
        <f>DO177*VLOOKUP('Données projet'!$B$14,Paramètres!$A$1:$I$89,3,0)*VLOOKUP('Données projet'!$B$14,Paramètres!$A$1:$I$89,5,0)</f>
        <v>-5.3471467253984886E-13</v>
      </c>
      <c r="DQ177" s="14" t="e">
        <f t="shared" si="176"/>
        <v>#NUM!</v>
      </c>
      <c r="DR177" s="22" t="e">
        <f t="shared" si="177"/>
        <v>#NUM!</v>
      </c>
      <c r="DS177" s="60" t="e">
        <f t="shared" si="125"/>
        <v>#NUM!</v>
      </c>
      <c r="DT177" s="60">
        <f ca="1">AVERAGE(OFFSET($DS$3,0,0,'Données projet'!$E$14+1,1))-AVERAGE(OFFSET($H$3,0,0,'Données projet'!$E$14+1,1))</f>
        <v>493.70175665335978</v>
      </c>
      <c r="DU177" s="60">
        <f t="shared" si="152"/>
        <v>325.12357781685949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-1.9895196601282805E-13</v>
      </c>
      <c r="EK177" s="18">
        <f>EJ177*VLOOKUP('Données projet'!$B$15,Paramètres!$A$1:$I$89,3,0)*VLOOKUP('Données projet'!$B$15,Paramètres!$A$1:$I$89,5,0)</f>
        <v>-1.6138983482960614E-13</v>
      </c>
      <c r="EL177" s="14" t="e">
        <f t="shared" si="179"/>
        <v>#NUM!</v>
      </c>
      <c r="EM177" s="22" t="e">
        <f t="shared" si="180"/>
        <v>#NUM!</v>
      </c>
      <c r="EN177" s="60" t="e">
        <f t="shared" si="128"/>
        <v>#NUM!</v>
      </c>
      <c r="EO177" s="60">
        <f ca="1">AVERAGE(OFFSET($EN$3,0,0,'Données projet'!$E$15+1,1))-AVERAGE(OFFSET($H$3,0,0,'Données projet'!$E$15+1,1))</f>
        <v>236.22643401787644</v>
      </c>
      <c r="EP177" s="60">
        <f t="shared" si="154"/>
        <v>188.80444043778022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5.4978954722173515E-14</v>
      </c>
      <c r="FG177" s="14">
        <f t="shared" si="182"/>
        <v>8.8550225887742724E-13</v>
      </c>
      <c r="FH177" s="22">
        <f t="shared" si="183"/>
        <v>1.6380047803526383E-12</v>
      </c>
      <c r="FI177" s="60">
        <f t="shared" si="131"/>
        <v>293.33333333333496</v>
      </c>
      <c r="FJ177" s="60">
        <f ca="1">AVERAGE(OFFSET($FI$3,0,0,'Données projet'!$E$16+1,1))-AVERAGE(OFFSET($H$3,0,0,'Données projet'!$E$16+1,1))</f>
        <v>255.59755832175625</v>
      </c>
      <c r="FK177" s="60">
        <f t="shared" si="156"/>
        <v>154.0840647586964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0" t="e">
        <f t="shared" si="134"/>
        <v>#N/A</v>
      </c>
      <c r="GE177" s="60" t="e">
        <f ca="1">AVERAGE(OFFSET($GD$3,0,0,'Données projet'!$E$17+1,1))-AVERAGE(OFFSET($H$3,0,0,'Données projet'!$E$17+1,1))</f>
        <v>#N/A</v>
      </c>
      <c r="GF177" s="60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7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0" t="e">
        <f t="shared" si="137"/>
        <v>#N/A</v>
      </c>
      <c r="GZ177" s="60" t="e">
        <f ca="1">AVERAGE(OFFSET($GY$3,0,0,'Données projet'!$E$18+1,1))-AVERAGE(OFFSET($H$3,0,0,'Données projet'!$E$18+1,1))</f>
        <v>#N/A</v>
      </c>
      <c r="HA177" s="60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5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68">
        <f t="shared" si="110"/>
        <v>256.66666666666669</v>
      </c>
      <c r="I178" s="7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0" t="e">
        <f t="shared" si="109"/>
        <v>#NUM!</v>
      </c>
      <c r="S178" s="60">
        <f ca="1">AVERAGE(OFFSET($R$3,0,0,'Données projet'!$E$9+1,1))-AVERAGE(OFFSET($H$3,0,0,'Données projet'!$E$9+1,1))</f>
        <v>64.775385872852041</v>
      </c>
      <c r="T178" s="60">
        <f t="shared" si="142"/>
        <v>201.69061202990468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1.8190982438204732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9.0462606101880083E-24</v>
      </c>
      <c r="AC178" s="24">
        <f t="shared" si="163"/>
        <v>1.8190982438204732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-9.7986685432260874E-13</v>
      </c>
      <c r="AK178" s="14" t="e">
        <f t="shared" si="164"/>
        <v>#NUM!</v>
      </c>
      <c r="AL178" s="22" t="e">
        <f t="shared" si="165"/>
        <v>#NUM!</v>
      </c>
      <c r="AM178" s="60" t="e">
        <f t="shared" si="113"/>
        <v>#NUM!</v>
      </c>
      <c r="AN178" s="60">
        <f ca="1">AVERAGE(OFFSET($AM$3,0,0,'Données projet'!$E$10+1,1))-AVERAGE(OFFSET($H$3,0,0,'Données projet'!$E$10+1,1))</f>
        <v>475.47920969424894</v>
      </c>
      <c r="AO178" s="60">
        <f t="shared" si="144"/>
        <v>271.73544012419364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7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6.7984728957526396E-14</v>
      </c>
      <c r="BF178" s="14">
        <f t="shared" si="167"/>
        <v>1.0682447123141398E-12</v>
      </c>
      <c r="BG178" s="22">
        <f t="shared" si="168"/>
        <v>1.978932943548152E-12</v>
      </c>
      <c r="BH178" s="60">
        <f t="shared" si="116"/>
        <v>293.3333333333353</v>
      </c>
      <c r="BI178" s="60">
        <f ca="1">AVERAGE(OFFSET($BH$3,0,0,'Données projet'!$E$11+1,1))-AVERAGE(OFFSET($H$3,0,0,'Données projet'!$E$11+1,1))</f>
        <v>260.02504691866199</v>
      </c>
      <c r="BJ178" s="60">
        <f t="shared" si="146"/>
        <v>270.11268336406368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0.56654738144041239</v>
      </c>
      <c r="BQ178" s="23">
        <f>EXP(-LN(2)/25)*BQ177+(1-EXP(-LN(2)/25))/(LN(2)/25)*Calculateur!BL178*Calculateur!BN178*VLOOKUP('Données projet'!$B$11,Paramètres!$A$1:$I$89,3,0)*0.475*44/12</f>
        <v>0.29500076835687766</v>
      </c>
      <c r="BR178" s="23">
        <f>EXP(-LN(2)/2)*BR177+(1-EXP(-LN(2)/2))/(LN(2)/2)*BL178*BO178*VLOOKUP('Données projet'!$B$11,Paramètres!$A$1:$I$89,3,0)*0.475*44/12</f>
        <v>9.4931839652487565E-22</v>
      </c>
      <c r="BS178" s="24">
        <f t="shared" si="169"/>
        <v>0.86154814979729011</v>
      </c>
      <c r="BT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5.1159076974727213E-13</v>
      </c>
      <c r="BZ178" s="14">
        <f>BY178*VLOOKUP('Données projet'!$B$12,Paramètres!$A$1:$I$89,3,0)*VLOOKUP('Données projet'!$B$12,Paramètres!$A$1:$I$89,5,0)</f>
        <v>2.3942448024172334E-13</v>
      </c>
      <c r="CA178" s="14">
        <f t="shared" si="170"/>
        <v>3.2492669905861755E-12</v>
      </c>
      <c r="CB178" s="22">
        <f t="shared" si="171"/>
        <v>6.0761376450252565E-12</v>
      </c>
      <c r="CC178" s="60">
        <f t="shared" si="119"/>
        <v>293.3333333333394</v>
      </c>
      <c r="CD178" s="60">
        <f ca="1">AVERAGE(OFFSET($CC$3,0,0,'Données projet'!$E$12+1,1))-AVERAGE(OFFSET($H$3,0,0,'Données projet'!$E$12+1,1))</f>
        <v>246.72166704460847</v>
      </c>
      <c r="CE178" s="60">
        <f t="shared" si="148"/>
        <v>145.54897745089966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-9.6633812063373625E-13</v>
      </c>
      <c r="CU178" s="18">
        <f>CT178*VLOOKUP('Données projet'!$B$13,Paramètres!$A$1:$I$89,3,0)*VLOOKUP('Données projet'!$B$13,Paramètres!$A$1:$I$89,5,0)</f>
        <v>-8.7434273154940449E-13</v>
      </c>
      <c r="CV178" s="14" t="e">
        <f t="shared" si="173"/>
        <v>#NUM!</v>
      </c>
      <c r="CW178" s="22" t="e">
        <f t="shared" si="174"/>
        <v>#NUM!</v>
      </c>
      <c r="CX178" s="60" t="e">
        <f t="shared" si="122"/>
        <v>#NUM!</v>
      </c>
      <c r="CY178" s="60">
        <f ca="1">AVERAGE(OFFSET($CX$3,0,0,'Données projet'!$E$13+1,1))-AVERAGE(OFFSET($H$3,0,0,'Données projet'!$E$13+1,1))</f>
        <v>428.8489304403459</v>
      </c>
      <c r="CZ178" s="60">
        <f t="shared" si="150"/>
        <v>247.01165577562966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-5.1159076974727213E-13</v>
      </c>
      <c r="DP178" s="18">
        <f>DO178*VLOOKUP('Données projet'!$B$14,Paramètres!$A$1:$I$89,3,0)*VLOOKUP('Données projet'!$B$14,Paramètres!$A$1:$I$89,5,0)</f>
        <v>-5.3471467253984886E-13</v>
      </c>
      <c r="DQ178" s="14" t="e">
        <f t="shared" si="176"/>
        <v>#NUM!</v>
      </c>
      <c r="DR178" s="22" t="e">
        <f t="shared" si="177"/>
        <v>#NUM!</v>
      </c>
      <c r="DS178" s="60" t="e">
        <f t="shared" si="125"/>
        <v>#NUM!</v>
      </c>
      <c r="DT178" s="60">
        <f ca="1">AVERAGE(OFFSET($DS$3,0,0,'Données projet'!$E$14+1,1))-AVERAGE(OFFSET($H$3,0,0,'Données projet'!$E$14+1,1))</f>
        <v>493.70175665335978</v>
      </c>
      <c r="DU178" s="60">
        <f t="shared" si="152"/>
        <v>325.12357781685949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-1.9895196601282805E-13</v>
      </c>
      <c r="EK178" s="18">
        <f>EJ178*VLOOKUP('Données projet'!$B$15,Paramètres!$A$1:$I$89,3,0)*VLOOKUP('Données projet'!$B$15,Paramètres!$A$1:$I$89,5,0)</f>
        <v>-1.6138983482960614E-13</v>
      </c>
      <c r="EL178" s="14" t="e">
        <f t="shared" si="179"/>
        <v>#NUM!</v>
      </c>
      <c r="EM178" s="22" t="e">
        <f t="shared" si="180"/>
        <v>#NUM!</v>
      </c>
      <c r="EN178" s="60" t="e">
        <f t="shared" si="128"/>
        <v>#NUM!</v>
      </c>
      <c r="EO178" s="60">
        <f ca="1">AVERAGE(OFFSET($EN$3,0,0,'Données projet'!$E$15+1,1))-AVERAGE(OFFSET($H$3,0,0,'Données projet'!$E$15+1,1))</f>
        <v>236.22643401787644</v>
      </c>
      <c r="EP178" s="60">
        <f t="shared" si="154"/>
        <v>188.80444043778022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5.4978954722173515E-14</v>
      </c>
      <c r="FG178" s="14">
        <f t="shared" si="182"/>
        <v>8.8550225887742724E-13</v>
      </c>
      <c r="FH178" s="22">
        <f t="shared" si="183"/>
        <v>1.6380047803526383E-12</v>
      </c>
      <c r="FI178" s="60">
        <f t="shared" si="131"/>
        <v>293.33333333333496</v>
      </c>
      <c r="FJ178" s="60">
        <f ca="1">AVERAGE(OFFSET($FI$3,0,0,'Données projet'!$E$16+1,1))-AVERAGE(OFFSET($H$3,0,0,'Données projet'!$E$16+1,1))</f>
        <v>255.59755832175625</v>
      </c>
      <c r="FK178" s="60">
        <f t="shared" si="156"/>
        <v>154.0840647586964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0" t="e">
        <f t="shared" si="134"/>
        <v>#N/A</v>
      </c>
      <c r="GE178" s="60" t="e">
        <f ca="1">AVERAGE(OFFSET($GD$3,0,0,'Données projet'!$E$17+1,1))-AVERAGE(OFFSET($H$3,0,0,'Données projet'!$E$17+1,1))</f>
        <v>#N/A</v>
      </c>
      <c r="GF178" s="60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7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0" t="e">
        <f t="shared" si="137"/>
        <v>#N/A</v>
      </c>
      <c r="GZ178" s="60" t="e">
        <f ca="1">AVERAGE(OFFSET($GY$3,0,0,'Données projet'!$E$18+1,1))-AVERAGE(OFFSET($H$3,0,0,'Données projet'!$E$18+1,1))</f>
        <v>#N/A</v>
      </c>
      <c r="HA178" s="60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5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68">
        <f t="shared" si="110"/>
        <v>256.66666666666669</v>
      </c>
      <c r="I179" s="7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0" t="e">
        <f t="shared" si="109"/>
        <v>#NUM!</v>
      </c>
      <c r="S179" s="60">
        <f ca="1">AVERAGE(OFFSET($R$3,0,0,'Données projet'!$E$9+1,1))-AVERAGE(OFFSET($H$3,0,0,'Données projet'!$E$9+1,1))</f>
        <v>64.775385872852041</v>
      </c>
      <c r="T179" s="60">
        <f t="shared" si="142"/>
        <v>201.69061202990468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1.7834268367995245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6.3966722218446959E-24</v>
      </c>
      <c r="AC179" s="24">
        <f t="shared" si="163"/>
        <v>1.7834268367995245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-9.7986685432260874E-13</v>
      </c>
      <c r="AK179" s="14" t="e">
        <f t="shared" si="164"/>
        <v>#NUM!</v>
      </c>
      <c r="AL179" s="22" t="e">
        <f t="shared" si="165"/>
        <v>#NUM!</v>
      </c>
      <c r="AM179" s="60" t="e">
        <f t="shared" si="113"/>
        <v>#NUM!</v>
      </c>
      <c r="AN179" s="60">
        <f ca="1">AVERAGE(OFFSET($AM$3,0,0,'Données projet'!$E$10+1,1))-AVERAGE(OFFSET($H$3,0,0,'Données projet'!$E$10+1,1))</f>
        <v>475.47920969424894</v>
      </c>
      <c r="AO179" s="60">
        <f t="shared" si="144"/>
        <v>271.73544012419364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7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6.7984728957526396E-14</v>
      </c>
      <c r="BF179" s="14">
        <f t="shared" si="167"/>
        <v>1.0682447123141398E-12</v>
      </c>
      <c r="BG179" s="22">
        <f t="shared" si="168"/>
        <v>1.978932943548152E-12</v>
      </c>
      <c r="BH179" s="60">
        <f t="shared" si="116"/>
        <v>293.3333333333353</v>
      </c>
      <c r="BI179" s="60">
        <f ca="1">AVERAGE(OFFSET($BH$3,0,0,'Données projet'!$E$11+1,1))-AVERAGE(OFFSET($H$3,0,0,'Données projet'!$E$11+1,1))</f>
        <v>260.02504691866199</v>
      </c>
      <c r="BJ179" s="60">
        <f t="shared" si="146"/>
        <v>270.11268336406368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0.55543773285014741</v>
      </c>
      <c r="BQ179" s="23">
        <f>EXP(-LN(2)/25)*BQ178+(1-EXP(-LN(2)/25))/(LN(2)/25)*Calculateur!BL179*Calculateur!BN179*VLOOKUP('Données projet'!$B$11,Paramètres!$A$1:$I$89,3,0)*0.475*44/12</f>
        <v>0.28693395683274264</v>
      </c>
      <c r="BR179" s="23">
        <f>EXP(-LN(2)/2)*BR178+(1-EXP(-LN(2)/2))/(LN(2)/2)*BL179*BO179*VLOOKUP('Données projet'!$B$11,Paramètres!$A$1:$I$89,3,0)*0.475*44/12</f>
        <v>6.712694756878794E-22</v>
      </c>
      <c r="BS179" s="24">
        <f t="shared" si="169"/>
        <v>0.84237168968289011</v>
      </c>
      <c r="BT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5.1159076974727213E-13</v>
      </c>
      <c r="BZ179" s="14">
        <f>BY179*VLOOKUP('Données projet'!$B$12,Paramètres!$A$1:$I$89,3,0)*VLOOKUP('Données projet'!$B$12,Paramètres!$A$1:$I$89,5,0)</f>
        <v>2.3942448024172334E-13</v>
      </c>
      <c r="CA179" s="14">
        <f t="shared" si="170"/>
        <v>3.2492669905861755E-12</v>
      </c>
      <c r="CB179" s="22">
        <f t="shared" si="171"/>
        <v>6.0761376450252565E-12</v>
      </c>
      <c r="CC179" s="60">
        <f t="shared" si="119"/>
        <v>293.3333333333394</v>
      </c>
      <c r="CD179" s="60">
        <f ca="1">AVERAGE(OFFSET($CC$3,0,0,'Données projet'!$E$12+1,1))-AVERAGE(OFFSET($H$3,0,0,'Données projet'!$E$12+1,1))</f>
        <v>246.72166704460847</v>
      </c>
      <c r="CE179" s="60">
        <f t="shared" si="148"/>
        <v>145.54897745089966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-9.6633812063373625E-13</v>
      </c>
      <c r="CU179" s="18">
        <f>CT179*VLOOKUP('Données projet'!$B$13,Paramètres!$A$1:$I$89,3,0)*VLOOKUP('Données projet'!$B$13,Paramètres!$A$1:$I$89,5,0)</f>
        <v>-8.7434273154940449E-13</v>
      </c>
      <c r="CV179" s="14" t="e">
        <f t="shared" si="173"/>
        <v>#NUM!</v>
      </c>
      <c r="CW179" s="22" t="e">
        <f t="shared" si="174"/>
        <v>#NUM!</v>
      </c>
      <c r="CX179" s="60" t="e">
        <f t="shared" si="122"/>
        <v>#NUM!</v>
      </c>
      <c r="CY179" s="60">
        <f ca="1">AVERAGE(OFFSET($CX$3,0,0,'Données projet'!$E$13+1,1))-AVERAGE(OFFSET($H$3,0,0,'Données projet'!$E$13+1,1))</f>
        <v>428.8489304403459</v>
      </c>
      <c r="CZ179" s="60">
        <f t="shared" si="150"/>
        <v>247.01165577562966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-5.1159076974727213E-13</v>
      </c>
      <c r="DP179" s="18">
        <f>DO179*VLOOKUP('Données projet'!$B$14,Paramètres!$A$1:$I$89,3,0)*VLOOKUP('Données projet'!$B$14,Paramètres!$A$1:$I$89,5,0)</f>
        <v>-5.3471467253984886E-13</v>
      </c>
      <c r="DQ179" s="14" t="e">
        <f t="shared" si="176"/>
        <v>#NUM!</v>
      </c>
      <c r="DR179" s="22" t="e">
        <f t="shared" si="177"/>
        <v>#NUM!</v>
      </c>
      <c r="DS179" s="60" t="e">
        <f t="shared" si="125"/>
        <v>#NUM!</v>
      </c>
      <c r="DT179" s="60">
        <f ca="1">AVERAGE(OFFSET($DS$3,0,0,'Données projet'!$E$14+1,1))-AVERAGE(OFFSET($H$3,0,0,'Données projet'!$E$14+1,1))</f>
        <v>493.70175665335978</v>
      </c>
      <c r="DU179" s="60">
        <f t="shared" si="152"/>
        <v>325.12357781685949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-1.9895196601282805E-13</v>
      </c>
      <c r="EK179" s="18">
        <f>EJ179*VLOOKUP('Données projet'!$B$15,Paramètres!$A$1:$I$89,3,0)*VLOOKUP('Données projet'!$B$15,Paramètres!$A$1:$I$89,5,0)</f>
        <v>-1.6138983482960614E-13</v>
      </c>
      <c r="EL179" s="14" t="e">
        <f t="shared" si="179"/>
        <v>#NUM!</v>
      </c>
      <c r="EM179" s="22" t="e">
        <f t="shared" si="180"/>
        <v>#NUM!</v>
      </c>
      <c r="EN179" s="60" t="e">
        <f t="shared" si="128"/>
        <v>#NUM!</v>
      </c>
      <c r="EO179" s="60">
        <f ca="1">AVERAGE(OFFSET($EN$3,0,0,'Données projet'!$E$15+1,1))-AVERAGE(OFFSET($H$3,0,0,'Données projet'!$E$15+1,1))</f>
        <v>236.22643401787644</v>
      </c>
      <c r="EP179" s="60">
        <f t="shared" si="154"/>
        <v>188.80444043778022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5.4978954722173515E-14</v>
      </c>
      <c r="FG179" s="14">
        <f t="shared" si="182"/>
        <v>8.8550225887742724E-13</v>
      </c>
      <c r="FH179" s="22">
        <f t="shared" si="183"/>
        <v>1.6380047803526383E-12</v>
      </c>
      <c r="FI179" s="60">
        <f t="shared" si="131"/>
        <v>293.33333333333496</v>
      </c>
      <c r="FJ179" s="60">
        <f ca="1">AVERAGE(OFFSET($FI$3,0,0,'Données projet'!$E$16+1,1))-AVERAGE(OFFSET($H$3,0,0,'Données projet'!$E$16+1,1))</f>
        <v>255.59755832175625</v>
      </c>
      <c r="FK179" s="60">
        <f t="shared" si="156"/>
        <v>154.0840647586964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0" t="e">
        <f t="shared" si="134"/>
        <v>#N/A</v>
      </c>
      <c r="GE179" s="60" t="e">
        <f ca="1">AVERAGE(OFFSET($GD$3,0,0,'Données projet'!$E$17+1,1))-AVERAGE(OFFSET($H$3,0,0,'Données projet'!$E$17+1,1))</f>
        <v>#N/A</v>
      </c>
      <c r="GF179" s="60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7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0" t="e">
        <f t="shared" si="137"/>
        <v>#N/A</v>
      </c>
      <c r="GZ179" s="60" t="e">
        <f ca="1">AVERAGE(OFFSET($GY$3,0,0,'Données projet'!$E$18+1,1))-AVERAGE(OFFSET($H$3,0,0,'Données projet'!$E$18+1,1))</f>
        <v>#N/A</v>
      </c>
      <c r="HA179" s="60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5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68">
        <f t="shared" si="110"/>
        <v>256.66666666666669</v>
      </c>
      <c r="I180" s="7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0" t="e">
        <f t="shared" si="109"/>
        <v>#NUM!</v>
      </c>
      <c r="S180" s="60">
        <f ca="1">AVERAGE(OFFSET($R$3,0,0,'Données projet'!$E$9+1,1))-AVERAGE(OFFSET($H$3,0,0,'Données projet'!$E$9+1,1))</f>
        <v>64.775385872852041</v>
      </c>
      <c r="T180" s="60">
        <f t="shared" si="142"/>
        <v>201.69061202990468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1.7484549243128467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4.5231303050940041E-24</v>
      </c>
      <c r="AC180" s="24">
        <f t="shared" si="163"/>
        <v>1.7484549243128467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-9.7986685432260874E-13</v>
      </c>
      <c r="AK180" s="14" t="e">
        <f t="shared" si="164"/>
        <v>#NUM!</v>
      </c>
      <c r="AL180" s="22" t="e">
        <f t="shared" si="165"/>
        <v>#NUM!</v>
      </c>
      <c r="AM180" s="60" t="e">
        <f t="shared" si="113"/>
        <v>#NUM!</v>
      </c>
      <c r="AN180" s="60">
        <f ca="1">AVERAGE(OFFSET($AM$3,0,0,'Données projet'!$E$10+1,1))-AVERAGE(OFFSET($H$3,0,0,'Données projet'!$E$10+1,1))</f>
        <v>475.47920969424894</v>
      </c>
      <c r="AO180" s="60">
        <f t="shared" si="144"/>
        <v>271.73544012419364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7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6.7984728957526396E-14</v>
      </c>
      <c r="BF180" s="14">
        <f t="shared" si="167"/>
        <v>1.0682447123141398E-12</v>
      </c>
      <c r="BG180" s="22">
        <f t="shared" si="168"/>
        <v>1.978932943548152E-12</v>
      </c>
      <c r="BH180" s="60">
        <f t="shared" si="116"/>
        <v>293.3333333333353</v>
      </c>
      <c r="BI180" s="60">
        <f ca="1">AVERAGE(OFFSET($BH$3,0,0,'Données projet'!$E$11+1,1))-AVERAGE(OFFSET($H$3,0,0,'Données projet'!$E$11+1,1))</f>
        <v>260.02504691866199</v>
      </c>
      <c r="BJ180" s="60">
        <f t="shared" si="146"/>
        <v>270.11268336406368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0.54454593769252091</v>
      </c>
      <c r="BQ180" s="23">
        <f>EXP(-LN(2)/25)*BQ179+(1-EXP(-LN(2)/25))/(LN(2)/25)*Calculateur!BL180*Calculateur!BN180*VLOOKUP('Données projet'!$B$11,Paramètres!$A$1:$I$89,3,0)*0.475*44/12</f>
        <v>0.27908773269395032</v>
      </c>
      <c r="BR180" s="23">
        <f>EXP(-LN(2)/2)*BR179+(1-EXP(-LN(2)/2))/(LN(2)/2)*BL180*BO180*VLOOKUP('Données projet'!$B$11,Paramètres!$A$1:$I$89,3,0)*0.475*44/12</f>
        <v>4.7465919826243782E-22</v>
      </c>
      <c r="BS180" s="24">
        <f t="shared" si="169"/>
        <v>0.82363367038647128</v>
      </c>
      <c r="BT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5.1159076974727213E-13</v>
      </c>
      <c r="BZ180" s="14">
        <f>BY180*VLOOKUP('Données projet'!$B$12,Paramètres!$A$1:$I$89,3,0)*VLOOKUP('Données projet'!$B$12,Paramètres!$A$1:$I$89,5,0)</f>
        <v>2.3942448024172334E-13</v>
      </c>
      <c r="CA180" s="14">
        <f t="shared" si="170"/>
        <v>3.2492669905861755E-12</v>
      </c>
      <c r="CB180" s="22">
        <f t="shared" si="171"/>
        <v>6.0761376450252565E-12</v>
      </c>
      <c r="CC180" s="60">
        <f t="shared" si="119"/>
        <v>293.3333333333394</v>
      </c>
      <c r="CD180" s="60">
        <f ca="1">AVERAGE(OFFSET($CC$3,0,0,'Données projet'!$E$12+1,1))-AVERAGE(OFFSET($H$3,0,0,'Données projet'!$E$12+1,1))</f>
        <v>246.72166704460847</v>
      </c>
      <c r="CE180" s="60">
        <f t="shared" si="148"/>
        <v>145.54897745089966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-9.6633812063373625E-13</v>
      </c>
      <c r="CU180" s="18">
        <f>CT180*VLOOKUP('Données projet'!$B$13,Paramètres!$A$1:$I$89,3,0)*VLOOKUP('Données projet'!$B$13,Paramètres!$A$1:$I$89,5,0)</f>
        <v>-8.7434273154940449E-13</v>
      </c>
      <c r="CV180" s="14" t="e">
        <f t="shared" si="173"/>
        <v>#NUM!</v>
      </c>
      <c r="CW180" s="22" t="e">
        <f t="shared" si="174"/>
        <v>#NUM!</v>
      </c>
      <c r="CX180" s="60" t="e">
        <f t="shared" si="122"/>
        <v>#NUM!</v>
      </c>
      <c r="CY180" s="60">
        <f ca="1">AVERAGE(OFFSET($CX$3,0,0,'Données projet'!$E$13+1,1))-AVERAGE(OFFSET($H$3,0,0,'Données projet'!$E$13+1,1))</f>
        <v>428.8489304403459</v>
      </c>
      <c r="CZ180" s="60">
        <f t="shared" si="150"/>
        <v>247.01165577562966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-5.1159076974727213E-13</v>
      </c>
      <c r="DP180" s="18">
        <f>DO180*VLOOKUP('Données projet'!$B$14,Paramètres!$A$1:$I$89,3,0)*VLOOKUP('Données projet'!$B$14,Paramètres!$A$1:$I$89,5,0)</f>
        <v>-5.3471467253984886E-13</v>
      </c>
      <c r="DQ180" s="14" t="e">
        <f t="shared" si="176"/>
        <v>#NUM!</v>
      </c>
      <c r="DR180" s="22" t="e">
        <f t="shared" si="177"/>
        <v>#NUM!</v>
      </c>
      <c r="DS180" s="60" t="e">
        <f t="shared" si="125"/>
        <v>#NUM!</v>
      </c>
      <c r="DT180" s="60">
        <f ca="1">AVERAGE(OFFSET($DS$3,0,0,'Données projet'!$E$14+1,1))-AVERAGE(OFFSET($H$3,0,0,'Données projet'!$E$14+1,1))</f>
        <v>493.70175665335978</v>
      </c>
      <c r="DU180" s="60">
        <f t="shared" si="152"/>
        <v>325.12357781685949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-1.9895196601282805E-13</v>
      </c>
      <c r="EK180" s="18">
        <f>EJ180*VLOOKUP('Données projet'!$B$15,Paramètres!$A$1:$I$89,3,0)*VLOOKUP('Données projet'!$B$15,Paramètres!$A$1:$I$89,5,0)</f>
        <v>-1.6138983482960614E-13</v>
      </c>
      <c r="EL180" s="14" t="e">
        <f t="shared" si="179"/>
        <v>#NUM!</v>
      </c>
      <c r="EM180" s="22" t="e">
        <f t="shared" si="180"/>
        <v>#NUM!</v>
      </c>
      <c r="EN180" s="60" t="e">
        <f t="shared" si="128"/>
        <v>#NUM!</v>
      </c>
      <c r="EO180" s="60">
        <f ca="1">AVERAGE(OFFSET($EN$3,0,0,'Données projet'!$E$15+1,1))-AVERAGE(OFFSET($H$3,0,0,'Données projet'!$E$15+1,1))</f>
        <v>236.22643401787644</v>
      </c>
      <c r="EP180" s="60">
        <f t="shared" si="154"/>
        <v>188.80444043778022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5.4978954722173515E-14</v>
      </c>
      <c r="FG180" s="14">
        <f t="shared" si="182"/>
        <v>8.8550225887742724E-13</v>
      </c>
      <c r="FH180" s="22">
        <f t="shared" si="183"/>
        <v>1.6380047803526383E-12</v>
      </c>
      <c r="FI180" s="60">
        <f t="shared" si="131"/>
        <v>293.33333333333496</v>
      </c>
      <c r="FJ180" s="60">
        <f ca="1">AVERAGE(OFFSET($FI$3,0,0,'Données projet'!$E$16+1,1))-AVERAGE(OFFSET($H$3,0,0,'Données projet'!$E$16+1,1))</f>
        <v>255.59755832175625</v>
      </c>
      <c r="FK180" s="60">
        <f t="shared" si="156"/>
        <v>154.0840647586964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0" t="e">
        <f t="shared" si="134"/>
        <v>#N/A</v>
      </c>
      <c r="GE180" s="60" t="e">
        <f ca="1">AVERAGE(OFFSET($GD$3,0,0,'Données projet'!$E$17+1,1))-AVERAGE(OFFSET($H$3,0,0,'Données projet'!$E$17+1,1))</f>
        <v>#N/A</v>
      </c>
      <c r="GF180" s="60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7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0" t="e">
        <f t="shared" si="137"/>
        <v>#N/A</v>
      </c>
      <c r="GZ180" s="60" t="e">
        <f ca="1">AVERAGE(OFFSET($GY$3,0,0,'Données projet'!$E$18+1,1))-AVERAGE(OFFSET($H$3,0,0,'Données projet'!$E$18+1,1))</f>
        <v>#N/A</v>
      </c>
      <c r="HA180" s="60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5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68">
        <f t="shared" si="110"/>
        <v>256.66666666666669</v>
      </c>
      <c r="I181" s="7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0" t="e">
        <f t="shared" si="109"/>
        <v>#NUM!</v>
      </c>
      <c r="S181" s="60">
        <f ca="1">AVERAGE(OFFSET($R$3,0,0,'Données projet'!$E$9+1,1))-AVERAGE(OFFSET($H$3,0,0,'Données projet'!$E$9+1,1))</f>
        <v>64.775385872852041</v>
      </c>
      <c r="T181" s="60">
        <f t="shared" si="142"/>
        <v>201.69061202990468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1.7141687896992721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3.198336110922348E-24</v>
      </c>
      <c r="AC181" s="24">
        <f t="shared" si="163"/>
        <v>1.7141687896992721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-9.7986685432260874E-13</v>
      </c>
      <c r="AK181" s="14" t="e">
        <f t="shared" si="164"/>
        <v>#NUM!</v>
      </c>
      <c r="AL181" s="22" t="e">
        <f t="shared" si="165"/>
        <v>#NUM!</v>
      </c>
      <c r="AM181" s="60" t="e">
        <f t="shared" si="113"/>
        <v>#NUM!</v>
      </c>
      <c r="AN181" s="60">
        <f ca="1">AVERAGE(OFFSET($AM$3,0,0,'Données projet'!$E$10+1,1))-AVERAGE(OFFSET($H$3,0,0,'Données projet'!$E$10+1,1))</f>
        <v>475.47920969424894</v>
      </c>
      <c r="AO181" s="60">
        <f t="shared" si="144"/>
        <v>271.73544012419364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7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6.7984728957526396E-14</v>
      </c>
      <c r="BF181" s="14">
        <f t="shared" si="167"/>
        <v>1.0682447123141398E-12</v>
      </c>
      <c r="BG181" s="22">
        <f t="shared" si="168"/>
        <v>1.978932943548152E-12</v>
      </c>
      <c r="BH181" s="60">
        <f t="shared" si="116"/>
        <v>293.3333333333353</v>
      </c>
      <c r="BI181" s="60">
        <f ca="1">AVERAGE(OFFSET($BH$3,0,0,'Données projet'!$E$11+1,1))-AVERAGE(OFFSET($H$3,0,0,'Données projet'!$E$11+1,1))</f>
        <v>260.02504691866199</v>
      </c>
      <c r="BJ181" s="60">
        <f t="shared" si="146"/>
        <v>270.11268336406368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0.53386772399459648</v>
      </c>
      <c r="BQ181" s="23">
        <f>EXP(-LN(2)/25)*BQ180+(1-EXP(-LN(2)/25))/(LN(2)/25)*Calculateur!BL181*Calculateur!BN181*VLOOKUP('Données projet'!$B$11,Paramètres!$A$1:$I$89,3,0)*0.475*44/12</f>
        <v>0.27145606396684824</v>
      </c>
      <c r="BR181" s="23">
        <f>EXP(-LN(2)/2)*BR180+(1-EXP(-LN(2)/2))/(LN(2)/2)*BL181*BO181*VLOOKUP('Données projet'!$B$11,Paramètres!$A$1:$I$89,3,0)*0.475*44/12</f>
        <v>3.356347378439397E-22</v>
      </c>
      <c r="BS181" s="24">
        <f t="shared" si="169"/>
        <v>0.80532378796144477</v>
      </c>
      <c r="BT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5.1159076974727213E-13</v>
      </c>
      <c r="BZ181" s="14">
        <f>BY181*VLOOKUP('Données projet'!$B$12,Paramètres!$A$1:$I$89,3,0)*VLOOKUP('Données projet'!$B$12,Paramètres!$A$1:$I$89,5,0)</f>
        <v>2.3942448024172334E-13</v>
      </c>
      <c r="CA181" s="14">
        <f t="shared" si="170"/>
        <v>3.2492669905861755E-12</v>
      </c>
      <c r="CB181" s="22">
        <f t="shared" si="171"/>
        <v>6.0761376450252565E-12</v>
      </c>
      <c r="CC181" s="60">
        <f t="shared" si="119"/>
        <v>293.3333333333394</v>
      </c>
      <c r="CD181" s="60">
        <f ca="1">AVERAGE(OFFSET($CC$3,0,0,'Données projet'!$E$12+1,1))-AVERAGE(OFFSET($H$3,0,0,'Données projet'!$E$12+1,1))</f>
        <v>246.72166704460847</v>
      </c>
      <c r="CE181" s="60">
        <f t="shared" si="148"/>
        <v>145.54897745089966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-9.6633812063373625E-13</v>
      </c>
      <c r="CU181" s="18">
        <f>CT181*VLOOKUP('Données projet'!$B$13,Paramètres!$A$1:$I$89,3,0)*VLOOKUP('Données projet'!$B$13,Paramètres!$A$1:$I$89,5,0)</f>
        <v>-8.7434273154940449E-13</v>
      </c>
      <c r="CV181" s="14" t="e">
        <f t="shared" si="173"/>
        <v>#NUM!</v>
      </c>
      <c r="CW181" s="22" t="e">
        <f t="shared" si="174"/>
        <v>#NUM!</v>
      </c>
      <c r="CX181" s="60" t="e">
        <f t="shared" si="122"/>
        <v>#NUM!</v>
      </c>
      <c r="CY181" s="60">
        <f ca="1">AVERAGE(OFFSET($CX$3,0,0,'Données projet'!$E$13+1,1))-AVERAGE(OFFSET($H$3,0,0,'Données projet'!$E$13+1,1))</f>
        <v>428.8489304403459</v>
      </c>
      <c r="CZ181" s="60">
        <f t="shared" si="150"/>
        <v>247.01165577562966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-5.1159076974727213E-13</v>
      </c>
      <c r="DP181" s="18">
        <f>DO181*VLOOKUP('Données projet'!$B$14,Paramètres!$A$1:$I$89,3,0)*VLOOKUP('Données projet'!$B$14,Paramètres!$A$1:$I$89,5,0)</f>
        <v>-5.3471467253984886E-13</v>
      </c>
      <c r="DQ181" s="14" t="e">
        <f t="shared" si="176"/>
        <v>#NUM!</v>
      </c>
      <c r="DR181" s="22" t="e">
        <f t="shared" si="177"/>
        <v>#NUM!</v>
      </c>
      <c r="DS181" s="60" t="e">
        <f t="shared" si="125"/>
        <v>#NUM!</v>
      </c>
      <c r="DT181" s="60">
        <f ca="1">AVERAGE(OFFSET($DS$3,0,0,'Données projet'!$E$14+1,1))-AVERAGE(OFFSET($H$3,0,0,'Données projet'!$E$14+1,1))</f>
        <v>493.70175665335978</v>
      </c>
      <c r="DU181" s="60">
        <f t="shared" si="152"/>
        <v>325.12357781685949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-1.9895196601282805E-13</v>
      </c>
      <c r="EK181" s="18">
        <f>EJ181*VLOOKUP('Données projet'!$B$15,Paramètres!$A$1:$I$89,3,0)*VLOOKUP('Données projet'!$B$15,Paramètres!$A$1:$I$89,5,0)</f>
        <v>-1.6138983482960614E-13</v>
      </c>
      <c r="EL181" s="14" t="e">
        <f t="shared" si="179"/>
        <v>#NUM!</v>
      </c>
      <c r="EM181" s="22" t="e">
        <f t="shared" si="180"/>
        <v>#NUM!</v>
      </c>
      <c r="EN181" s="60" t="e">
        <f t="shared" si="128"/>
        <v>#NUM!</v>
      </c>
      <c r="EO181" s="60">
        <f ca="1">AVERAGE(OFFSET($EN$3,0,0,'Données projet'!$E$15+1,1))-AVERAGE(OFFSET($H$3,0,0,'Données projet'!$E$15+1,1))</f>
        <v>236.22643401787644</v>
      </c>
      <c r="EP181" s="60">
        <f t="shared" si="154"/>
        <v>188.80444043778022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5.4978954722173515E-14</v>
      </c>
      <c r="FG181" s="14">
        <f t="shared" si="182"/>
        <v>8.8550225887742724E-13</v>
      </c>
      <c r="FH181" s="22">
        <f t="shared" si="183"/>
        <v>1.6380047803526383E-12</v>
      </c>
      <c r="FI181" s="60">
        <f t="shared" si="131"/>
        <v>293.33333333333496</v>
      </c>
      <c r="FJ181" s="60">
        <f ca="1">AVERAGE(OFFSET($FI$3,0,0,'Données projet'!$E$16+1,1))-AVERAGE(OFFSET($H$3,0,0,'Données projet'!$E$16+1,1))</f>
        <v>255.59755832175625</v>
      </c>
      <c r="FK181" s="60">
        <f t="shared" si="156"/>
        <v>154.0840647586964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0" t="e">
        <f t="shared" si="134"/>
        <v>#N/A</v>
      </c>
      <c r="GE181" s="60" t="e">
        <f ca="1">AVERAGE(OFFSET($GD$3,0,0,'Données projet'!$E$17+1,1))-AVERAGE(OFFSET($H$3,0,0,'Données projet'!$E$17+1,1))</f>
        <v>#N/A</v>
      </c>
      <c r="GF181" s="60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7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0" t="e">
        <f t="shared" si="137"/>
        <v>#N/A</v>
      </c>
      <c r="GZ181" s="60" t="e">
        <f ca="1">AVERAGE(OFFSET($GY$3,0,0,'Données projet'!$E$18+1,1))-AVERAGE(OFFSET($H$3,0,0,'Données projet'!$E$18+1,1))</f>
        <v>#N/A</v>
      </c>
      <c r="HA181" s="60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5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68">
        <f t="shared" si="110"/>
        <v>256.66666666666669</v>
      </c>
      <c r="I182" s="7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0" t="e">
        <f t="shared" si="109"/>
        <v>#NUM!</v>
      </c>
      <c r="S182" s="60">
        <f ca="1">AVERAGE(OFFSET($R$3,0,0,'Données projet'!$E$9+1,1))-AVERAGE(OFFSET($H$3,0,0,'Données projet'!$E$9+1,1))</f>
        <v>64.775385872852041</v>
      </c>
      <c r="T182" s="60">
        <f t="shared" si="142"/>
        <v>201.69061202990468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1.6805549852729926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2.2615651525470021E-24</v>
      </c>
      <c r="AC182" s="24">
        <f t="shared" si="163"/>
        <v>1.6805549852729926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-9.7986685432260874E-13</v>
      </c>
      <c r="AK182" s="14" t="e">
        <f t="shared" si="164"/>
        <v>#NUM!</v>
      </c>
      <c r="AL182" s="22" t="e">
        <f t="shared" si="165"/>
        <v>#NUM!</v>
      </c>
      <c r="AM182" s="60" t="e">
        <f t="shared" si="113"/>
        <v>#NUM!</v>
      </c>
      <c r="AN182" s="60">
        <f ca="1">AVERAGE(OFFSET($AM$3,0,0,'Données projet'!$E$10+1,1))-AVERAGE(OFFSET($H$3,0,0,'Données projet'!$E$10+1,1))</f>
        <v>475.47920969424894</v>
      </c>
      <c r="AO182" s="60">
        <f t="shared" si="144"/>
        <v>271.73544012419364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7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6.7984728957526396E-14</v>
      </c>
      <c r="BF182" s="14">
        <f t="shared" si="167"/>
        <v>1.0682447123141398E-12</v>
      </c>
      <c r="BG182" s="22">
        <f t="shared" si="168"/>
        <v>1.978932943548152E-12</v>
      </c>
      <c r="BH182" s="60">
        <f t="shared" si="116"/>
        <v>293.3333333333353</v>
      </c>
      <c r="BI182" s="60">
        <f ca="1">AVERAGE(OFFSET($BH$3,0,0,'Données projet'!$E$11+1,1))-AVERAGE(OFFSET($H$3,0,0,'Données projet'!$E$11+1,1))</f>
        <v>260.02504691866199</v>
      </c>
      <c r="BJ182" s="60">
        <f t="shared" si="146"/>
        <v>270.11268336406368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0.52339890355422103</v>
      </c>
      <c r="BQ182" s="23">
        <f>EXP(-LN(2)/25)*BQ181+(1-EXP(-LN(2)/25))/(LN(2)/25)*Calculateur!BL182*Calculateur!BN182*VLOOKUP('Données projet'!$B$11,Paramètres!$A$1:$I$89,3,0)*0.475*44/12</f>
        <v>0.26403308362242078</v>
      </c>
      <c r="BR182" s="23">
        <f>EXP(-LN(2)/2)*BR181+(1-EXP(-LN(2)/2))/(LN(2)/2)*BL182*BO182*VLOOKUP('Données projet'!$B$11,Paramètres!$A$1:$I$89,3,0)*0.475*44/12</f>
        <v>2.3732959913121891E-22</v>
      </c>
      <c r="BS182" s="24">
        <f t="shared" si="169"/>
        <v>0.78743198717664176</v>
      </c>
      <c r="BT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5.1159076974727213E-13</v>
      </c>
      <c r="BZ182" s="14">
        <f>BY182*VLOOKUP('Données projet'!$B$12,Paramètres!$A$1:$I$89,3,0)*VLOOKUP('Données projet'!$B$12,Paramètres!$A$1:$I$89,5,0)</f>
        <v>2.3942448024172334E-13</v>
      </c>
      <c r="CA182" s="14">
        <f t="shared" si="170"/>
        <v>3.2492669905861755E-12</v>
      </c>
      <c r="CB182" s="22">
        <f t="shared" si="171"/>
        <v>6.0761376450252565E-12</v>
      </c>
      <c r="CC182" s="60">
        <f t="shared" si="119"/>
        <v>293.3333333333394</v>
      </c>
      <c r="CD182" s="60">
        <f ca="1">AVERAGE(OFFSET($CC$3,0,0,'Données projet'!$E$12+1,1))-AVERAGE(OFFSET($H$3,0,0,'Données projet'!$E$12+1,1))</f>
        <v>246.72166704460847</v>
      </c>
      <c r="CE182" s="60">
        <f t="shared" si="148"/>
        <v>145.54897745089966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-9.6633812063373625E-13</v>
      </c>
      <c r="CU182" s="18">
        <f>CT182*VLOOKUP('Données projet'!$B$13,Paramètres!$A$1:$I$89,3,0)*VLOOKUP('Données projet'!$B$13,Paramètres!$A$1:$I$89,5,0)</f>
        <v>-8.7434273154940449E-13</v>
      </c>
      <c r="CV182" s="14" t="e">
        <f t="shared" si="173"/>
        <v>#NUM!</v>
      </c>
      <c r="CW182" s="22" t="e">
        <f t="shared" si="174"/>
        <v>#NUM!</v>
      </c>
      <c r="CX182" s="60" t="e">
        <f t="shared" si="122"/>
        <v>#NUM!</v>
      </c>
      <c r="CY182" s="60">
        <f ca="1">AVERAGE(OFFSET($CX$3,0,0,'Données projet'!$E$13+1,1))-AVERAGE(OFFSET($H$3,0,0,'Données projet'!$E$13+1,1))</f>
        <v>428.8489304403459</v>
      </c>
      <c r="CZ182" s="60">
        <f t="shared" si="150"/>
        <v>247.01165577562966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-5.1159076974727213E-13</v>
      </c>
      <c r="DP182" s="18">
        <f>DO182*VLOOKUP('Données projet'!$B$14,Paramètres!$A$1:$I$89,3,0)*VLOOKUP('Données projet'!$B$14,Paramètres!$A$1:$I$89,5,0)</f>
        <v>-5.3471467253984886E-13</v>
      </c>
      <c r="DQ182" s="14" t="e">
        <f t="shared" si="176"/>
        <v>#NUM!</v>
      </c>
      <c r="DR182" s="22" t="e">
        <f t="shared" si="177"/>
        <v>#NUM!</v>
      </c>
      <c r="DS182" s="60" t="e">
        <f t="shared" si="125"/>
        <v>#NUM!</v>
      </c>
      <c r="DT182" s="60">
        <f ca="1">AVERAGE(OFFSET($DS$3,0,0,'Données projet'!$E$14+1,1))-AVERAGE(OFFSET($H$3,0,0,'Données projet'!$E$14+1,1))</f>
        <v>493.70175665335978</v>
      </c>
      <c r="DU182" s="60">
        <f t="shared" si="152"/>
        <v>325.12357781685949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-1.9895196601282805E-13</v>
      </c>
      <c r="EK182" s="18">
        <f>EJ182*VLOOKUP('Données projet'!$B$15,Paramètres!$A$1:$I$89,3,0)*VLOOKUP('Données projet'!$B$15,Paramètres!$A$1:$I$89,5,0)</f>
        <v>-1.6138983482960614E-13</v>
      </c>
      <c r="EL182" s="14" t="e">
        <f t="shared" si="179"/>
        <v>#NUM!</v>
      </c>
      <c r="EM182" s="22" t="e">
        <f t="shared" si="180"/>
        <v>#NUM!</v>
      </c>
      <c r="EN182" s="60" t="e">
        <f t="shared" si="128"/>
        <v>#NUM!</v>
      </c>
      <c r="EO182" s="60">
        <f ca="1">AVERAGE(OFFSET($EN$3,0,0,'Données projet'!$E$15+1,1))-AVERAGE(OFFSET($H$3,0,0,'Données projet'!$E$15+1,1))</f>
        <v>236.22643401787644</v>
      </c>
      <c r="EP182" s="60">
        <f t="shared" si="154"/>
        <v>188.80444043778022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5.4978954722173515E-14</v>
      </c>
      <c r="FG182" s="14">
        <f t="shared" si="182"/>
        <v>8.8550225887742724E-13</v>
      </c>
      <c r="FH182" s="22">
        <f t="shared" si="183"/>
        <v>1.6380047803526383E-12</v>
      </c>
      <c r="FI182" s="60">
        <f t="shared" si="131"/>
        <v>293.33333333333496</v>
      </c>
      <c r="FJ182" s="60">
        <f ca="1">AVERAGE(OFFSET($FI$3,0,0,'Données projet'!$E$16+1,1))-AVERAGE(OFFSET($H$3,0,0,'Données projet'!$E$16+1,1))</f>
        <v>255.59755832175625</v>
      </c>
      <c r="FK182" s="60">
        <f t="shared" si="156"/>
        <v>154.0840647586964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0" t="e">
        <f t="shared" si="134"/>
        <v>#N/A</v>
      </c>
      <c r="GE182" s="60" t="e">
        <f ca="1">AVERAGE(OFFSET($GD$3,0,0,'Données projet'!$E$17+1,1))-AVERAGE(OFFSET($H$3,0,0,'Données projet'!$E$17+1,1))</f>
        <v>#N/A</v>
      </c>
      <c r="GF182" s="60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7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0" t="e">
        <f t="shared" si="137"/>
        <v>#N/A</v>
      </c>
      <c r="GZ182" s="60" t="e">
        <f ca="1">AVERAGE(OFFSET($GY$3,0,0,'Données projet'!$E$18+1,1))-AVERAGE(OFFSET($H$3,0,0,'Données projet'!$E$18+1,1))</f>
        <v>#N/A</v>
      </c>
      <c r="HA182" s="60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5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68">
        <f t="shared" si="110"/>
        <v>256.66666666666669</v>
      </c>
      <c r="I183" s="7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0" t="e">
        <f t="shared" si="109"/>
        <v>#NUM!</v>
      </c>
      <c r="S183" s="60">
        <f ca="1">AVERAGE(OFFSET($R$3,0,0,'Données projet'!$E$9+1,1))-AVERAGE(OFFSET($H$3,0,0,'Données projet'!$E$9+1,1))</f>
        <v>64.775385872852041</v>
      </c>
      <c r="T183" s="60">
        <f t="shared" si="142"/>
        <v>201.69061202990468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1.6476003270491162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1.599168055461174E-24</v>
      </c>
      <c r="AC183" s="24">
        <f t="shared" si="163"/>
        <v>1.6476003270491162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-9.7986685432260874E-13</v>
      </c>
      <c r="AK183" s="14" t="e">
        <f t="shared" si="164"/>
        <v>#NUM!</v>
      </c>
      <c r="AL183" s="22" t="e">
        <f t="shared" si="165"/>
        <v>#NUM!</v>
      </c>
      <c r="AM183" s="60" t="e">
        <f t="shared" si="113"/>
        <v>#NUM!</v>
      </c>
      <c r="AN183" s="60">
        <f ca="1">AVERAGE(OFFSET($AM$3,0,0,'Données projet'!$E$10+1,1))-AVERAGE(OFFSET($H$3,0,0,'Données projet'!$E$10+1,1))</f>
        <v>475.47920969424894</v>
      </c>
      <c r="AO183" s="60">
        <f t="shared" si="144"/>
        <v>271.73544012419364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7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6.7984728957526396E-14</v>
      </c>
      <c r="BF183" s="14">
        <f t="shared" si="167"/>
        <v>1.0682447123141398E-12</v>
      </c>
      <c r="BG183" s="22">
        <f t="shared" si="168"/>
        <v>1.978932943548152E-12</v>
      </c>
      <c r="BH183" s="60">
        <f t="shared" si="116"/>
        <v>293.3333333333353</v>
      </c>
      <c r="BI183" s="60">
        <f ca="1">AVERAGE(OFFSET($BH$3,0,0,'Données projet'!$E$11+1,1))-AVERAGE(OFFSET($H$3,0,0,'Données projet'!$E$11+1,1))</f>
        <v>260.02504691866199</v>
      </c>
      <c r="BJ183" s="60">
        <f t="shared" si="146"/>
        <v>270.11268336406368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0.51313537029733136</v>
      </c>
      <c r="BQ183" s="23">
        <f>EXP(-LN(2)/25)*BQ182+(1-EXP(-LN(2)/25))/(LN(2)/25)*Calculateur!BL183*Calculateur!BN183*VLOOKUP('Données projet'!$B$11,Paramètres!$A$1:$I$89,3,0)*0.475*44/12</f>
        <v>0.25681308506586925</v>
      </c>
      <c r="BR183" s="23">
        <f>EXP(-LN(2)/2)*BR182+(1-EXP(-LN(2)/2))/(LN(2)/2)*BL183*BO183*VLOOKUP('Données projet'!$B$11,Paramètres!$A$1:$I$89,3,0)*0.475*44/12</f>
        <v>1.6781736892196985E-22</v>
      </c>
      <c r="BS183" s="24">
        <f t="shared" si="169"/>
        <v>0.76994845536320056</v>
      </c>
      <c r="BT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5.1159076974727213E-13</v>
      </c>
      <c r="BZ183" s="14">
        <f>BY183*VLOOKUP('Données projet'!$B$12,Paramètres!$A$1:$I$89,3,0)*VLOOKUP('Données projet'!$B$12,Paramètres!$A$1:$I$89,5,0)</f>
        <v>2.3942448024172334E-13</v>
      </c>
      <c r="CA183" s="14">
        <f t="shared" si="170"/>
        <v>3.2492669905861755E-12</v>
      </c>
      <c r="CB183" s="22">
        <f t="shared" si="171"/>
        <v>6.0761376450252565E-12</v>
      </c>
      <c r="CC183" s="60">
        <f t="shared" si="119"/>
        <v>293.3333333333394</v>
      </c>
      <c r="CD183" s="60">
        <f ca="1">AVERAGE(OFFSET($CC$3,0,0,'Données projet'!$E$12+1,1))-AVERAGE(OFFSET($H$3,0,0,'Données projet'!$E$12+1,1))</f>
        <v>246.72166704460847</v>
      </c>
      <c r="CE183" s="60">
        <f t="shared" si="148"/>
        <v>145.54897745089966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-9.6633812063373625E-13</v>
      </c>
      <c r="CU183" s="18">
        <f>CT183*VLOOKUP('Données projet'!$B$13,Paramètres!$A$1:$I$89,3,0)*VLOOKUP('Données projet'!$B$13,Paramètres!$A$1:$I$89,5,0)</f>
        <v>-8.7434273154940449E-13</v>
      </c>
      <c r="CV183" s="14" t="e">
        <f t="shared" si="173"/>
        <v>#NUM!</v>
      </c>
      <c r="CW183" s="22" t="e">
        <f t="shared" si="174"/>
        <v>#NUM!</v>
      </c>
      <c r="CX183" s="60" t="e">
        <f t="shared" si="122"/>
        <v>#NUM!</v>
      </c>
      <c r="CY183" s="60">
        <f ca="1">AVERAGE(OFFSET($CX$3,0,0,'Données projet'!$E$13+1,1))-AVERAGE(OFFSET($H$3,0,0,'Données projet'!$E$13+1,1))</f>
        <v>428.8489304403459</v>
      </c>
      <c r="CZ183" s="60">
        <f t="shared" si="150"/>
        <v>247.01165577562966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-5.1159076974727213E-13</v>
      </c>
      <c r="DP183" s="18">
        <f>DO183*VLOOKUP('Données projet'!$B$14,Paramètres!$A$1:$I$89,3,0)*VLOOKUP('Données projet'!$B$14,Paramètres!$A$1:$I$89,5,0)</f>
        <v>-5.3471467253984886E-13</v>
      </c>
      <c r="DQ183" s="14" t="e">
        <f t="shared" si="176"/>
        <v>#NUM!</v>
      </c>
      <c r="DR183" s="22" t="e">
        <f t="shared" si="177"/>
        <v>#NUM!</v>
      </c>
      <c r="DS183" s="60" t="e">
        <f t="shared" si="125"/>
        <v>#NUM!</v>
      </c>
      <c r="DT183" s="60">
        <f ca="1">AVERAGE(OFFSET($DS$3,0,0,'Données projet'!$E$14+1,1))-AVERAGE(OFFSET($H$3,0,0,'Données projet'!$E$14+1,1))</f>
        <v>493.70175665335978</v>
      </c>
      <c r="DU183" s="60">
        <f t="shared" si="152"/>
        <v>325.12357781685949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-1.9895196601282805E-13</v>
      </c>
      <c r="EK183" s="18">
        <f>EJ183*VLOOKUP('Données projet'!$B$15,Paramètres!$A$1:$I$89,3,0)*VLOOKUP('Données projet'!$B$15,Paramètres!$A$1:$I$89,5,0)</f>
        <v>-1.6138983482960614E-13</v>
      </c>
      <c r="EL183" s="14" t="e">
        <f t="shared" si="179"/>
        <v>#NUM!</v>
      </c>
      <c r="EM183" s="22" t="e">
        <f t="shared" si="180"/>
        <v>#NUM!</v>
      </c>
      <c r="EN183" s="60" t="e">
        <f t="shared" si="128"/>
        <v>#NUM!</v>
      </c>
      <c r="EO183" s="60">
        <f ca="1">AVERAGE(OFFSET($EN$3,0,0,'Données projet'!$E$15+1,1))-AVERAGE(OFFSET($H$3,0,0,'Données projet'!$E$15+1,1))</f>
        <v>236.22643401787644</v>
      </c>
      <c r="EP183" s="60">
        <f t="shared" si="154"/>
        <v>188.80444043778022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5.4978954722173515E-14</v>
      </c>
      <c r="FG183" s="14">
        <f t="shared" si="182"/>
        <v>8.8550225887742724E-13</v>
      </c>
      <c r="FH183" s="22">
        <f t="shared" si="183"/>
        <v>1.6380047803526383E-12</v>
      </c>
      <c r="FI183" s="60">
        <f t="shared" si="131"/>
        <v>293.33333333333496</v>
      </c>
      <c r="FJ183" s="60">
        <f ca="1">AVERAGE(OFFSET($FI$3,0,0,'Données projet'!$E$16+1,1))-AVERAGE(OFFSET($H$3,0,0,'Données projet'!$E$16+1,1))</f>
        <v>255.59755832175625</v>
      </c>
      <c r="FK183" s="60">
        <f t="shared" si="156"/>
        <v>154.0840647586964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0" t="e">
        <f t="shared" si="134"/>
        <v>#N/A</v>
      </c>
      <c r="GE183" s="60" t="e">
        <f ca="1">AVERAGE(OFFSET($GD$3,0,0,'Données projet'!$E$17+1,1))-AVERAGE(OFFSET($H$3,0,0,'Données projet'!$E$17+1,1))</f>
        <v>#N/A</v>
      </c>
      <c r="GF183" s="60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7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0" t="e">
        <f t="shared" si="137"/>
        <v>#N/A</v>
      </c>
      <c r="GZ183" s="60" t="e">
        <f ca="1">AVERAGE(OFFSET($GY$3,0,0,'Données projet'!$E$18+1,1))-AVERAGE(OFFSET($H$3,0,0,'Données projet'!$E$18+1,1))</f>
        <v>#N/A</v>
      </c>
      <c r="HA183" s="60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5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68">
        <f t="shared" si="110"/>
        <v>256.66666666666669</v>
      </c>
      <c r="I184" s="7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0" t="e">
        <f t="shared" si="109"/>
        <v>#NUM!</v>
      </c>
      <c r="S184" s="60">
        <f ca="1">AVERAGE(OFFSET($R$3,0,0,'Données projet'!$E$9+1,1))-AVERAGE(OFFSET($H$3,0,0,'Données projet'!$E$9+1,1))</f>
        <v>64.775385872852041</v>
      </c>
      <c r="T184" s="60">
        <f t="shared" si="142"/>
        <v>201.69061202990468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1.6152918895726531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1.130782576273501E-24</v>
      </c>
      <c r="AC184" s="24">
        <f t="shared" si="163"/>
        <v>1.6152918895726531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-9.7986685432260874E-13</v>
      </c>
      <c r="AK184" s="14" t="e">
        <f t="shared" si="164"/>
        <v>#NUM!</v>
      </c>
      <c r="AL184" s="22" t="e">
        <f t="shared" si="165"/>
        <v>#NUM!</v>
      </c>
      <c r="AM184" s="60" t="e">
        <f t="shared" si="113"/>
        <v>#NUM!</v>
      </c>
      <c r="AN184" s="60">
        <f ca="1">AVERAGE(OFFSET($AM$3,0,0,'Données projet'!$E$10+1,1))-AVERAGE(OFFSET($H$3,0,0,'Données projet'!$E$10+1,1))</f>
        <v>475.47920969424894</v>
      </c>
      <c r="AO184" s="60">
        <f t="shared" si="144"/>
        <v>271.73544012419364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7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6.7984728957526396E-14</v>
      </c>
      <c r="BF184" s="14">
        <f t="shared" si="167"/>
        <v>1.0682447123141398E-12</v>
      </c>
      <c r="BG184" s="22">
        <f t="shared" si="168"/>
        <v>1.978932943548152E-12</v>
      </c>
      <c r="BH184" s="60">
        <f t="shared" si="116"/>
        <v>293.3333333333353</v>
      </c>
      <c r="BI184" s="60">
        <f ca="1">AVERAGE(OFFSET($BH$3,0,0,'Données projet'!$E$11+1,1))-AVERAGE(OFFSET($H$3,0,0,'Données projet'!$E$11+1,1))</f>
        <v>260.02504691866199</v>
      </c>
      <c r="BJ184" s="60">
        <f t="shared" si="146"/>
        <v>270.11268336406368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0.50307309866747218</v>
      </c>
      <c r="BQ184" s="23">
        <f>EXP(-LN(2)/25)*BQ183+(1-EXP(-LN(2)/25))/(LN(2)/25)*Calculateur!BL184*Calculateur!BN184*VLOOKUP('Données projet'!$B$11,Paramètres!$A$1:$I$89,3,0)*0.475*44/12</f>
        <v>0.24979051774952987</v>
      </c>
      <c r="BR184" s="23">
        <f>EXP(-LN(2)/2)*BR183+(1-EXP(-LN(2)/2))/(LN(2)/2)*BL184*BO184*VLOOKUP('Données projet'!$B$11,Paramètres!$A$1:$I$89,3,0)*0.475*44/12</f>
        <v>1.1866479956560946E-22</v>
      </c>
      <c r="BS184" s="24">
        <f t="shared" si="169"/>
        <v>0.75286361641700206</v>
      </c>
      <c r="BT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5.1159076974727213E-13</v>
      </c>
      <c r="BZ184" s="14">
        <f>BY184*VLOOKUP('Données projet'!$B$12,Paramètres!$A$1:$I$89,3,0)*VLOOKUP('Données projet'!$B$12,Paramètres!$A$1:$I$89,5,0)</f>
        <v>2.3942448024172334E-13</v>
      </c>
      <c r="CA184" s="14">
        <f t="shared" si="170"/>
        <v>3.2492669905861755E-12</v>
      </c>
      <c r="CB184" s="22">
        <f t="shared" si="171"/>
        <v>6.0761376450252565E-12</v>
      </c>
      <c r="CC184" s="60">
        <f t="shared" si="119"/>
        <v>293.3333333333394</v>
      </c>
      <c r="CD184" s="60">
        <f ca="1">AVERAGE(OFFSET($CC$3,0,0,'Données projet'!$E$12+1,1))-AVERAGE(OFFSET($H$3,0,0,'Données projet'!$E$12+1,1))</f>
        <v>246.72166704460847</v>
      </c>
      <c r="CE184" s="60">
        <f t="shared" si="148"/>
        <v>145.54897745089966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-9.6633812063373625E-13</v>
      </c>
      <c r="CU184" s="18">
        <f>CT184*VLOOKUP('Données projet'!$B$13,Paramètres!$A$1:$I$89,3,0)*VLOOKUP('Données projet'!$B$13,Paramètres!$A$1:$I$89,5,0)</f>
        <v>-8.7434273154940449E-13</v>
      </c>
      <c r="CV184" s="14" t="e">
        <f t="shared" si="173"/>
        <v>#NUM!</v>
      </c>
      <c r="CW184" s="22" t="e">
        <f t="shared" si="174"/>
        <v>#NUM!</v>
      </c>
      <c r="CX184" s="60" t="e">
        <f t="shared" si="122"/>
        <v>#NUM!</v>
      </c>
      <c r="CY184" s="60">
        <f ca="1">AVERAGE(OFFSET($CX$3,0,0,'Données projet'!$E$13+1,1))-AVERAGE(OFFSET($H$3,0,0,'Données projet'!$E$13+1,1))</f>
        <v>428.8489304403459</v>
      </c>
      <c r="CZ184" s="60">
        <f t="shared" si="150"/>
        <v>247.01165577562966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-5.1159076974727213E-13</v>
      </c>
      <c r="DP184" s="18">
        <f>DO184*VLOOKUP('Données projet'!$B$14,Paramètres!$A$1:$I$89,3,0)*VLOOKUP('Données projet'!$B$14,Paramètres!$A$1:$I$89,5,0)</f>
        <v>-5.3471467253984886E-13</v>
      </c>
      <c r="DQ184" s="14" t="e">
        <f t="shared" si="176"/>
        <v>#NUM!</v>
      </c>
      <c r="DR184" s="22" t="e">
        <f t="shared" si="177"/>
        <v>#NUM!</v>
      </c>
      <c r="DS184" s="60" t="e">
        <f t="shared" si="125"/>
        <v>#NUM!</v>
      </c>
      <c r="DT184" s="60">
        <f ca="1">AVERAGE(OFFSET($DS$3,0,0,'Données projet'!$E$14+1,1))-AVERAGE(OFFSET($H$3,0,0,'Données projet'!$E$14+1,1))</f>
        <v>493.70175665335978</v>
      </c>
      <c r="DU184" s="60">
        <f t="shared" si="152"/>
        <v>325.12357781685949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-1.9895196601282805E-13</v>
      </c>
      <c r="EK184" s="18">
        <f>EJ184*VLOOKUP('Données projet'!$B$15,Paramètres!$A$1:$I$89,3,0)*VLOOKUP('Données projet'!$B$15,Paramètres!$A$1:$I$89,5,0)</f>
        <v>-1.6138983482960614E-13</v>
      </c>
      <c r="EL184" s="14" t="e">
        <f t="shared" si="179"/>
        <v>#NUM!</v>
      </c>
      <c r="EM184" s="22" t="e">
        <f t="shared" si="180"/>
        <v>#NUM!</v>
      </c>
      <c r="EN184" s="60" t="e">
        <f t="shared" si="128"/>
        <v>#NUM!</v>
      </c>
      <c r="EO184" s="60">
        <f ca="1">AVERAGE(OFFSET($EN$3,0,0,'Données projet'!$E$15+1,1))-AVERAGE(OFFSET($H$3,0,0,'Données projet'!$E$15+1,1))</f>
        <v>236.22643401787644</v>
      </c>
      <c r="EP184" s="60">
        <f t="shared" si="154"/>
        <v>188.80444043778022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5.4978954722173515E-14</v>
      </c>
      <c r="FG184" s="14">
        <f t="shared" si="182"/>
        <v>8.8550225887742724E-13</v>
      </c>
      <c r="FH184" s="22">
        <f t="shared" si="183"/>
        <v>1.6380047803526383E-12</v>
      </c>
      <c r="FI184" s="60">
        <f t="shared" si="131"/>
        <v>293.33333333333496</v>
      </c>
      <c r="FJ184" s="60">
        <f ca="1">AVERAGE(OFFSET($FI$3,0,0,'Données projet'!$E$16+1,1))-AVERAGE(OFFSET($H$3,0,0,'Données projet'!$E$16+1,1))</f>
        <v>255.59755832175625</v>
      </c>
      <c r="FK184" s="60">
        <f t="shared" si="156"/>
        <v>154.0840647586964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0" t="e">
        <f t="shared" si="134"/>
        <v>#N/A</v>
      </c>
      <c r="GE184" s="60" t="e">
        <f ca="1">AVERAGE(OFFSET($GD$3,0,0,'Données projet'!$E$17+1,1))-AVERAGE(OFFSET($H$3,0,0,'Données projet'!$E$17+1,1))</f>
        <v>#N/A</v>
      </c>
      <c r="GF184" s="60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7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0" t="e">
        <f t="shared" si="137"/>
        <v>#N/A</v>
      </c>
      <c r="GZ184" s="60" t="e">
        <f ca="1">AVERAGE(OFFSET($GY$3,0,0,'Données projet'!$E$18+1,1))-AVERAGE(OFFSET($H$3,0,0,'Données projet'!$E$18+1,1))</f>
        <v>#N/A</v>
      </c>
      <c r="HA184" s="60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5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68">
        <f t="shared" si="110"/>
        <v>256.66666666666669</v>
      </c>
      <c r="I185" s="7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0" t="e">
        <f t="shared" si="109"/>
        <v>#NUM!</v>
      </c>
      <c r="S185" s="60">
        <f ca="1">AVERAGE(OFFSET($R$3,0,0,'Données projet'!$E$9+1,1))-AVERAGE(OFFSET($H$3,0,0,'Données projet'!$E$9+1,1))</f>
        <v>64.775385872852041</v>
      </c>
      <c r="T185" s="60">
        <f t="shared" si="142"/>
        <v>201.69061202990468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1.5836170008489026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7.9958402773058699E-25</v>
      </c>
      <c r="AC185" s="24">
        <f t="shared" si="163"/>
        <v>1.5836170008489026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-9.7986685432260874E-13</v>
      </c>
      <c r="AK185" s="14" t="e">
        <f t="shared" si="164"/>
        <v>#NUM!</v>
      </c>
      <c r="AL185" s="22" t="e">
        <f t="shared" si="165"/>
        <v>#NUM!</v>
      </c>
      <c r="AM185" s="60" t="e">
        <f t="shared" si="113"/>
        <v>#NUM!</v>
      </c>
      <c r="AN185" s="60">
        <f ca="1">AVERAGE(OFFSET($AM$3,0,0,'Données projet'!$E$10+1,1))-AVERAGE(OFFSET($H$3,0,0,'Données projet'!$E$10+1,1))</f>
        <v>475.47920969424894</v>
      </c>
      <c r="AO185" s="60">
        <f t="shared" si="144"/>
        <v>271.73544012419364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7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6.7984728957526396E-14</v>
      </c>
      <c r="BF185" s="14">
        <f t="shared" si="167"/>
        <v>1.0682447123141398E-12</v>
      </c>
      <c r="BG185" s="22">
        <f t="shared" si="168"/>
        <v>1.978932943548152E-12</v>
      </c>
      <c r="BH185" s="60">
        <f t="shared" si="116"/>
        <v>293.3333333333353</v>
      </c>
      <c r="BI185" s="60">
        <f ca="1">AVERAGE(OFFSET($BH$3,0,0,'Données projet'!$E$11+1,1))-AVERAGE(OFFSET($H$3,0,0,'Données projet'!$E$11+1,1))</f>
        <v>260.02504691866199</v>
      </c>
      <c r="BJ185" s="60">
        <f t="shared" si="146"/>
        <v>270.11268336406368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0.49320814204689489</v>
      </c>
      <c r="BQ185" s="23">
        <f>EXP(-LN(2)/25)*BQ184+(1-EXP(-LN(2)/25))/(LN(2)/25)*Calculateur!BL185*Calculateur!BN185*VLOOKUP('Données projet'!$B$11,Paramètres!$A$1:$I$89,3,0)*0.475*44/12</f>
        <v>0.24295998290575654</v>
      </c>
      <c r="BR185" s="23">
        <f>EXP(-LN(2)/2)*BR184+(1-EXP(-LN(2)/2))/(LN(2)/2)*BL185*BO185*VLOOKUP('Données projet'!$B$11,Paramètres!$A$1:$I$89,3,0)*0.475*44/12</f>
        <v>8.3908684460984925E-23</v>
      </c>
      <c r="BS185" s="24">
        <f t="shared" si="169"/>
        <v>0.73616812495265149</v>
      </c>
      <c r="BT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5.1159076974727213E-13</v>
      </c>
      <c r="BZ185" s="14">
        <f>BY185*VLOOKUP('Données projet'!$B$12,Paramètres!$A$1:$I$89,3,0)*VLOOKUP('Données projet'!$B$12,Paramètres!$A$1:$I$89,5,0)</f>
        <v>2.3942448024172334E-13</v>
      </c>
      <c r="CA185" s="14">
        <f t="shared" si="170"/>
        <v>3.2492669905861755E-12</v>
      </c>
      <c r="CB185" s="22">
        <f t="shared" si="171"/>
        <v>6.0761376450252565E-12</v>
      </c>
      <c r="CC185" s="60">
        <f t="shared" si="119"/>
        <v>293.3333333333394</v>
      </c>
      <c r="CD185" s="60">
        <f ca="1">AVERAGE(OFFSET($CC$3,0,0,'Données projet'!$E$12+1,1))-AVERAGE(OFFSET($H$3,0,0,'Données projet'!$E$12+1,1))</f>
        <v>246.72166704460847</v>
      </c>
      <c r="CE185" s="60">
        <f t="shared" si="148"/>
        <v>145.54897745089966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-9.6633812063373625E-13</v>
      </c>
      <c r="CU185" s="18">
        <f>CT185*VLOOKUP('Données projet'!$B$13,Paramètres!$A$1:$I$89,3,0)*VLOOKUP('Données projet'!$B$13,Paramètres!$A$1:$I$89,5,0)</f>
        <v>-8.7434273154940449E-13</v>
      </c>
      <c r="CV185" s="14" t="e">
        <f t="shared" si="173"/>
        <v>#NUM!</v>
      </c>
      <c r="CW185" s="22" t="e">
        <f t="shared" si="174"/>
        <v>#NUM!</v>
      </c>
      <c r="CX185" s="60" t="e">
        <f t="shared" si="122"/>
        <v>#NUM!</v>
      </c>
      <c r="CY185" s="60">
        <f ca="1">AVERAGE(OFFSET($CX$3,0,0,'Données projet'!$E$13+1,1))-AVERAGE(OFFSET($H$3,0,0,'Données projet'!$E$13+1,1))</f>
        <v>428.8489304403459</v>
      </c>
      <c r="CZ185" s="60">
        <f t="shared" si="150"/>
        <v>247.01165577562966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-5.1159076974727213E-13</v>
      </c>
      <c r="DP185" s="18">
        <f>DO185*VLOOKUP('Données projet'!$B$14,Paramètres!$A$1:$I$89,3,0)*VLOOKUP('Données projet'!$B$14,Paramètres!$A$1:$I$89,5,0)</f>
        <v>-5.3471467253984886E-13</v>
      </c>
      <c r="DQ185" s="14" t="e">
        <f t="shared" si="176"/>
        <v>#NUM!</v>
      </c>
      <c r="DR185" s="22" t="e">
        <f t="shared" si="177"/>
        <v>#NUM!</v>
      </c>
      <c r="DS185" s="60" t="e">
        <f t="shared" si="125"/>
        <v>#NUM!</v>
      </c>
      <c r="DT185" s="60">
        <f ca="1">AVERAGE(OFFSET($DS$3,0,0,'Données projet'!$E$14+1,1))-AVERAGE(OFFSET($H$3,0,0,'Données projet'!$E$14+1,1))</f>
        <v>493.70175665335978</v>
      </c>
      <c r="DU185" s="60">
        <f t="shared" si="152"/>
        <v>325.12357781685949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-1.9895196601282805E-13</v>
      </c>
      <c r="EK185" s="18">
        <f>EJ185*VLOOKUP('Données projet'!$B$15,Paramètres!$A$1:$I$89,3,0)*VLOOKUP('Données projet'!$B$15,Paramètres!$A$1:$I$89,5,0)</f>
        <v>-1.6138983482960614E-13</v>
      </c>
      <c r="EL185" s="14" t="e">
        <f t="shared" si="179"/>
        <v>#NUM!</v>
      </c>
      <c r="EM185" s="22" t="e">
        <f t="shared" si="180"/>
        <v>#NUM!</v>
      </c>
      <c r="EN185" s="60" t="e">
        <f t="shared" si="128"/>
        <v>#NUM!</v>
      </c>
      <c r="EO185" s="60">
        <f ca="1">AVERAGE(OFFSET($EN$3,0,0,'Données projet'!$E$15+1,1))-AVERAGE(OFFSET($H$3,0,0,'Données projet'!$E$15+1,1))</f>
        <v>236.22643401787644</v>
      </c>
      <c r="EP185" s="60">
        <f t="shared" si="154"/>
        <v>188.80444043778022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5.4978954722173515E-14</v>
      </c>
      <c r="FG185" s="14">
        <f t="shared" si="182"/>
        <v>8.8550225887742724E-13</v>
      </c>
      <c r="FH185" s="22">
        <f t="shared" si="183"/>
        <v>1.6380047803526383E-12</v>
      </c>
      <c r="FI185" s="60">
        <f t="shared" si="131"/>
        <v>293.33333333333496</v>
      </c>
      <c r="FJ185" s="60">
        <f ca="1">AVERAGE(OFFSET($FI$3,0,0,'Données projet'!$E$16+1,1))-AVERAGE(OFFSET($H$3,0,0,'Données projet'!$E$16+1,1))</f>
        <v>255.59755832175625</v>
      </c>
      <c r="FK185" s="60">
        <f t="shared" si="156"/>
        <v>154.0840647586964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0" t="e">
        <f t="shared" si="134"/>
        <v>#N/A</v>
      </c>
      <c r="GE185" s="60" t="e">
        <f ca="1">AVERAGE(OFFSET($GD$3,0,0,'Données projet'!$E$17+1,1))-AVERAGE(OFFSET($H$3,0,0,'Données projet'!$E$17+1,1))</f>
        <v>#N/A</v>
      </c>
      <c r="GF185" s="60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7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0" t="e">
        <f t="shared" si="137"/>
        <v>#N/A</v>
      </c>
      <c r="GZ185" s="60" t="e">
        <f ca="1">AVERAGE(OFFSET($GY$3,0,0,'Données projet'!$E$18+1,1))-AVERAGE(OFFSET($H$3,0,0,'Données projet'!$E$18+1,1))</f>
        <v>#N/A</v>
      </c>
      <c r="HA185" s="60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5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68">
        <f t="shared" si="110"/>
        <v>256.66666666666669</v>
      </c>
      <c r="I186" s="7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0" t="e">
        <f t="shared" si="109"/>
        <v>#NUM!</v>
      </c>
      <c r="S186" s="60">
        <f ca="1">AVERAGE(OFFSET($R$3,0,0,'Données projet'!$E$9+1,1))-AVERAGE(OFFSET($H$3,0,0,'Données projet'!$E$9+1,1))</f>
        <v>64.775385872852041</v>
      </c>
      <c r="T186" s="60">
        <f t="shared" si="142"/>
        <v>201.69061202990468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1.5525632373732503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5.6539128813675052E-25</v>
      </c>
      <c r="AC186" s="24">
        <f t="shared" si="163"/>
        <v>1.5525632373732503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-9.7986685432260874E-13</v>
      </c>
      <c r="AK186" s="14" t="e">
        <f t="shared" si="164"/>
        <v>#NUM!</v>
      </c>
      <c r="AL186" s="22" t="e">
        <f t="shared" si="165"/>
        <v>#NUM!</v>
      </c>
      <c r="AM186" s="60" t="e">
        <f t="shared" si="113"/>
        <v>#NUM!</v>
      </c>
      <c r="AN186" s="60">
        <f ca="1">AVERAGE(OFFSET($AM$3,0,0,'Données projet'!$E$10+1,1))-AVERAGE(OFFSET($H$3,0,0,'Données projet'!$E$10+1,1))</f>
        <v>475.47920969424894</v>
      </c>
      <c r="AO186" s="60">
        <f t="shared" si="144"/>
        <v>271.73544012419364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7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6.7984728957526396E-14</v>
      </c>
      <c r="BF186" s="14">
        <f t="shared" si="167"/>
        <v>1.0682447123141398E-12</v>
      </c>
      <c r="BG186" s="22">
        <f t="shared" si="168"/>
        <v>1.978932943548152E-12</v>
      </c>
      <c r="BH186" s="60">
        <f t="shared" si="116"/>
        <v>293.3333333333353</v>
      </c>
      <c r="BI186" s="60">
        <f ca="1">AVERAGE(OFFSET($BH$3,0,0,'Données projet'!$E$11+1,1))-AVERAGE(OFFSET($H$3,0,0,'Données projet'!$E$11+1,1))</f>
        <v>260.02504691866199</v>
      </c>
      <c r="BJ186" s="60">
        <f t="shared" si="146"/>
        <v>270.11268336406368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0.48353663120861773</v>
      </c>
      <c r="BQ186" s="23">
        <f>EXP(-LN(2)/25)*BQ185+(1-EXP(-LN(2)/25))/(LN(2)/25)*Calculateur!BL186*Calculateur!BN186*VLOOKUP('Données projet'!$B$11,Paramètres!$A$1:$I$89,3,0)*0.475*44/12</f>
        <v>0.23631622939648841</v>
      </c>
      <c r="BR186" s="23">
        <f>EXP(-LN(2)/2)*BR185+(1-EXP(-LN(2)/2))/(LN(2)/2)*BL186*BO186*VLOOKUP('Données projet'!$B$11,Paramètres!$A$1:$I$89,3,0)*0.475*44/12</f>
        <v>5.9332399782804728E-23</v>
      </c>
      <c r="BS186" s="24">
        <f t="shared" si="169"/>
        <v>0.71985286060510612</v>
      </c>
      <c r="BT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5.1159076974727213E-13</v>
      </c>
      <c r="BZ186" s="14">
        <f>BY186*VLOOKUP('Données projet'!$B$12,Paramètres!$A$1:$I$89,3,0)*VLOOKUP('Données projet'!$B$12,Paramètres!$A$1:$I$89,5,0)</f>
        <v>2.3942448024172334E-13</v>
      </c>
      <c r="CA186" s="14">
        <f t="shared" si="170"/>
        <v>3.2492669905861755E-12</v>
      </c>
      <c r="CB186" s="22">
        <f t="shared" si="171"/>
        <v>6.0761376450252565E-12</v>
      </c>
      <c r="CC186" s="60">
        <f t="shared" si="119"/>
        <v>293.3333333333394</v>
      </c>
      <c r="CD186" s="60">
        <f ca="1">AVERAGE(OFFSET($CC$3,0,0,'Données projet'!$E$12+1,1))-AVERAGE(OFFSET($H$3,0,0,'Données projet'!$E$12+1,1))</f>
        <v>246.72166704460847</v>
      </c>
      <c r="CE186" s="60">
        <f t="shared" si="148"/>
        <v>145.54897745089966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-9.6633812063373625E-13</v>
      </c>
      <c r="CU186" s="18">
        <f>CT186*VLOOKUP('Données projet'!$B$13,Paramètres!$A$1:$I$89,3,0)*VLOOKUP('Données projet'!$B$13,Paramètres!$A$1:$I$89,5,0)</f>
        <v>-8.7434273154940449E-13</v>
      </c>
      <c r="CV186" s="14" t="e">
        <f t="shared" si="173"/>
        <v>#NUM!</v>
      </c>
      <c r="CW186" s="22" t="e">
        <f t="shared" si="174"/>
        <v>#NUM!</v>
      </c>
      <c r="CX186" s="60" t="e">
        <f t="shared" si="122"/>
        <v>#NUM!</v>
      </c>
      <c r="CY186" s="60">
        <f ca="1">AVERAGE(OFFSET($CX$3,0,0,'Données projet'!$E$13+1,1))-AVERAGE(OFFSET($H$3,0,0,'Données projet'!$E$13+1,1))</f>
        <v>428.8489304403459</v>
      </c>
      <c r="CZ186" s="60">
        <f t="shared" si="150"/>
        <v>247.01165577562966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-5.1159076974727213E-13</v>
      </c>
      <c r="DP186" s="18">
        <f>DO186*VLOOKUP('Données projet'!$B$14,Paramètres!$A$1:$I$89,3,0)*VLOOKUP('Données projet'!$B$14,Paramètres!$A$1:$I$89,5,0)</f>
        <v>-5.3471467253984886E-13</v>
      </c>
      <c r="DQ186" s="14" t="e">
        <f t="shared" si="176"/>
        <v>#NUM!</v>
      </c>
      <c r="DR186" s="22" t="e">
        <f t="shared" si="177"/>
        <v>#NUM!</v>
      </c>
      <c r="DS186" s="60" t="e">
        <f t="shared" si="125"/>
        <v>#NUM!</v>
      </c>
      <c r="DT186" s="60">
        <f ca="1">AVERAGE(OFFSET($DS$3,0,0,'Données projet'!$E$14+1,1))-AVERAGE(OFFSET($H$3,0,0,'Données projet'!$E$14+1,1))</f>
        <v>493.70175665335978</v>
      </c>
      <c r="DU186" s="60">
        <f t="shared" si="152"/>
        <v>325.12357781685949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-1.9895196601282805E-13</v>
      </c>
      <c r="EK186" s="18">
        <f>EJ186*VLOOKUP('Données projet'!$B$15,Paramètres!$A$1:$I$89,3,0)*VLOOKUP('Données projet'!$B$15,Paramètres!$A$1:$I$89,5,0)</f>
        <v>-1.6138983482960614E-13</v>
      </c>
      <c r="EL186" s="14" t="e">
        <f t="shared" si="179"/>
        <v>#NUM!</v>
      </c>
      <c r="EM186" s="22" t="e">
        <f t="shared" si="180"/>
        <v>#NUM!</v>
      </c>
      <c r="EN186" s="60" t="e">
        <f t="shared" si="128"/>
        <v>#NUM!</v>
      </c>
      <c r="EO186" s="60">
        <f ca="1">AVERAGE(OFFSET($EN$3,0,0,'Données projet'!$E$15+1,1))-AVERAGE(OFFSET($H$3,0,0,'Données projet'!$E$15+1,1))</f>
        <v>236.22643401787644</v>
      </c>
      <c r="EP186" s="60">
        <f t="shared" si="154"/>
        <v>188.80444043778022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5.4978954722173515E-14</v>
      </c>
      <c r="FG186" s="14">
        <f t="shared" si="182"/>
        <v>8.8550225887742724E-13</v>
      </c>
      <c r="FH186" s="22">
        <f t="shared" si="183"/>
        <v>1.6380047803526383E-12</v>
      </c>
      <c r="FI186" s="60">
        <f t="shared" si="131"/>
        <v>293.33333333333496</v>
      </c>
      <c r="FJ186" s="60">
        <f ca="1">AVERAGE(OFFSET($FI$3,0,0,'Données projet'!$E$16+1,1))-AVERAGE(OFFSET($H$3,0,0,'Données projet'!$E$16+1,1))</f>
        <v>255.59755832175625</v>
      </c>
      <c r="FK186" s="60">
        <f t="shared" si="156"/>
        <v>154.0840647586964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0" t="e">
        <f t="shared" si="134"/>
        <v>#N/A</v>
      </c>
      <c r="GE186" s="60" t="e">
        <f ca="1">AVERAGE(OFFSET($GD$3,0,0,'Données projet'!$E$17+1,1))-AVERAGE(OFFSET($H$3,0,0,'Données projet'!$E$17+1,1))</f>
        <v>#N/A</v>
      </c>
      <c r="GF186" s="60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7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0" t="e">
        <f t="shared" si="137"/>
        <v>#N/A</v>
      </c>
      <c r="GZ186" s="60" t="e">
        <f ca="1">AVERAGE(OFFSET($GY$3,0,0,'Données projet'!$E$18+1,1))-AVERAGE(OFFSET($H$3,0,0,'Données projet'!$E$18+1,1))</f>
        <v>#N/A</v>
      </c>
      <c r="HA186" s="60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5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68">
        <f t="shared" si="110"/>
        <v>256.66666666666669</v>
      </c>
      <c r="I187" s="7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0" t="e">
        <f t="shared" si="109"/>
        <v>#NUM!</v>
      </c>
      <c r="S187" s="60">
        <f ca="1">AVERAGE(OFFSET($R$3,0,0,'Données projet'!$E$9+1,1))-AVERAGE(OFFSET($H$3,0,0,'Données projet'!$E$9+1,1))</f>
        <v>64.775385872852041</v>
      </c>
      <c r="T187" s="60">
        <f t="shared" si="142"/>
        <v>201.69061202990468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1.5221184192584301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3.997920138652935E-25</v>
      </c>
      <c r="AC187" s="24">
        <f t="shared" si="163"/>
        <v>1.5221184192584301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-9.7986685432260874E-13</v>
      </c>
      <c r="AK187" s="14" t="e">
        <f t="shared" si="164"/>
        <v>#NUM!</v>
      </c>
      <c r="AL187" s="22" t="e">
        <f t="shared" si="165"/>
        <v>#NUM!</v>
      </c>
      <c r="AM187" s="60" t="e">
        <f t="shared" si="113"/>
        <v>#NUM!</v>
      </c>
      <c r="AN187" s="60">
        <f ca="1">AVERAGE(OFFSET($AM$3,0,0,'Données projet'!$E$10+1,1))-AVERAGE(OFFSET($H$3,0,0,'Données projet'!$E$10+1,1))</f>
        <v>475.47920969424894</v>
      </c>
      <c r="AO187" s="60">
        <f t="shared" si="144"/>
        <v>271.73544012419364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7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6.7984728957526396E-14</v>
      </c>
      <c r="BF187" s="14">
        <f t="shared" si="167"/>
        <v>1.0682447123141398E-12</v>
      </c>
      <c r="BG187" s="22">
        <f t="shared" si="168"/>
        <v>1.978932943548152E-12</v>
      </c>
      <c r="BH187" s="60">
        <f t="shared" si="116"/>
        <v>293.3333333333353</v>
      </c>
      <c r="BI187" s="60">
        <f ca="1">AVERAGE(OFFSET($BH$3,0,0,'Données projet'!$E$11+1,1))-AVERAGE(OFFSET($H$3,0,0,'Données projet'!$E$11+1,1))</f>
        <v>260.02504691866199</v>
      </c>
      <c r="BJ187" s="60">
        <f t="shared" si="146"/>
        <v>270.11268336406368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0.47405477279884001</v>
      </c>
      <c r="BQ187" s="23">
        <f>EXP(-LN(2)/25)*BQ186+(1-EXP(-LN(2)/25))/(LN(2)/25)*Calculateur!BL187*Calculateur!BN187*VLOOKUP('Données projet'!$B$11,Paramètres!$A$1:$I$89,3,0)*0.475*44/12</f>
        <v>0.22985414967631104</v>
      </c>
      <c r="BR187" s="23">
        <f>EXP(-LN(2)/2)*BR186+(1-EXP(-LN(2)/2))/(LN(2)/2)*BL187*BO187*VLOOKUP('Données projet'!$B$11,Paramètres!$A$1:$I$89,3,0)*0.475*44/12</f>
        <v>4.1954342230492463E-23</v>
      </c>
      <c r="BS187" s="24">
        <f t="shared" si="169"/>
        <v>0.70390892247515102</v>
      </c>
      <c r="BT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5.1159076974727213E-13</v>
      </c>
      <c r="BZ187" s="14">
        <f>BY187*VLOOKUP('Données projet'!$B$12,Paramètres!$A$1:$I$89,3,0)*VLOOKUP('Données projet'!$B$12,Paramètres!$A$1:$I$89,5,0)</f>
        <v>2.3942448024172334E-13</v>
      </c>
      <c r="CA187" s="14">
        <f t="shared" si="170"/>
        <v>3.2492669905861755E-12</v>
      </c>
      <c r="CB187" s="22">
        <f t="shared" si="171"/>
        <v>6.0761376450252565E-12</v>
      </c>
      <c r="CC187" s="60">
        <f t="shared" si="119"/>
        <v>293.3333333333394</v>
      </c>
      <c r="CD187" s="60">
        <f ca="1">AVERAGE(OFFSET($CC$3,0,0,'Données projet'!$E$12+1,1))-AVERAGE(OFFSET($H$3,0,0,'Données projet'!$E$12+1,1))</f>
        <v>246.72166704460847</v>
      </c>
      <c r="CE187" s="60">
        <f t="shared" si="148"/>
        <v>145.54897745089966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-9.6633812063373625E-13</v>
      </c>
      <c r="CU187" s="18">
        <f>CT187*VLOOKUP('Données projet'!$B$13,Paramètres!$A$1:$I$89,3,0)*VLOOKUP('Données projet'!$B$13,Paramètres!$A$1:$I$89,5,0)</f>
        <v>-8.7434273154940449E-13</v>
      </c>
      <c r="CV187" s="14" t="e">
        <f t="shared" si="173"/>
        <v>#NUM!</v>
      </c>
      <c r="CW187" s="22" t="e">
        <f t="shared" si="174"/>
        <v>#NUM!</v>
      </c>
      <c r="CX187" s="60" t="e">
        <f t="shared" si="122"/>
        <v>#NUM!</v>
      </c>
      <c r="CY187" s="60">
        <f ca="1">AVERAGE(OFFSET($CX$3,0,0,'Données projet'!$E$13+1,1))-AVERAGE(OFFSET($H$3,0,0,'Données projet'!$E$13+1,1))</f>
        <v>428.8489304403459</v>
      </c>
      <c r="CZ187" s="60">
        <f t="shared" si="150"/>
        <v>247.01165577562966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-5.1159076974727213E-13</v>
      </c>
      <c r="DP187" s="18">
        <f>DO187*VLOOKUP('Données projet'!$B$14,Paramètres!$A$1:$I$89,3,0)*VLOOKUP('Données projet'!$B$14,Paramètres!$A$1:$I$89,5,0)</f>
        <v>-5.3471467253984886E-13</v>
      </c>
      <c r="DQ187" s="14" t="e">
        <f t="shared" si="176"/>
        <v>#NUM!</v>
      </c>
      <c r="DR187" s="22" t="e">
        <f t="shared" si="177"/>
        <v>#NUM!</v>
      </c>
      <c r="DS187" s="60" t="e">
        <f t="shared" si="125"/>
        <v>#NUM!</v>
      </c>
      <c r="DT187" s="60">
        <f ca="1">AVERAGE(OFFSET($DS$3,0,0,'Données projet'!$E$14+1,1))-AVERAGE(OFFSET($H$3,0,0,'Données projet'!$E$14+1,1))</f>
        <v>493.70175665335978</v>
      </c>
      <c r="DU187" s="60">
        <f t="shared" si="152"/>
        <v>325.12357781685949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-1.9895196601282805E-13</v>
      </c>
      <c r="EK187" s="18">
        <f>EJ187*VLOOKUP('Données projet'!$B$15,Paramètres!$A$1:$I$89,3,0)*VLOOKUP('Données projet'!$B$15,Paramètres!$A$1:$I$89,5,0)</f>
        <v>-1.6138983482960614E-13</v>
      </c>
      <c r="EL187" s="14" t="e">
        <f t="shared" si="179"/>
        <v>#NUM!</v>
      </c>
      <c r="EM187" s="22" t="e">
        <f t="shared" si="180"/>
        <v>#NUM!</v>
      </c>
      <c r="EN187" s="60" t="e">
        <f t="shared" si="128"/>
        <v>#NUM!</v>
      </c>
      <c r="EO187" s="60">
        <f ca="1">AVERAGE(OFFSET($EN$3,0,0,'Données projet'!$E$15+1,1))-AVERAGE(OFFSET($H$3,0,0,'Données projet'!$E$15+1,1))</f>
        <v>236.22643401787644</v>
      </c>
      <c r="EP187" s="60">
        <f t="shared" si="154"/>
        <v>188.80444043778022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5.4978954722173515E-14</v>
      </c>
      <c r="FG187" s="14">
        <f t="shared" si="182"/>
        <v>8.8550225887742724E-13</v>
      </c>
      <c r="FH187" s="22">
        <f t="shared" si="183"/>
        <v>1.6380047803526383E-12</v>
      </c>
      <c r="FI187" s="60">
        <f t="shared" si="131"/>
        <v>293.33333333333496</v>
      </c>
      <c r="FJ187" s="60">
        <f ca="1">AVERAGE(OFFSET($FI$3,0,0,'Données projet'!$E$16+1,1))-AVERAGE(OFFSET($H$3,0,0,'Données projet'!$E$16+1,1))</f>
        <v>255.59755832175625</v>
      </c>
      <c r="FK187" s="60">
        <f t="shared" si="156"/>
        <v>154.0840647586964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0" t="e">
        <f t="shared" si="134"/>
        <v>#N/A</v>
      </c>
      <c r="GE187" s="60" t="e">
        <f ca="1">AVERAGE(OFFSET($GD$3,0,0,'Données projet'!$E$17+1,1))-AVERAGE(OFFSET($H$3,0,0,'Données projet'!$E$17+1,1))</f>
        <v>#N/A</v>
      </c>
      <c r="GF187" s="60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7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0" t="e">
        <f t="shared" si="137"/>
        <v>#N/A</v>
      </c>
      <c r="GZ187" s="60" t="e">
        <f ca="1">AVERAGE(OFFSET($GY$3,0,0,'Données projet'!$E$18+1,1))-AVERAGE(OFFSET($H$3,0,0,'Données projet'!$E$18+1,1))</f>
        <v>#N/A</v>
      </c>
      <c r="HA187" s="60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5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68">
        <f t="shared" si="110"/>
        <v>256.66666666666669</v>
      </c>
      <c r="I188" s="7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0" t="e">
        <f t="shared" si="109"/>
        <v>#NUM!</v>
      </c>
      <c r="S188" s="60">
        <f ca="1">AVERAGE(OFFSET($R$3,0,0,'Données projet'!$E$9+1,1))-AVERAGE(OFFSET($H$3,0,0,'Données projet'!$E$9+1,1))</f>
        <v>64.775385872852041</v>
      </c>
      <c r="T188" s="60">
        <f t="shared" si="142"/>
        <v>201.69061202990468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1.492270605457336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2.8269564406837526E-25</v>
      </c>
      <c r="AC188" s="24">
        <f t="shared" si="163"/>
        <v>1.492270605457336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-9.7986685432260874E-13</v>
      </c>
      <c r="AK188" s="14" t="e">
        <f t="shared" si="164"/>
        <v>#NUM!</v>
      </c>
      <c r="AL188" s="22" t="e">
        <f t="shared" si="165"/>
        <v>#NUM!</v>
      </c>
      <c r="AM188" s="60" t="e">
        <f t="shared" si="113"/>
        <v>#NUM!</v>
      </c>
      <c r="AN188" s="60">
        <f ca="1">AVERAGE(OFFSET($AM$3,0,0,'Données projet'!$E$10+1,1))-AVERAGE(OFFSET($H$3,0,0,'Données projet'!$E$10+1,1))</f>
        <v>475.47920969424894</v>
      </c>
      <c r="AO188" s="60">
        <f t="shared" si="144"/>
        <v>271.73544012419364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7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6.7984728957526396E-14</v>
      </c>
      <c r="BF188" s="14">
        <f t="shared" si="167"/>
        <v>1.0682447123141398E-12</v>
      </c>
      <c r="BG188" s="22">
        <f t="shared" si="168"/>
        <v>1.978932943548152E-12</v>
      </c>
      <c r="BH188" s="60">
        <f t="shared" si="116"/>
        <v>293.3333333333353</v>
      </c>
      <c r="BI188" s="60">
        <f ca="1">AVERAGE(OFFSET($BH$3,0,0,'Données projet'!$E$11+1,1))-AVERAGE(OFFSET($H$3,0,0,'Données projet'!$E$11+1,1))</f>
        <v>260.02504691866199</v>
      </c>
      <c r="BJ188" s="60">
        <f t="shared" si="146"/>
        <v>270.11268336406368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0.46475884784911548</v>
      </c>
      <c r="BQ188" s="23">
        <f>EXP(-LN(2)/25)*BQ187+(1-EXP(-LN(2)/25))/(LN(2)/25)*Calculateur!BL188*Calculateur!BN188*VLOOKUP('Données projet'!$B$11,Paramètres!$A$1:$I$89,3,0)*0.475*44/12</f>
        <v>0.22356877586590793</v>
      </c>
      <c r="BR188" s="23">
        <f>EXP(-LN(2)/2)*BR187+(1-EXP(-LN(2)/2))/(LN(2)/2)*BL188*BO188*VLOOKUP('Données projet'!$B$11,Paramètres!$A$1:$I$89,3,0)*0.475*44/12</f>
        <v>2.9666199891402364E-23</v>
      </c>
      <c r="BS188" s="24">
        <f t="shared" si="169"/>
        <v>0.68832762371502343</v>
      </c>
      <c r="BT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5.1159076974727213E-13</v>
      </c>
      <c r="BZ188" s="14">
        <f>BY188*VLOOKUP('Données projet'!$B$12,Paramètres!$A$1:$I$89,3,0)*VLOOKUP('Données projet'!$B$12,Paramètres!$A$1:$I$89,5,0)</f>
        <v>2.3942448024172334E-13</v>
      </c>
      <c r="CA188" s="14">
        <f t="shared" si="170"/>
        <v>3.2492669905861755E-12</v>
      </c>
      <c r="CB188" s="22">
        <f t="shared" si="171"/>
        <v>6.0761376450252565E-12</v>
      </c>
      <c r="CC188" s="60">
        <f t="shared" si="119"/>
        <v>293.3333333333394</v>
      </c>
      <c r="CD188" s="60">
        <f ca="1">AVERAGE(OFFSET($CC$3,0,0,'Données projet'!$E$12+1,1))-AVERAGE(OFFSET($H$3,0,0,'Données projet'!$E$12+1,1))</f>
        <v>246.72166704460847</v>
      </c>
      <c r="CE188" s="60">
        <f t="shared" si="148"/>
        <v>145.54897745089966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-9.6633812063373625E-13</v>
      </c>
      <c r="CU188" s="18">
        <f>CT188*VLOOKUP('Données projet'!$B$13,Paramètres!$A$1:$I$89,3,0)*VLOOKUP('Données projet'!$B$13,Paramètres!$A$1:$I$89,5,0)</f>
        <v>-8.7434273154940449E-13</v>
      </c>
      <c r="CV188" s="14" t="e">
        <f t="shared" si="173"/>
        <v>#NUM!</v>
      </c>
      <c r="CW188" s="22" t="e">
        <f t="shared" si="174"/>
        <v>#NUM!</v>
      </c>
      <c r="CX188" s="60" t="e">
        <f t="shared" si="122"/>
        <v>#NUM!</v>
      </c>
      <c r="CY188" s="60">
        <f ca="1">AVERAGE(OFFSET($CX$3,0,0,'Données projet'!$E$13+1,1))-AVERAGE(OFFSET($H$3,0,0,'Données projet'!$E$13+1,1))</f>
        <v>428.8489304403459</v>
      </c>
      <c r="CZ188" s="60">
        <f t="shared" si="150"/>
        <v>247.01165577562966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-5.1159076974727213E-13</v>
      </c>
      <c r="DP188" s="18">
        <f>DO188*VLOOKUP('Données projet'!$B$14,Paramètres!$A$1:$I$89,3,0)*VLOOKUP('Données projet'!$B$14,Paramètres!$A$1:$I$89,5,0)</f>
        <v>-5.3471467253984886E-13</v>
      </c>
      <c r="DQ188" s="14" t="e">
        <f t="shared" si="176"/>
        <v>#NUM!</v>
      </c>
      <c r="DR188" s="22" t="e">
        <f t="shared" si="177"/>
        <v>#NUM!</v>
      </c>
      <c r="DS188" s="60" t="e">
        <f t="shared" si="125"/>
        <v>#NUM!</v>
      </c>
      <c r="DT188" s="60">
        <f ca="1">AVERAGE(OFFSET($DS$3,0,0,'Données projet'!$E$14+1,1))-AVERAGE(OFFSET($H$3,0,0,'Données projet'!$E$14+1,1))</f>
        <v>493.70175665335978</v>
      </c>
      <c r="DU188" s="60">
        <f t="shared" si="152"/>
        <v>325.12357781685949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-1.9895196601282805E-13</v>
      </c>
      <c r="EK188" s="18">
        <f>EJ188*VLOOKUP('Données projet'!$B$15,Paramètres!$A$1:$I$89,3,0)*VLOOKUP('Données projet'!$B$15,Paramètres!$A$1:$I$89,5,0)</f>
        <v>-1.6138983482960614E-13</v>
      </c>
      <c r="EL188" s="14" t="e">
        <f t="shared" si="179"/>
        <v>#NUM!</v>
      </c>
      <c r="EM188" s="22" t="e">
        <f t="shared" si="180"/>
        <v>#NUM!</v>
      </c>
      <c r="EN188" s="60" t="e">
        <f t="shared" si="128"/>
        <v>#NUM!</v>
      </c>
      <c r="EO188" s="60">
        <f ca="1">AVERAGE(OFFSET($EN$3,0,0,'Données projet'!$E$15+1,1))-AVERAGE(OFFSET($H$3,0,0,'Données projet'!$E$15+1,1))</f>
        <v>236.22643401787644</v>
      </c>
      <c r="EP188" s="60">
        <f t="shared" si="154"/>
        <v>188.80444043778022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5.4978954722173515E-14</v>
      </c>
      <c r="FG188" s="14">
        <f t="shared" si="182"/>
        <v>8.8550225887742724E-13</v>
      </c>
      <c r="FH188" s="22">
        <f t="shared" si="183"/>
        <v>1.6380047803526383E-12</v>
      </c>
      <c r="FI188" s="60">
        <f t="shared" si="131"/>
        <v>293.33333333333496</v>
      </c>
      <c r="FJ188" s="60">
        <f ca="1">AVERAGE(OFFSET($FI$3,0,0,'Données projet'!$E$16+1,1))-AVERAGE(OFFSET($H$3,0,0,'Données projet'!$E$16+1,1))</f>
        <v>255.59755832175625</v>
      </c>
      <c r="FK188" s="60">
        <f t="shared" si="156"/>
        <v>154.0840647586964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0" t="e">
        <f t="shared" si="134"/>
        <v>#N/A</v>
      </c>
      <c r="GE188" s="60" t="e">
        <f ca="1">AVERAGE(OFFSET($GD$3,0,0,'Données projet'!$E$17+1,1))-AVERAGE(OFFSET($H$3,0,0,'Données projet'!$E$17+1,1))</f>
        <v>#N/A</v>
      </c>
      <c r="GF188" s="60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7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0" t="e">
        <f t="shared" si="137"/>
        <v>#N/A</v>
      </c>
      <c r="GZ188" s="60" t="e">
        <f ca="1">AVERAGE(OFFSET($GY$3,0,0,'Données projet'!$E$18+1,1))-AVERAGE(OFFSET($H$3,0,0,'Données projet'!$E$18+1,1))</f>
        <v>#N/A</v>
      </c>
      <c r="HA188" s="60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5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68">
        <f t="shared" si="110"/>
        <v>256.66666666666669</v>
      </c>
      <c r="I189" s="7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0" t="e">
        <f t="shared" si="109"/>
        <v>#NUM!</v>
      </c>
      <c r="S189" s="60">
        <f ca="1">AVERAGE(OFFSET($R$3,0,0,'Données projet'!$E$9+1,1))-AVERAGE(OFFSET($H$3,0,0,'Données projet'!$E$9+1,1))</f>
        <v>64.775385872852041</v>
      </c>
      <c r="T189" s="60">
        <f t="shared" si="142"/>
        <v>201.69061202990468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1.4630080890795127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1.9989600693264675E-25</v>
      </c>
      <c r="AC189" s="24">
        <f t="shared" si="163"/>
        <v>1.4630080890795127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-9.7986685432260874E-13</v>
      </c>
      <c r="AK189" s="14" t="e">
        <f t="shared" si="164"/>
        <v>#NUM!</v>
      </c>
      <c r="AL189" s="22" t="e">
        <f t="shared" si="165"/>
        <v>#NUM!</v>
      </c>
      <c r="AM189" s="60" t="e">
        <f t="shared" si="113"/>
        <v>#NUM!</v>
      </c>
      <c r="AN189" s="60">
        <f ca="1">AVERAGE(OFFSET($AM$3,0,0,'Données projet'!$E$10+1,1))-AVERAGE(OFFSET($H$3,0,0,'Données projet'!$E$10+1,1))</f>
        <v>475.47920969424894</v>
      </c>
      <c r="AO189" s="60">
        <f t="shared" si="144"/>
        <v>271.73544012419364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7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6.7984728957526396E-14</v>
      </c>
      <c r="BF189" s="14">
        <f t="shared" si="167"/>
        <v>1.0682447123141398E-12</v>
      </c>
      <c r="BG189" s="22">
        <f t="shared" si="168"/>
        <v>1.978932943548152E-12</v>
      </c>
      <c r="BH189" s="60">
        <f t="shared" si="116"/>
        <v>293.3333333333353</v>
      </c>
      <c r="BI189" s="60">
        <f ca="1">AVERAGE(OFFSET($BH$3,0,0,'Données projet'!$E$11+1,1))-AVERAGE(OFFSET($H$3,0,0,'Données projet'!$E$11+1,1))</f>
        <v>260.02504691866199</v>
      </c>
      <c r="BJ189" s="60">
        <f t="shared" si="146"/>
        <v>270.11268336406368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0.45564521031770067</v>
      </c>
      <c r="BQ189" s="23">
        <f>EXP(-LN(2)/25)*BQ188+(1-EXP(-LN(2)/25))/(LN(2)/25)*Calculateur!BL189*Calculateur!BN189*VLOOKUP('Données projet'!$B$11,Paramètres!$A$1:$I$89,3,0)*0.475*44/12</f>
        <v>0.21745527593288372</v>
      </c>
      <c r="BR189" s="23">
        <f>EXP(-LN(2)/2)*BR188+(1-EXP(-LN(2)/2))/(LN(2)/2)*BL189*BO189*VLOOKUP('Données projet'!$B$11,Paramètres!$A$1:$I$89,3,0)*0.475*44/12</f>
        <v>2.0977171115246231E-23</v>
      </c>
      <c r="BS189" s="24">
        <f t="shared" si="169"/>
        <v>0.67310048625058438</v>
      </c>
      <c r="BT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5.1159076974727213E-13</v>
      </c>
      <c r="BZ189" s="14">
        <f>BY189*VLOOKUP('Données projet'!$B$12,Paramètres!$A$1:$I$89,3,0)*VLOOKUP('Données projet'!$B$12,Paramètres!$A$1:$I$89,5,0)</f>
        <v>2.3942448024172334E-13</v>
      </c>
      <c r="CA189" s="14">
        <f t="shared" si="170"/>
        <v>3.2492669905861755E-12</v>
      </c>
      <c r="CB189" s="22">
        <f t="shared" si="171"/>
        <v>6.0761376450252565E-12</v>
      </c>
      <c r="CC189" s="60">
        <f t="shared" si="119"/>
        <v>293.3333333333394</v>
      </c>
      <c r="CD189" s="60">
        <f ca="1">AVERAGE(OFFSET($CC$3,0,0,'Données projet'!$E$12+1,1))-AVERAGE(OFFSET($H$3,0,0,'Données projet'!$E$12+1,1))</f>
        <v>246.72166704460847</v>
      </c>
      <c r="CE189" s="60">
        <f t="shared" si="148"/>
        <v>145.54897745089966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-9.6633812063373625E-13</v>
      </c>
      <c r="CU189" s="18">
        <f>CT189*VLOOKUP('Données projet'!$B$13,Paramètres!$A$1:$I$89,3,0)*VLOOKUP('Données projet'!$B$13,Paramètres!$A$1:$I$89,5,0)</f>
        <v>-8.7434273154940449E-13</v>
      </c>
      <c r="CV189" s="14" t="e">
        <f t="shared" si="173"/>
        <v>#NUM!</v>
      </c>
      <c r="CW189" s="22" t="e">
        <f t="shared" si="174"/>
        <v>#NUM!</v>
      </c>
      <c r="CX189" s="60" t="e">
        <f t="shared" si="122"/>
        <v>#NUM!</v>
      </c>
      <c r="CY189" s="60">
        <f ca="1">AVERAGE(OFFSET($CX$3,0,0,'Données projet'!$E$13+1,1))-AVERAGE(OFFSET($H$3,0,0,'Données projet'!$E$13+1,1))</f>
        <v>428.8489304403459</v>
      </c>
      <c r="CZ189" s="60">
        <f t="shared" si="150"/>
        <v>247.01165577562966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-5.1159076974727213E-13</v>
      </c>
      <c r="DP189" s="18">
        <f>DO189*VLOOKUP('Données projet'!$B$14,Paramètres!$A$1:$I$89,3,0)*VLOOKUP('Données projet'!$B$14,Paramètres!$A$1:$I$89,5,0)</f>
        <v>-5.3471467253984886E-13</v>
      </c>
      <c r="DQ189" s="14" t="e">
        <f t="shared" si="176"/>
        <v>#NUM!</v>
      </c>
      <c r="DR189" s="22" t="e">
        <f t="shared" si="177"/>
        <v>#NUM!</v>
      </c>
      <c r="DS189" s="60" t="e">
        <f t="shared" si="125"/>
        <v>#NUM!</v>
      </c>
      <c r="DT189" s="60">
        <f ca="1">AVERAGE(OFFSET($DS$3,0,0,'Données projet'!$E$14+1,1))-AVERAGE(OFFSET($H$3,0,0,'Données projet'!$E$14+1,1))</f>
        <v>493.70175665335978</v>
      </c>
      <c r="DU189" s="60">
        <f t="shared" si="152"/>
        <v>325.12357781685949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-1.9895196601282805E-13</v>
      </c>
      <c r="EK189" s="18">
        <f>EJ189*VLOOKUP('Données projet'!$B$15,Paramètres!$A$1:$I$89,3,0)*VLOOKUP('Données projet'!$B$15,Paramètres!$A$1:$I$89,5,0)</f>
        <v>-1.6138983482960614E-13</v>
      </c>
      <c r="EL189" s="14" t="e">
        <f t="shared" si="179"/>
        <v>#NUM!</v>
      </c>
      <c r="EM189" s="22" t="e">
        <f t="shared" si="180"/>
        <v>#NUM!</v>
      </c>
      <c r="EN189" s="60" t="e">
        <f t="shared" si="128"/>
        <v>#NUM!</v>
      </c>
      <c r="EO189" s="60">
        <f ca="1">AVERAGE(OFFSET($EN$3,0,0,'Données projet'!$E$15+1,1))-AVERAGE(OFFSET($H$3,0,0,'Données projet'!$E$15+1,1))</f>
        <v>236.22643401787644</v>
      </c>
      <c r="EP189" s="60">
        <f t="shared" si="154"/>
        <v>188.80444043778022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5.4978954722173515E-14</v>
      </c>
      <c r="FG189" s="14">
        <f t="shared" si="182"/>
        <v>8.8550225887742724E-13</v>
      </c>
      <c r="FH189" s="22">
        <f t="shared" si="183"/>
        <v>1.6380047803526383E-12</v>
      </c>
      <c r="FI189" s="60">
        <f t="shared" si="131"/>
        <v>293.33333333333496</v>
      </c>
      <c r="FJ189" s="60">
        <f ca="1">AVERAGE(OFFSET($FI$3,0,0,'Données projet'!$E$16+1,1))-AVERAGE(OFFSET($H$3,0,0,'Données projet'!$E$16+1,1))</f>
        <v>255.59755832175625</v>
      </c>
      <c r="FK189" s="60">
        <f t="shared" si="156"/>
        <v>154.0840647586964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0" t="e">
        <f t="shared" si="134"/>
        <v>#N/A</v>
      </c>
      <c r="GE189" s="60" t="e">
        <f ca="1">AVERAGE(OFFSET($GD$3,0,0,'Données projet'!$E$17+1,1))-AVERAGE(OFFSET($H$3,0,0,'Données projet'!$E$17+1,1))</f>
        <v>#N/A</v>
      </c>
      <c r="GF189" s="60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7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0" t="e">
        <f t="shared" si="137"/>
        <v>#N/A</v>
      </c>
      <c r="GZ189" s="60" t="e">
        <f ca="1">AVERAGE(OFFSET($GY$3,0,0,'Données projet'!$E$18+1,1))-AVERAGE(OFFSET($H$3,0,0,'Données projet'!$E$18+1,1))</f>
        <v>#N/A</v>
      </c>
      <c r="HA189" s="60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5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68">
        <f t="shared" si="110"/>
        <v>256.66666666666669</v>
      </c>
      <c r="I190" s="7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0" t="e">
        <f t="shared" si="109"/>
        <v>#NUM!</v>
      </c>
      <c r="S190" s="60">
        <f ca="1">AVERAGE(OFFSET($R$3,0,0,'Données projet'!$E$9+1,1))-AVERAGE(OFFSET($H$3,0,0,'Données projet'!$E$9+1,1))</f>
        <v>64.775385872852041</v>
      </c>
      <c r="T190" s="60">
        <f t="shared" si="142"/>
        <v>201.69061202990468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1.4343193927994859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1.4134782203418763E-25</v>
      </c>
      <c r="AC190" s="24">
        <f t="shared" si="163"/>
        <v>1.4343193927994859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-9.7986685432260874E-13</v>
      </c>
      <c r="AK190" s="14" t="e">
        <f t="shared" si="164"/>
        <v>#NUM!</v>
      </c>
      <c r="AL190" s="22" t="e">
        <f t="shared" si="165"/>
        <v>#NUM!</v>
      </c>
      <c r="AM190" s="60" t="e">
        <f t="shared" si="113"/>
        <v>#NUM!</v>
      </c>
      <c r="AN190" s="60">
        <f ca="1">AVERAGE(OFFSET($AM$3,0,0,'Données projet'!$E$10+1,1))-AVERAGE(OFFSET($H$3,0,0,'Données projet'!$E$10+1,1))</f>
        <v>475.47920969424894</v>
      </c>
      <c r="AO190" s="60">
        <f t="shared" si="144"/>
        <v>271.73544012419364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7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6.7984728957526396E-14</v>
      </c>
      <c r="BF190" s="14">
        <f t="shared" si="167"/>
        <v>1.0682447123141398E-12</v>
      </c>
      <c r="BG190" s="22">
        <f t="shared" si="168"/>
        <v>1.978932943548152E-12</v>
      </c>
      <c r="BH190" s="60">
        <f t="shared" si="116"/>
        <v>293.3333333333353</v>
      </c>
      <c r="BI190" s="60">
        <f ca="1">AVERAGE(OFFSET($BH$3,0,0,'Données projet'!$E$11+1,1))-AVERAGE(OFFSET($H$3,0,0,'Données projet'!$E$11+1,1))</f>
        <v>260.02504691866199</v>
      </c>
      <c r="BJ190" s="60">
        <f t="shared" si="146"/>
        <v>270.11268336406368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0.44671028565950693</v>
      </c>
      <c r="BQ190" s="23">
        <f>EXP(-LN(2)/25)*BQ189+(1-EXP(-LN(2)/25))/(LN(2)/25)*Calculateur!BL190*Calculateur!BN190*VLOOKUP('Données projet'!$B$11,Paramètres!$A$1:$I$89,3,0)*0.475*44/12</f>
        <v>0.21150894997702305</v>
      </c>
      <c r="BR190" s="23">
        <f>EXP(-LN(2)/2)*BR189+(1-EXP(-LN(2)/2))/(LN(2)/2)*BL190*BO190*VLOOKUP('Données projet'!$B$11,Paramètres!$A$1:$I$89,3,0)*0.475*44/12</f>
        <v>1.4833099945701182E-23</v>
      </c>
      <c r="BS190" s="24">
        <f t="shared" si="169"/>
        <v>0.65821923563652995</v>
      </c>
      <c r="BT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5.1159076974727213E-13</v>
      </c>
      <c r="BZ190" s="14">
        <f>BY190*VLOOKUP('Données projet'!$B$12,Paramètres!$A$1:$I$89,3,0)*VLOOKUP('Données projet'!$B$12,Paramètres!$A$1:$I$89,5,0)</f>
        <v>2.3942448024172334E-13</v>
      </c>
      <c r="CA190" s="14">
        <f t="shared" si="170"/>
        <v>3.2492669905861755E-12</v>
      </c>
      <c r="CB190" s="22">
        <f t="shared" si="171"/>
        <v>6.0761376450252565E-12</v>
      </c>
      <c r="CC190" s="60">
        <f t="shared" si="119"/>
        <v>293.3333333333394</v>
      </c>
      <c r="CD190" s="60">
        <f ca="1">AVERAGE(OFFSET($CC$3,0,0,'Données projet'!$E$12+1,1))-AVERAGE(OFFSET($H$3,0,0,'Données projet'!$E$12+1,1))</f>
        <v>246.72166704460847</v>
      </c>
      <c r="CE190" s="60">
        <f t="shared" si="148"/>
        <v>145.54897745089966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-9.6633812063373625E-13</v>
      </c>
      <c r="CU190" s="18">
        <f>CT190*VLOOKUP('Données projet'!$B$13,Paramètres!$A$1:$I$89,3,0)*VLOOKUP('Données projet'!$B$13,Paramètres!$A$1:$I$89,5,0)</f>
        <v>-8.7434273154940449E-13</v>
      </c>
      <c r="CV190" s="14" t="e">
        <f t="shared" si="173"/>
        <v>#NUM!</v>
      </c>
      <c r="CW190" s="22" t="e">
        <f t="shared" si="174"/>
        <v>#NUM!</v>
      </c>
      <c r="CX190" s="60" t="e">
        <f t="shared" si="122"/>
        <v>#NUM!</v>
      </c>
      <c r="CY190" s="60">
        <f ca="1">AVERAGE(OFFSET($CX$3,0,0,'Données projet'!$E$13+1,1))-AVERAGE(OFFSET($H$3,0,0,'Données projet'!$E$13+1,1))</f>
        <v>428.8489304403459</v>
      </c>
      <c r="CZ190" s="60">
        <f t="shared" si="150"/>
        <v>247.01165577562966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-5.1159076974727213E-13</v>
      </c>
      <c r="DP190" s="18">
        <f>DO190*VLOOKUP('Données projet'!$B$14,Paramètres!$A$1:$I$89,3,0)*VLOOKUP('Données projet'!$B$14,Paramètres!$A$1:$I$89,5,0)</f>
        <v>-5.3471467253984886E-13</v>
      </c>
      <c r="DQ190" s="14" t="e">
        <f t="shared" si="176"/>
        <v>#NUM!</v>
      </c>
      <c r="DR190" s="22" t="e">
        <f t="shared" si="177"/>
        <v>#NUM!</v>
      </c>
      <c r="DS190" s="60" t="e">
        <f t="shared" si="125"/>
        <v>#NUM!</v>
      </c>
      <c r="DT190" s="60">
        <f ca="1">AVERAGE(OFFSET($DS$3,0,0,'Données projet'!$E$14+1,1))-AVERAGE(OFFSET($H$3,0,0,'Données projet'!$E$14+1,1))</f>
        <v>493.70175665335978</v>
      </c>
      <c r="DU190" s="60">
        <f t="shared" si="152"/>
        <v>325.12357781685949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-1.9895196601282805E-13</v>
      </c>
      <c r="EK190" s="18">
        <f>EJ190*VLOOKUP('Données projet'!$B$15,Paramètres!$A$1:$I$89,3,0)*VLOOKUP('Données projet'!$B$15,Paramètres!$A$1:$I$89,5,0)</f>
        <v>-1.6138983482960614E-13</v>
      </c>
      <c r="EL190" s="14" t="e">
        <f t="shared" si="179"/>
        <v>#NUM!</v>
      </c>
      <c r="EM190" s="22" t="e">
        <f t="shared" si="180"/>
        <v>#NUM!</v>
      </c>
      <c r="EN190" s="60" t="e">
        <f t="shared" si="128"/>
        <v>#NUM!</v>
      </c>
      <c r="EO190" s="60">
        <f ca="1">AVERAGE(OFFSET($EN$3,0,0,'Données projet'!$E$15+1,1))-AVERAGE(OFFSET($H$3,0,0,'Données projet'!$E$15+1,1))</f>
        <v>236.22643401787644</v>
      </c>
      <c r="EP190" s="60">
        <f t="shared" si="154"/>
        <v>188.80444043778022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5.4978954722173515E-14</v>
      </c>
      <c r="FG190" s="14">
        <f t="shared" si="182"/>
        <v>8.8550225887742724E-13</v>
      </c>
      <c r="FH190" s="22">
        <f t="shared" si="183"/>
        <v>1.6380047803526383E-12</v>
      </c>
      <c r="FI190" s="60">
        <f t="shared" si="131"/>
        <v>293.33333333333496</v>
      </c>
      <c r="FJ190" s="60">
        <f ca="1">AVERAGE(OFFSET($FI$3,0,0,'Données projet'!$E$16+1,1))-AVERAGE(OFFSET($H$3,0,0,'Données projet'!$E$16+1,1))</f>
        <v>255.59755832175625</v>
      </c>
      <c r="FK190" s="60">
        <f t="shared" si="156"/>
        <v>154.0840647586964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0" t="e">
        <f t="shared" si="134"/>
        <v>#N/A</v>
      </c>
      <c r="GE190" s="60" t="e">
        <f ca="1">AVERAGE(OFFSET($GD$3,0,0,'Données projet'!$E$17+1,1))-AVERAGE(OFFSET($H$3,0,0,'Données projet'!$E$17+1,1))</f>
        <v>#N/A</v>
      </c>
      <c r="GF190" s="60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7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0" t="e">
        <f t="shared" si="137"/>
        <v>#N/A</v>
      </c>
      <c r="GZ190" s="60" t="e">
        <f ca="1">AVERAGE(OFFSET($GY$3,0,0,'Données projet'!$E$18+1,1))-AVERAGE(OFFSET($H$3,0,0,'Données projet'!$E$18+1,1))</f>
        <v>#N/A</v>
      </c>
      <c r="HA190" s="60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5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68">
        <f t="shared" si="110"/>
        <v>256.66666666666669</v>
      </c>
      <c r="I191" s="7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0" t="e">
        <f t="shared" si="109"/>
        <v>#NUM!</v>
      </c>
      <c r="S191" s="60">
        <f ca="1">AVERAGE(OFFSET($R$3,0,0,'Données projet'!$E$9+1,1))-AVERAGE(OFFSET($H$3,0,0,'Données projet'!$E$9+1,1))</f>
        <v>64.775385872852041</v>
      </c>
      <c r="T191" s="60">
        <f t="shared" si="142"/>
        <v>201.69061202990468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1.4061932643551336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9.9948003466323374E-26</v>
      </c>
      <c r="AC191" s="24">
        <f t="shared" si="163"/>
        <v>1.4061932643551336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-9.7986685432260874E-13</v>
      </c>
      <c r="AK191" s="14" t="e">
        <f t="shared" si="164"/>
        <v>#NUM!</v>
      </c>
      <c r="AL191" s="22" t="e">
        <f t="shared" si="165"/>
        <v>#NUM!</v>
      </c>
      <c r="AM191" s="60" t="e">
        <f t="shared" si="113"/>
        <v>#NUM!</v>
      </c>
      <c r="AN191" s="60">
        <f ca="1">AVERAGE(OFFSET($AM$3,0,0,'Données projet'!$E$10+1,1))-AVERAGE(OFFSET($H$3,0,0,'Données projet'!$E$10+1,1))</f>
        <v>475.47920969424894</v>
      </c>
      <c r="AO191" s="60">
        <f t="shared" si="144"/>
        <v>271.73544012419364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7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6.7984728957526396E-14</v>
      </c>
      <c r="BF191" s="14">
        <f t="shared" si="167"/>
        <v>1.0682447123141398E-12</v>
      </c>
      <c r="BG191" s="22">
        <f t="shared" si="168"/>
        <v>1.978932943548152E-12</v>
      </c>
      <c r="BH191" s="60">
        <f t="shared" si="116"/>
        <v>293.3333333333353</v>
      </c>
      <c r="BI191" s="60">
        <f ca="1">AVERAGE(OFFSET($BH$3,0,0,'Données projet'!$E$11+1,1))-AVERAGE(OFFSET($H$3,0,0,'Données projet'!$E$11+1,1))</f>
        <v>260.02504691866199</v>
      </c>
      <c r="BJ191" s="60">
        <f t="shared" si="146"/>
        <v>270.11268336406368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0.43795056942409444</v>
      </c>
      <c r="BQ191" s="23">
        <f>EXP(-LN(2)/25)*BQ190+(1-EXP(-LN(2)/25))/(LN(2)/25)*Calculateur!BL191*Calculateur!BN191*VLOOKUP('Données projet'!$B$11,Paramètres!$A$1:$I$89,3,0)*0.475*44/12</f>
        <v>0.20572522661712908</v>
      </c>
      <c r="BR191" s="23">
        <f>EXP(-LN(2)/2)*BR190+(1-EXP(-LN(2)/2))/(LN(2)/2)*BL191*BO191*VLOOKUP('Données projet'!$B$11,Paramètres!$A$1:$I$89,3,0)*0.475*44/12</f>
        <v>1.0488585557623116E-23</v>
      </c>
      <c r="BS191" s="24">
        <f t="shared" si="169"/>
        <v>0.64367579604122349</v>
      </c>
      <c r="BT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5.1159076974727213E-13</v>
      </c>
      <c r="BZ191" s="14">
        <f>BY191*VLOOKUP('Données projet'!$B$12,Paramètres!$A$1:$I$89,3,0)*VLOOKUP('Données projet'!$B$12,Paramètres!$A$1:$I$89,5,0)</f>
        <v>2.3942448024172334E-13</v>
      </c>
      <c r="CA191" s="14">
        <f t="shared" si="170"/>
        <v>3.2492669905861755E-12</v>
      </c>
      <c r="CB191" s="22">
        <f t="shared" si="171"/>
        <v>6.0761376450252565E-12</v>
      </c>
      <c r="CC191" s="60">
        <f t="shared" si="119"/>
        <v>293.3333333333394</v>
      </c>
      <c r="CD191" s="60">
        <f ca="1">AVERAGE(OFFSET($CC$3,0,0,'Données projet'!$E$12+1,1))-AVERAGE(OFFSET($H$3,0,0,'Données projet'!$E$12+1,1))</f>
        <v>246.72166704460847</v>
      </c>
      <c r="CE191" s="60">
        <f t="shared" si="148"/>
        <v>145.54897745089966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-9.6633812063373625E-13</v>
      </c>
      <c r="CU191" s="18">
        <f>CT191*VLOOKUP('Données projet'!$B$13,Paramètres!$A$1:$I$89,3,0)*VLOOKUP('Données projet'!$B$13,Paramètres!$A$1:$I$89,5,0)</f>
        <v>-8.7434273154940449E-13</v>
      </c>
      <c r="CV191" s="14" t="e">
        <f t="shared" si="173"/>
        <v>#NUM!</v>
      </c>
      <c r="CW191" s="22" t="e">
        <f t="shared" si="174"/>
        <v>#NUM!</v>
      </c>
      <c r="CX191" s="60" t="e">
        <f t="shared" si="122"/>
        <v>#NUM!</v>
      </c>
      <c r="CY191" s="60">
        <f ca="1">AVERAGE(OFFSET($CX$3,0,0,'Données projet'!$E$13+1,1))-AVERAGE(OFFSET($H$3,0,0,'Données projet'!$E$13+1,1))</f>
        <v>428.8489304403459</v>
      </c>
      <c r="CZ191" s="60">
        <f t="shared" si="150"/>
        <v>247.01165577562966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-5.1159076974727213E-13</v>
      </c>
      <c r="DP191" s="18">
        <f>DO191*VLOOKUP('Données projet'!$B$14,Paramètres!$A$1:$I$89,3,0)*VLOOKUP('Données projet'!$B$14,Paramètres!$A$1:$I$89,5,0)</f>
        <v>-5.3471467253984886E-13</v>
      </c>
      <c r="DQ191" s="14" t="e">
        <f t="shared" si="176"/>
        <v>#NUM!</v>
      </c>
      <c r="DR191" s="22" t="e">
        <f t="shared" si="177"/>
        <v>#NUM!</v>
      </c>
      <c r="DS191" s="60" t="e">
        <f t="shared" si="125"/>
        <v>#NUM!</v>
      </c>
      <c r="DT191" s="60">
        <f ca="1">AVERAGE(OFFSET($DS$3,0,0,'Données projet'!$E$14+1,1))-AVERAGE(OFFSET($H$3,0,0,'Données projet'!$E$14+1,1))</f>
        <v>493.70175665335978</v>
      </c>
      <c r="DU191" s="60">
        <f t="shared" si="152"/>
        <v>325.12357781685949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-1.9895196601282805E-13</v>
      </c>
      <c r="EK191" s="18">
        <f>EJ191*VLOOKUP('Données projet'!$B$15,Paramètres!$A$1:$I$89,3,0)*VLOOKUP('Données projet'!$B$15,Paramètres!$A$1:$I$89,5,0)</f>
        <v>-1.6138983482960614E-13</v>
      </c>
      <c r="EL191" s="14" t="e">
        <f t="shared" si="179"/>
        <v>#NUM!</v>
      </c>
      <c r="EM191" s="22" t="e">
        <f t="shared" si="180"/>
        <v>#NUM!</v>
      </c>
      <c r="EN191" s="60" t="e">
        <f t="shared" si="128"/>
        <v>#NUM!</v>
      </c>
      <c r="EO191" s="60">
        <f ca="1">AVERAGE(OFFSET($EN$3,0,0,'Données projet'!$E$15+1,1))-AVERAGE(OFFSET($H$3,0,0,'Données projet'!$E$15+1,1))</f>
        <v>236.22643401787644</v>
      </c>
      <c r="EP191" s="60">
        <f t="shared" si="154"/>
        <v>188.80444043778022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5.4978954722173515E-14</v>
      </c>
      <c r="FG191" s="14">
        <f t="shared" si="182"/>
        <v>8.8550225887742724E-13</v>
      </c>
      <c r="FH191" s="22">
        <f t="shared" si="183"/>
        <v>1.6380047803526383E-12</v>
      </c>
      <c r="FI191" s="60">
        <f t="shared" si="131"/>
        <v>293.33333333333496</v>
      </c>
      <c r="FJ191" s="60">
        <f ca="1">AVERAGE(OFFSET($FI$3,0,0,'Données projet'!$E$16+1,1))-AVERAGE(OFFSET($H$3,0,0,'Données projet'!$E$16+1,1))</f>
        <v>255.59755832175625</v>
      </c>
      <c r="FK191" s="60">
        <f t="shared" si="156"/>
        <v>154.0840647586964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0" t="e">
        <f t="shared" si="134"/>
        <v>#N/A</v>
      </c>
      <c r="GE191" s="60" t="e">
        <f ca="1">AVERAGE(OFFSET($GD$3,0,0,'Données projet'!$E$17+1,1))-AVERAGE(OFFSET($H$3,0,0,'Données projet'!$E$17+1,1))</f>
        <v>#N/A</v>
      </c>
      <c r="GF191" s="60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7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0" t="e">
        <f t="shared" si="137"/>
        <v>#N/A</v>
      </c>
      <c r="GZ191" s="60" t="e">
        <f ca="1">AVERAGE(OFFSET($GY$3,0,0,'Données projet'!$E$18+1,1))-AVERAGE(OFFSET($H$3,0,0,'Données projet'!$E$18+1,1))</f>
        <v>#N/A</v>
      </c>
      <c r="HA191" s="60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5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68">
        <f t="shared" si="110"/>
        <v>256.66666666666669</v>
      </c>
      <c r="I192" s="7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0" t="e">
        <f t="shared" si="109"/>
        <v>#NUM!</v>
      </c>
      <c r="S192" s="60">
        <f ca="1">AVERAGE(OFFSET($R$3,0,0,'Données projet'!$E$9+1,1))-AVERAGE(OFFSET($H$3,0,0,'Données projet'!$E$9+1,1))</f>
        <v>64.775385872852041</v>
      </c>
      <c r="T192" s="60">
        <f t="shared" si="142"/>
        <v>201.69061202990468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1.3786186721343305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7.0673911017093814E-26</v>
      </c>
      <c r="AC192" s="24">
        <f t="shared" si="163"/>
        <v>1.3786186721343305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-9.7986685432260874E-13</v>
      </c>
      <c r="AK192" s="14" t="e">
        <f t="shared" si="164"/>
        <v>#NUM!</v>
      </c>
      <c r="AL192" s="22" t="e">
        <f t="shared" si="165"/>
        <v>#NUM!</v>
      </c>
      <c r="AM192" s="60" t="e">
        <f t="shared" si="113"/>
        <v>#NUM!</v>
      </c>
      <c r="AN192" s="60">
        <f ca="1">AVERAGE(OFFSET($AM$3,0,0,'Données projet'!$E$10+1,1))-AVERAGE(OFFSET($H$3,0,0,'Données projet'!$E$10+1,1))</f>
        <v>475.47920969424894</v>
      </c>
      <c r="AO192" s="60">
        <f t="shared" si="144"/>
        <v>271.73544012419364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7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6.7984728957526396E-14</v>
      </c>
      <c r="BF192" s="14">
        <f t="shared" si="167"/>
        <v>1.0682447123141398E-12</v>
      </c>
      <c r="BG192" s="22">
        <f t="shared" si="168"/>
        <v>1.978932943548152E-12</v>
      </c>
      <c r="BH192" s="60">
        <f t="shared" si="116"/>
        <v>293.3333333333353</v>
      </c>
      <c r="BI192" s="60">
        <f ca="1">AVERAGE(OFFSET($BH$3,0,0,'Données projet'!$E$11+1,1))-AVERAGE(OFFSET($H$3,0,0,'Données projet'!$E$11+1,1))</f>
        <v>260.02504691866199</v>
      </c>
      <c r="BJ192" s="60">
        <f t="shared" si="146"/>
        <v>270.11268336406368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0.42936262588115903</v>
      </c>
      <c r="BQ192" s="23">
        <f>EXP(-LN(2)/25)*BQ191+(1-EXP(-LN(2)/25))/(LN(2)/25)*Calculateur!BL192*Calculateur!BN192*VLOOKUP('Données projet'!$B$11,Paramètres!$A$1:$I$89,3,0)*0.475*44/12</f>
        <v>0.20009965947666422</v>
      </c>
      <c r="BR192" s="23">
        <f>EXP(-LN(2)/2)*BR191+(1-EXP(-LN(2)/2))/(LN(2)/2)*BL192*BO192*VLOOKUP('Données projet'!$B$11,Paramètres!$A$1:$I$89,3,0)*0.475*44/12</f>
        <v>7.416549972850591E-24</v>
      </c>
      <c r="BS192" s="24">
        <f t="shared" si="169"/>
        <v>0.62946228535782323</v>
      </c>
      <c r="BT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5.1159076974727213E-13</v>
      </c>
      <c r="BZ192" s="14">
        <f>BY192*VLOOKUP('Données projet'!$B$12,Paramètres!$A$1:$I$89,3,0)*VLOOKUP('Données projet'!$B$12,Paramètres!$A$1:$I$89,5,0)</f>
        <v>2.3942448024172334E-13</v>
      </c>
      <c r="CA192" s="14">
        <f t="shared" si="170"/>
        <v>3.2492669905861755E-12</v>
      </c>
      <c r="CB192" s="22">
        <f t="shared" si="171"/>
        <v>6.0761376450252565E-12</v>
      </c>
      <c r="CC192" s="60">
        <f t="shared" si="119"/>
        <v>293.3333333333394</v>
      </c>
      <c r="CD192" s="60">
        <f ca="1">AVERAGE(OFFSET($CC$3,0,0,'Données projet'!$E$12+1,1))-AVERAGE(OFFSET($H$3,0,0,'Données projet'!$E$12+1,1))</f>
        <v>246.72166704460847</v>
      </c>
      <c r="CE192" s="60">
        <f t="shared" si="148"/>
        <v>145.54897745089966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-9.6633812063373625E-13</v>
      </c>
      <c r="CU192" s="18">
        <f>CT192*VLOOKUP('Données projet'!$B$13,Paramètres!$A$1:$I$89,3,0)*VLOOKUP('Données projet'!$B$13,Paramètres!$A$1:$I$89,5,0)</f>
        <v>-8.7434273154940449E-13</v>
      </c>
      <c r="CV192" s="14" t="e">
        <f t="shared" si="173"/>
        <v>#NUM!</v>
      </c>
      <c r="CW192" s="22" t="e">
        <f t="shared" si="174"/>
        <v>#NUM!</v>
      </c>
      <c r="CX192" s="60" t="e">
        <f t="shared" si="122"/>
        <v>#NUM!</v>
      </c>
      <c r="CY192" s="60">
        <f ca="1">AVERAGE(OFFSET($CX$3,0,0,'Données projet'!$E$13+1,1))-AVERAGE(OFFSET($H$3,0,0,'Données projet'!$E$13+1,1))</f>
        <v>428.8489304403459</v>
      </c>
      <c r="CZ192" s="60">
        <f t="shared" si="150"/>
        <v>247.01165577562966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-5.1159076974727213E-13</v>
      </c>
      <c r="DP192" s="18">
        <f>DO192*VLOOKUP('Données projet'!$B$14,Paramètres!$A$1:$I$89,3,0)*VLOOKUP('Données projet'!$B$14,Paramètres!$A$1:$I$89,5,0)</f>
        <v>-5.3471467253984886E-13</v>
      </c>
      <c r="DQ192" s="14" t="e">
        <f t="shared" si="176"/>
        <v>#NUM!</v>
      </c>
      <c r="DR192" s="22" t="e">
        <f t="shared" si="177"/>
        <v>#NUM!</v>
      </c>
      <c r="DS192" s="60" t="e">
        <f t="shared" si="125"/>
        <v>#NUM!</v>
      </c>
      <c r="DT192" s="60">
        <f ca="1">AVERAGE(OFFSET($DS$3,0,0,'Données projet'!$E$14+1,1))-AVERAGE(OFFSET($H$3,0,0,'Données projet'!$E$14+1,1))</f>
        <v>493.70175665335978</v>
      </c>
      <c r="DU192" s="60">
        <f t="shared" si="152"/>
        <v>325.12357781685949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-1.9895196601282805E-13</v>
      </c>
      <c r="EK192" s="18">
        <f>EJ192*VLOOKUP('Données projet'!$B$15,Paramètres!$A$1:$I$89,3,0)*VLOOKUP('Données projet'!$B$15,Paramètres!$A$1:$I$89,5,0)</f>
        <v>-1.6138983482960614E-13</v>
      </c>
      <c r="EL192" s="14" t="e">
        <f t="shared" si="179"/>
        <v>#NUM!</v>
      </c>
      <c r="EM192" s="22" t="e">
        <f t="shared" si="180"/>
        <v>#NUM!</v>
      </c>
      <c r="EN192" s="60" t="e">
        <f t="shared" si="128"/>
        <v>#NUM!</v>
      </c>
      <c r="EO192" s="60">
        <f ca="1">AVERAGE(OFFSET($EN$3,0,0,'Données projet'!$E$15+1,1))-AVERAGE(OFFSET($H$3,0,0,'Données projet'!$E$15+1,1))</f>
        <v>236.22643401787644</v>
      </c>
      <c r="EP192" s="60">
        <f t="shared" si="154"/>
        <v>188.80444043778022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5.4978954722173515E-14</v>
      </c>
      <c r="FG192" s="14">
        <f t="shared" si="182"/>
        <v>8.8550225887742724E-13</v>
      </c>
      <c r="FH192" s="22">
        <f t="shared" si="183"/>
        <v>1.6380047803526383E-12</v>
      </c>
      <c r="FI192" s="60">
        <f t="shared" si="131"/>
        <v>293.33333333333496</v>
      </c>
      <c r="FJ192" s="60">
        <f ca="1">AVERAGE(OFFSET($FI$3,0,0,'Données projet'!$E$16+1,1))-AVERAGE(OFFSET($H$3,0,0,'Données projet'!$E$16+1,1))</f>
        <v>255.59755832175625</v>
      </c>
      <c r="FK192" s="60">
        <f t="shared" si="156"/>
        <v>154.0840647586964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0" t="e">
        <f t="shared" si="134"/>
        <v>#N/A</v>
      </c>
      <c r="GE192" s="60" t="e">
        <f ca="1">AVERAGE(OFFSET($GD$3,0,0,'Données projet'!$E$17+1,1))-AVERAGE(OFFSET($H$3,0,0,'Données projet'!$E$17+1,1))</f>
        <v>#N/A</v>
      </c>
      <c r="GF192" s="60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7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0" t="e">
        <f t="shared" si="137"/>
        <v>#N/A</v>
      </c>
      <c r="GZ192" s="60" t="e">
        <f ca="1">AVERAGE(OFFSET($GY$3,0,0,'Données projet'!$E$18+1,1))-AVERAGE(OFFSET($H$3,0,0,'Données projet'!$E$18+1,1))</f>
        <v>#N/A</v>
      </c>
      <c r="HA192" s="60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5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68">
        <f t="shared" si="110"/>
        <v>256.66666666666669</v>
      </c>
      <c r="I193" s="7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0" t="e">
        <f t="shared" si="109"/>
        <v>#NUM!</v>
      </c>
      <c r="S193" s="60">
        <f ca="1">AVERAGE(OFFSET($R$3,0,0,'Données projet'!$E$9+1,1))-AVERAGE(OFFSET($H$3,0,0,'Données projet'!$E$9+1,1))</f>
        <v>64.775385872852041</v>
      </c>
      <c r="T193" s="60">
        <f t="shared" si="142"/>
        <v>201.69061202990468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1.3515848008481368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4.9974001733161687E-26</v>
      </c>
      <c r="AC193" s="24">
        <f t="shared" si="163"/>
        <v>1.3515848008481368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-9.7986685432260874E-13</v>
      </c>
      <c r="AK193" s="14" t="e">
        <f t="shared" si="164"/>
        <v>#NUM!</v>
      </c>
      <c r="AL193" s="22" t="e">
        <f t="shared" si="165"/>
        <v>#NUM!</v>
      </c>
      <c r="AM193" s="60" t="e">
        <f t="shared" si="113"/>
        <v>#NUM!</v>
      </c>
      <c r="AN193" s="60">
        <f ca="1">AVERAGE(OFFSET($AM$3,0,0,'Données projet'!$E$10+1,1))-AVERAGE(OFFSET($H$3,0,0,'Données projet'!$E$10+1,1))</f>
        <v>475.47920969424894</v>
      </c>
      <c r="AO193" s="60">
        <f t="shared" si="144"/>
        <v>271.73544012419364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7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6.7984728957526396E-14</v>
      </c>
      <c r="BF193" s="14">
        <f t="shared" si="167"/>
        <v>1.0682447123141398E-12</v>
      </c>
      <c r="BG193" s="22">
        <f t="shared" si="168"/>
        <v>1.978932943548152E-12</v>
      </c>
      <c r="BH193" s="60">
        <f t="shared" si="116"/>
        <v>293.3333333333353</v>
      </c>
      <c r="BI193" s="60">
        <f ca="1">AVERAGE(OFFSET($BH$3,0,0,'Données projet'!$E$11+1,1))-AVERAGE(OFFSET($H$3,0,0,'Données projet'!$E$11+1,1))</f>
        <v>260.02504691866199</v>
      </c>
      <c r="BJ193" s="60">
        <f t="shared" si="146"/>
        <v>270.11268336406368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0.42094308667297226</v>
      </c>
      <c r="BQ193" s="23">
        <f>EXP(-LN(2)/25)*BQ192+(1-EXP(-LN(2)/25))/(LN(2)/25)*Calculateur!BL193*Calculateur!BN193*VLOOKUP('Données projet'!$B$11,Paramètres!$A$1:$I$89,3,0)*0.475*44/12</f>
        <v>0.19462792376549107</v>
      </c>
      <c r="BR193" s="23">
        <f>EXP(-LN(2)/2)*BR192+(1-EXP(-LN(2)/2))/(LN(2)/2)*BL193*BO193*VLOOKUP('Données projet'!$B$11,Paramètres!$A$1:$I$89,3,0)*0.475*44/12</f>
        <v>5.2442927788115578E-24</v>
      </c>
      <c r="BS193" s="24">
        <f t="shared" si="169"/>
        <v>0.6155710104384633</v>
      </c>
      <c r="BT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5.1159076974727213E-13</v>
      </c>
      <c r="BZ193" s="14">
        <f>BY193*VLOOKUP('Données projet'!$B$12,Paramètres!$A$1:$I$89,3,0)*VLOOKUP('Données projet'!$B$12,Paramètres!$A$1:$I$89,5,0)</f>
        <v>2.3942448024172334E-13</v>
      </c>
      <c r="CA193" s="14">
        <f t="shared" si="170"/>
        <v>3.2492669905861755E-12</v>
      </c>
      <c r="CB193" s="22">
        <f t="shared" si="171"/>
        <v>6.0761376450252565E-12</v>
      </c>
      <c r="CC193" s="60">
        <f t="shared" si="119"/>
        <v>293.3333333333394</v>
      </c>
      <c r="CD193" s="60">
        <f ca="1">AVERAGE(OFFSET($CC$3,0,0,'Données projet'!$E$12+1,1))-AVERAGE(OFFSET($H$3,0,0,'Données projet'!$E$12+1,1))</f>
        <v>246.72166704460847</v>
      </c>
      <c r="CE193" s="60">
        <f t="shared" si="148"/>
        <v>145.54897745089966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-9.6633812063373625E-13</v>
      </c>
      <c r="CU193" s="18">
        <f>CT193*VLOOKUP('Données projet'!$B$13,Paramètres!$A$1:$I$89,3,0)*VLOOKUP('Données projet'!$B$13,Paramètres!$A$1:$I$89,5,0)</f>
        <v>-8.7434273154940449E-13</v>
      </c>
      <c r="CV193" s="14" t="e">
        <f t="shared" si="173"/>
        <v>#NUM!</v>
      </c>
      <c r="CW193" s="22" t="e">
        <f t="shared" si="174"/>
        <v>#NUM!</v>
      </c>
      <c r="CX193" s="60" t="e">
        <f t="shared" si="122"/>
        <v>#NUM!</v>
      </c>
      <c r="CY193" s="60">
        <f ca="1">AVERAGE(OFFSET($CX$3,0,0,'Données projet'!$E$13+1,1))-AVERAGE(OFFSET($H$3,0,0,'Données projet'!$E$13+1,1))</f>
        <v>428.8489304403459</v>
      </c>
      <c r="CZ193" s="60">
        <f t="shared" si="150"/>
        <v>247.01165577562966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-5.1159076974727213E-13</v>
      </c>
      <c r="DP193" s="18">
        <f>DO193*VLOOKUP('Données projet'!$B$14,Paramètres!$A$1:$I$89,3,0)*VLOOKUP('Données projet'!$B$14,Paramètres!$A$1:$I$89,5,0)</f>
        <v>-5.3471467253984886E-13</v>
      </c>
      <c r="DQ193" s="14" t="e">
        <f t="shared" si="176"/>
        <v>#NUM!</v>
      </c>
      <c r="DR193" s="22" t="e">
        <f t="shared" si="177"/>
        <v>#NUM!</v>
      </c>
      <c r="DS193" s="60" t="e">
        <f t="shared" si="125"/>
        <v>#NUM!</v>
      </c>
      <c r="DT193" s="60">
        <f ca="1">AVERAGE(OFFSET($DS$3,0,0,'Données projet'!$E$14+1,1))-AVERAGE(OFFSET($H$3,0,0,'Données projet'!$E$14+1,1))</f>
        <v>493.70175665335978</v>
      </c>
      <c r="DU193" s="60">
        <f t="shared" si="152"/>
        <v>325.12357781685949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-1.9895196601282805E-13</v>
      </c>
      <c r="EK193" s="18">
        <f>EJ193*VLOOKUP('Données projet'!$B$15,Paramètres!$A$1:$I$89,3,0)*VLOOKUP('Données projet'!$B$15,Paramètres!$A$1:$I$89,5,0)</f>
        <v>-1.6138983482960614E-13</v>
      </c>
      <c r="EL193" s="14" t="e">
        <f t="shared" si="179"/>
        <v>#NUM!</v>
      </c>
      <c r="EM193" s="22" t="e">
        <f t="shared" si="180"/>
        <v>#NUM!</v>
      </c>
      <c r="EN193" s="60" t="e">
        <f t="shared" si="128"/>
        <v>#NUM!</v>
      </c>
      <c r="EO193" s="60">
        <f ca="1">AVERAGE(OFFSET($EN$3,0,0,'Données projet'!$E$15+1,1))-AVERAGE(OFFSET($H$3,0,0,'Données projet'!$E$15+1,1))</f>
        <v>236.22643401787644</v>
      </c>
      <c r="EP193" s="60">
        <f t="shared" si="154"/>
        <v>188.80444043778022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5.4978954722173515E-14</v>
      </c>
      <c r="FG193" s="14">
        <f t="shared" si="182"/>
        <v>8.8550225887742724E-13</v>
      </c>
      <c r="FH193" s="22">
        <f t="shared" si="183"/>
        <v>1.6380047803526383E-12</v>
      </c>
      <c r="FI193" s="60">
        <f t="shared" si="131"/>
        <v>293.33333333333496</v>
      </c>
      <c r="FJ193" s="60">
        <f ca="1">AVERAGE(OFFSET($FI$3,0,0,'Données projet'!$E$16+1,1))-AVERAGE(OFFSET($H$3,0,0,'Données projet'!$E$16+1,1))</f>
        <v>255.59755832175625</v>
      </c>
      <c r="FK193" s="60">
        <f t="shared" si="156"/>
        <v>154.0840647586964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0" t="e">
        <f t="shared" si="134"/>
        <v>#N/A</v>
      </c>
      <c r="GE193" s="60" t="e">
        <f ca="1">AVERAGE(OFFSET($GD$3,0,0,'Données projet'!$E$17+1,1))-AVERAGE(OFFSET($H$3,0,0,'Données projet'!$E$17+1,1))</f>
        <v>#N/A</v>
      </c>
      <c r="GF193" s="60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7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0" t="e">
        <f t="shared" si="137"/>
        <v>#N/A</v>
      </c>
      <c r="GZ193" s="60" t="e">
        <f ca="1">AVERAGE(OFFSET($GY$3,0,0,'Données projet'!$E$18+1,1))-AVERAGE(OFFSET($H$3,0,0,'Données projet'!$E$18+1,1))</f>
        <v>#N/A</v>
      </c>
      <c r="HA193" s="60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5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68">
        <f t="shared" si="110"/>
        <v>256.66666666666669</v>
      </c>
      <c r="I194" s="7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0" t="e">
        <f t="shared" si="109"/>
        <v>#NUM!</v>
      </c>
      <c r="S194" s="60">
        <f ca="1">AVERAGE(OFFSET($R$3,0,0,'Données projet'!$E$9+1,1))-AVERAGE(OFFSET($H$3,0,0,'Données projet'!$E$9+1,1))</f>
        <v>64.775385872852041</v>
      </c>
      <c r="T194" s="60">
        <f t="shared" si="142"/>
        <v>201.69061202990468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1.3250810472888321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3.5336955508546907E-26</v>
      </c>
      <c r="AC194" s="24">
        <f t="shared" si="163"/>
        <v>1.3250810472888321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-9.7986685432260874E-13</v>
      </c>
      <c r="AK194" s="14" t="e">
        <f t="shared" si="164"/>
        <v>#NUM!</v>
      </c>
      <c r="AL194" s="22" t="e">
        <f t="shared" si="165"/>
        <v>#NUM!</v>
      </c>
      <c r="AM194" s="60" t="e">
        <f t="shared" si="113"/>
        <v>#NUM!</v>
      </c>
      <c r="AN194" s="60">
        <f ca="1">AVERAGE(OFFSET($AM$3,0,0,'Données projet'!$E$10+1,1))-AVERAGE(OFFSET($H$3,0,0,'Données projet'!$E$10+1,1))</f>
        <v>475.47920969424894</v>
      </c>
      <c r="AO194" s="60">
        <f t="shared" si="144"/>
        <v>271.73544012419364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7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6.7984728957526396E-14</v>
      </c>
      <c r="BF194" s="14">
        <f t="shared" si="167"/>
        <v>1.0682447123141398E-12</v>
      </c>
      <c r="BG194" s="22">
        <f t="shared" si="168"/>
        <v>1.978932943548152E-12</v>
      </c>
      <c r="BH194" s="60">
        <f t="shared" si="116"/>
        <v>293.3333333333353</v>
      </c>
      <c r="BI194" s="60">
        <f ca="1">AVERAGE(OFFSET($BH$3,0,0,'Données projet'!$E$11+1,1))-AVERAGE(OFFSET($H$3,0,0,'Données projet'!$E$11+1,1))</f>
        <v>260.02504691866199</v>
      </c>
      <c r="BJ194" s="60">
        <f t="shared" si="146"/>
        <v>270.11268336406368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0.41268864949324618</v>
      </c>
      <c r="BQ194" s="23">
        <f>EXP(-LN(2)/25)*BQ193+(1-EXP(-LN(2)/25))/(LN(2)/25)*Calculateur!BL194*Calculateur!BN194*VLOOKUP('Données projet'!$B$11,Paramètres!$A$1:$I$89,3,0)*0.475*44/12</f>
        <v>0.18930581295508603</v>
      </c>
      <c r="BR194" s="23">
        <f>EXP(-LN(2)/2)*BR193+(1-EXP(-LN(2)/2))/(LN(2)/2)*BL194*BO194*VLOOKUP('Données projet'!$B$11,Paramètres!$A$1:$I$89,3,0)*0.475*44/12</f>
        <v>3.7082749864252955E-24</v>
      </c>
      <c r="BS194" s="24">
        <f t="shared" si="169"/>
        <v>0.60199446244833221</v>
      </c>
      <c r="BT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5.1159076974727213E-13</v>
      </c>
      <c r="BZ194" s="14">
        <f>BY194*VLOOKUP('Données projet'!$B$12,Paramètres!$A$1:$I$89,3,0)*VLOOKUP('Données projet'!$B$12,Paramètres!$A$1:$I$89,5,0)</f>
        <v>2.3942448024172334E-13</v>
      </c>
      <c r="CA194" s="14">
        <f t="shared" si="170"/>
        <v>3.2492669905861755E-12</v>
      </c>
      <c r="CB194" s="22">
        <f t="shared" si="171"/>
        <v>6.0761376450252565E-12</v>
      </c>
      <c r="CC194" s="60">
        <f t="shared" si="119"/>
        <v>293.3333333333394</v>
      </c>
      <c r="CD194" s="60">
        <f ca="1">AVERAGE(OFFSET($CC$3,0,0,'Données projet'!$E$12+1,1))-AVERAGE(OFFSET($H$3,0,0,'Données projet'!$E$12+1,1))</f>
        <v>246.72166704460847</v>
      </c>
      <c r="CE194" s="60">
        <f t="shared" si="148"/>
        <v>145.54897745089966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-9.6633812063373625E-13</v>
      </c>
      <c r="CU194" s="18">
        <f>CT194*VLOOKUP('Données projet'!$B$13,Paramètres!$A$1:$I$89,3,0)*VLOOKUP('Données projet'!$B$13,Paramètres!$A$1:$I$89,5,0)</f>
        <v>-8.7434273154940449E-13</v>
      </c>
      <c r="CV194" s="14" t="e">
        <f t="shared" si="173"/>
        <v>#NUM!</v>
      </c>
      <c r="CW194" s="22" t="e">
        <f t="shared" si="174"/>
        <v>#NUM!</v>
      </c>
      <c r="CX194" s="60" t="e">
        <f t="shared" si="122"/>
        <v>#NUM!</v>
      </c>
      <c r="CY194" s="60">
        <f ca="1">AVERAGE(OFFSET($CX$3,0,0,'Données projet'!$E$13+1,1))-AVERAGE(OFFSET($H$3,0,0,'Données projet'!$E$13+1,1))</f>
        <v>428.8489304403459</v>
      </c>
      <c r="CZ194" s="60">
        <f t="shared" si="150"/>
        <v>247.01165577562966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-5.1159076974727213E-13</v>
      </c>
      <c r="DP194" s="18">
        <f>DO194*VLOOKUP('Données projet'!$B$14,Paramètres!$A$1:$I$89,3,0)*VLOOKUP('Données projet'!$B$14,Paramètres!$A$1:$I$89,5,0)</f>
        <v>-5.3471467253984886E-13</v>
      </c>
      <c r="DQ194" s="14" t="e">
        <f t="shared" si="176"/>
        <v>#NUM!</v>
      </c>
      <c r="DR194" s="22" t="e">
        <f t="shared" si="177"/>
        <v>#NUM!</v>
      </c>
      <c r="DS194" s="60" t="e">
        <f t="shared" si="125"/>
        <v>#NUM!</v>
      </c>
      <c r="DT194" s="60">
        <f ca="1">AVERAGE(OFFSET($DS$3,0,0,'Données projet'!$E$14+1,1))-AVERAGE(OFFSET($H$3,0,0,'Données projet'!$E$14+1,1))</f>
        <v>493.70175665335978</v>
      </c>
      <c r="DU194" s="60">
        <f t="shared" si="152"/>
        <v>325.12357781685949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-1.9895196601282805E-13</v>
      </c>
      <c r="EK194" s="18">
        <f>EJ194*VLOOKUP('Données projet'!$B$15,Paramètres!$A$1:$I$89,3,0)*VLOOKUP('Données projet'!$B$15,Paramètres!$A$1:$I$89,5,0)</f>
        <v>-1.6138983482960614E-13</v>
      </c>
      <c r="EL194" s="14" t="e">
        <f t="shared" si="179"/>
        <v>#NUM!</v>
      </c>
      <c r="EM194" s="22" t="e">
        <f t="shared" si="180"/>
        <v>#NUM!</v>
      </c>
      <c r="EN194" s="60" t="e">
        <f t="shared" si="128"/>
        <v>#NUM!</v>
      </c>
      <c r="EO194" s="60">
        <f ca="1">AVERAGE(OFFSET($EN$3,0,0,'Données projet'!$E$15+1,1))-AVERAGE(OFFSET($H$3,0,0,'Données projet'!$E$15+1,1))</f>
        <v>236.22643401787644</v>
      </c>
      <c r="EP194" s="60">
        <f t="shared" si="154"/>
        <v>188.80444043778022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5.4978954722173515E-14</v>
      </c>
      <c r="FG194" s="14">
        <f t="shared" si="182"/>
        <v>8.8550225887742724E-13</v>
      </c>
      <c r="FH194" s="22">
        <f t="shared" si="183"/>
        <v>1.6380047803526383E-12</v>
      </c>
      <c r="FI194" s="60">
        <f t="shared" si="131"/>
        <v>293.33333333333496</v>
      </c>
      <c r="FJ194" s="60">
        <f ca="1">AVERAGE(OFFSET($FI$3,0,0,'Données projet'!$E$16+1,1))-AVERAGE(OFFSET($H$3,0,0,'Données projet'!$E$16+1,1))</f>
        <v>255.59755832175625</v>
      </c>
      <c r="FK194" s="60">
        <f t="shared" si="156"/>
        <v>154.0840647586964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0" t="e">
        <f t="shared" si="134"/>
        <v>#N/A</v>
      </c>
      <c r="GE194" s="60" t="e">
        <f ca="1">AVERAGE(OFFSET($GD$3,0,0,'Données projet'!$E$17+1,1))-AVERAGE(OFFSET($H$3,0,0,'Données projet'!$E$17+1,1))</f>
        <v>#N/A</v>
      </c>
      <c r="GF194" s="60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7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0" t="e">
        <f t="shared" si="137"/>
        <v>#N/A</v>
      </c>
      <c r="GZ194" s="60" t="e">
        <f ca="1">AVERAGE(OFFSET($GY$3,0,0,'Données projet'!$E$18+1,1))-AVERAGE(OFFSET($H$3,0,0,'Données projet'!$E$18+1,1))</f>
        <v>#N/A</v>
      </c>
      <c r="HA194" s="60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5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68">
        <f t="shared" si="110"/>
        <v>256.66666666666669</v>
      </c>
      <c r="I195" s="7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0" t="e">
        <f t="shared" ref="R195:R203" si="191">Q195+(I195+J195)*44/12</f>
        <v>#NUM!</v>
      </c>
      <c r="S195" s="60">
        <f ca="1">AVERAGE(OFFSET($R$3,0,0,'Données projet'!$E$9+1,1))-AVERAGE(OFFSET($H$3,0,0,'Données projet'!$E$9+1,1))</f>
        <v>64.775385872852041</v>
      </c>
      <c r="T195" s="60">
        <f t="shared" si="142"/>
        <v>201.69061202990468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1.2990970161711319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2.4987000866580843E-26</v>
      </c>
      <c r="AC195" s="24">
        <f t="shared" si="163"/>
        <v>1.2990970161711319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-9.7986685432260874E-13</v>
      </c>
      <c r="AK195" s="14" t="e">
        <f t="shared" si="164"/>
        <v>#NUM!</v>
      </c>
      <c r="AL195" s="22" t="e">
        <f t="shared" si="165"/>
        <v>#NUM!</v>
      </c>
      <c r="AM195" s="60" t="e">
        <f t="shared" si="113"/>
        <v>#NUM!</v>
      </c>
      <c r="AN195" s="60">
        <f ca="1">AVERAGE(OFFSET($AM$3,0,0,'Données projet'!$E$10+1,1))-AVERAGE(OFFSET($H$3,0,0,'Données projet'!$E$10+1,1))</f>
        <v>475.47920969424894</v>
      </c>
      <c r="AO195" s="60">
        <f t="shared" si="144"/>
        <v>271.73544012419364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7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6.7984728957526396E-14</v>
      </c>
      <c r="BF195" s="14">
        <f t="shared" si="167"/>
        <v>1.0682447123141398E-12</v>
      </c>
      <c r="BG195" s="22">
        <f t="shared" si="168"/>
        <v>1.978932943548152E-12</v>
      </c>
      <c r="BH195" s="60">
        <f t="shared" si="116"/>
        <v>293.3333333333353</v>
      </c>
      <c r="BI195" s="60">
        <f ca="1">AVERAGE(OFFSET($BH$3,0,0,'Données projet'!$E$11+1,1))-AVERAGE(OFFSET($H$3,0,0,'Données projet'!$E$11+1,1))</f>
        <v>260.02504691866199</v>
      </c>
      <c r="BJ195" s="60">
        <f t="shared" si="146"/>
        <v>270.11268336406368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0.40459607679190501</v>
      </c>
      <c r="BQ195" s="23">
        <f>EXP(-LN(2)/25)*BQ194+(1-EXP(-LN(2)/25))/(LN(2)/25)*Calculateur!BL195*Calculateur!BN195*VLOOKUP('Données projet'!$B$11,Paramètres!$A$1:$I$89,3,0)*0.475*44/12</f>
        <v>0.18412923554466917</v>
      </c>
      <c r="BR195" s="23">
        <f>EXP(-LN(2)/2)*BR194+(1-EXP(-LN(2)/2))/(LN(2)/2)*BL195*BO195*VLOOKUP('Données projet'!$B$11,Paramètres!$A$1:$I$89,3,0)*0.475*44/12</f>
        <v>2.6221463894057789E-24</v>
      </c>
      <c r="BS195" s="24">
        <f t="shared" si="169"/>
        <v>0.58872531233657421</v>
      </c>
      <c r="BT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5.1159076974727213E-13</v>
      </c>
      <c r="BZ195" s="14">
        <f>BY195*VLOOKUP('Données projet'!$B$12,Paramètres!$A$1:$I$89,3,0)*VLOOKUP('Données projet'!$B$12,Paramètres!$A$1:$I$89,5,0)</f>
        <v>2.3942448024172334E-13</v>
      </c>
      <c r="CA195" s="14">
        <f t="shared" si="170"/>
        <v>3.2492669905861755E-12</v>
      </c>
      <c r="CB195" s="22">
        <f t="shared" si="171"/>
        <v>6.0761376450252565E-12</v>
      </c>
      <c r="CC195" s="60">
        <f t="shared" si="119"/>
        <v>293.3333333333394</v>
      </c>
      <c r="CD195" s="60">
        <f ca="1">AVERAGE(OFFSET($CC$3,0,0,'Données projet'!$E$12+1,1))-AVERAGE(OFFSET($H$3,0,0,'Données projet'!$E$12+1,1))</f>
        <v>246.72166704460847</v>
      </c>
      <c r="CE195" s="60">
        <f t="shared" si="148"/>
        <v>145.54897745089966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-9.6633812063373625E-13</v>
      </c>
      <c r="CU195" s="18">
        <f>CT195*VLOOKUP('Données projet'!$B$13,Paramètres!$A$1:$I$89,3,0)*VLOOKUP('Données projet'!$B$13,Paramètres!$A$1:$I$89,5,0)</f>
        <v>-8.7434273154940449E-13</v>
      </c>
      <c r="CV195" s="14" t="e">
        <f t="shared" si="173"/>
        <v>#NUM!</v>
      </c>
      <c r="CW195" s="22" t="e">
        <f t="shared" si="174"/>
        <v>#NUM!</v>
      </c>
      <c r="CX195" s="60" t="e">
        <f t="shared" si="122"/>
        <v>#NUM!</v>
      </c>
      <c r="CY195" s="60">
        <f ca="1">AVERAGE(OFFSET($CX$3,0,0,'Données projet'!$E$13+1,1))-AVERAGE(OFFSET($H$3,0,0,'Données projet'!$E$13+1,1))</f>
        <v>428.8489304403459</v>
      </c>
      <c r="CZ195" s="60">
        <f t="shared" si="150"/>
        <v>247.01165577562966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-5.1159076974727213E-13</v>
      </c>
      <c r="DP195" s="18">
        <f>DO195*VLOOKUP('Données projet'!$B$14,Paramètres!$A$1:$I$89,3,0)*VLOOKUP('Données projet'!$B$14,Paramètres!$A$1:$I$89,5,0)</f>
        <v>-5.3471467253984886E-13</v>
      </c>
      <c r="DQ195" s="14" t="e">
        <f t="shared" si="176"/>
        <v>#NUM!</v>
      </c>
      <c r="DR195" s="22" t="e">
        <f t="shared" si="177"/>
        <v>#NUM!</v>
      </c>
      <c r="DS195" s="60" t="e">
        <f t="shared" si="125"/>
        <v>#NUM!</v>
      </c>
      <c r="DT195" s="60">
        <f ca="1">AVERAGE(OFFSET($DS$3,0,0,'Données projet'!$E$14+1,1))-AVERAGE(OFFSET($H$3,0,0,'Données projet'!$E$14+1,1))</f>
        <v>493.70175665335978</v>
      </c>
      <c r="DU195" s="60">
        <f t="shared" si="152"/>
        <v>325.12357781685949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-1.9895196601282805E-13</v>
      </c>
      <c r="EK195" s="18">
        <f>EJ195*VLOOKUP('Données projet'!$B$15,Paramètres!$A$1:$I$89,3,0)*VLOOKUP('Données projet'!$B$15,Paramètres!$A$1:$I$89,5,0)</f>
        <v>-1.6138983482960614E-13</v>
      </c>
      <c r="EL195" s="14" t="e">
        <f t="shared" si="179"/>
        <v>#NUM!</v>
      </c>
      <c r="EM195" s="22" t="e">
        <f t="shared" si="180"/>
        <v>#NUM!</v>
      </c>
      <c r="EN195" s="60" t="e">
        <f t="shared" si="128"/>
        <v>#NUM!</v>
      </c>
      <c r="EO195" s="60">
        <f ca="1">AVERAGE(OFFSET($EN$3,0,0,'Données projet'!$E$15+1,1))-AVERAGE(OFFSET($H$3,0,0,'Données projet'!$E$15+1,1))</f>
        <v>236.22643401787644</v>
      </c>
      <c r="EP195" s="60">
        <f t="shared" si="154"/>
        <v>188.80444043778022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5.4978954722173515E-14</v>
      </c>
      <c r="FG195" s="14">
        <f t="shared" si="182"/>
        <v>8.8550225887742724E-13</v>
      </c>
      <c r="FH195" s="22">
        <f t="shared" si="183"/>
        <v>1.6380047803526383E-12</v>
      </c>
      <c r="FI195" s="60">
        <f t="shared" si="131"/>
        <v>293.33333333333496</v>
      </c>
      <c r="FJ195" s="60">
        <f ca="1">AVERAGE(OFFSET($FI$3,0,0,'Données projet'!$E$16+1,1))-AVERAGE(OFFSET($H$3,0,0,'Données projet'!$E$16+1,1))</f>
        <v>255.59755832175625</v>
      </c>
      <c r="FK195" s="60">
        <f t="shared" si="156"/>
        <v>154.0840647586964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0" t="e">
        <f t="shared" si="134"/>
        <v>#N/A</v>
      </c>
      <c r="GE195" s="60" t="e">
        <f ca="1">AVERAGE(OFFSET($GD$3,0,0,'Données projet'!$E$17+1,1))-AVERAGE(OFFSET($H$3,0,0,'Données projet'!$E$17+1,1))</f>
        <v>#N/A</v>
      </c>
      <c r="GF195" s="60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7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0" t="e">
        <f t="shared" si="137"/>
        <v>#N/A</v>
      </c>
      <c r="GZ195" s="60" t="e">
        <f ca="1">AVERAGE(OFFSET($GY$3,0,0,'Données projet'!$E$18+1,1))-AVERAGE(OFFSET($H$3,0,0,'Données projet'!$E$18+1,1))</f>
        <v>#N/A</v>
      </c>
      <c r="HA195" s="60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5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68">
        <f t="shared" ref="H196:H203" si="192">(B196+E196+F196)*44/12+(C196+D196)*0.475*44/12</f>
        <v>256.66666666666669</v>
      </c>
      <c r="I196" s="7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0" t="e">
        <f t="shared" si="191"/>
        <v>#NUM!</v>
      </c>
      <c r="S196" s="60">
        <f ca="1">AVERAGE(OFFSET($R$3,0,0,'Données projet'!$E$9+1,1))-AVERAGE(OFFSET($H$3,0,0,'Données projet'!$E$9+1,1))</f>
        <v>64.775385872852041</v>
      </c>
      <c r="T196" s="60">
        <f t="shared" si="142"/>
        <v>201.69061202990468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1.2736225160549557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1.7668477754273454E-26</v>
      </c>
      <c r="AC196" s="24">
        <f t="shared" si="163"/>
        <v>1.2736225160549557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-9.7986685432260874E-13</v>
      </c>
      <c r="AK196" s="14" t="e">
        <f t="shared" si="164"/>
        <v>#NUM!</v>
      </c>
      <c r="AL196" s="22" t="e">
        <f t="shared" si="165"/>
        <v>#NUM!</v>
      </c>
      <c r="AM196" s="60" t="e">
        <f t="shared" ref="AM196:AM203" si="193">AL196+(AD196+AE196)*44/12</f>
        <v>#NUM!</v>
      </c>
      <c r="AN196" s="60">
        <f ca="1">AVERAGE(OFFSET($AM$3,0,0,'Données projet'!$E$10+1,1))-AVERAGE(OFFSET($H$3,0,0,'Données projet'!$E$10+1,1))</f>
        <v>475.47920969424894</v>
      </c>
      <c r="AO196" s="60">
        <f t="shared" si="144"/>
        <v>271.73544012419364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7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6.7984728957526396E-14</v>
      </c>
      <c r="BF196" s="14">
        <f t="shared" si="167"/>
        <v>1.0682447123141398E-12</v>
      </c>
      <c r="BG196" s="22">
        <f t="shared" si="168"/>
        <v>1.978932943548152E-12</v>
      </c>
      <c r="BH196" s="60">
        <f t="shared" ref="BH196:BH203" si="194">BG196+(AY196+AZ196)*44/12</f>
        <v>293.3333333333353</v>
      </c>
      <c r="BI196" s="60">
        <f ca="1">AVERAGE(OFFSET($BH$3,0,0,'Données projet'!$E$11+1,1))-AVERAGE(OFFSET($H$3,0,0,'Données projet'!$E$11+1,1))</f>
        <v>260.02504691866199</v>
      </c>
      <c r="BJ196" s="60">
        <f t="shared" si="146"/>
        <v>270.11268336406368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0.39666219450525519</v>
      </c>
      <c r="BQ196" s="23">
        <f>EXP(-LN(2)/25)*BQ195+(1-EXP(-LN(2)/25))/(LN(2)/25)*Calculateur!BL196*Calculateur!BN196*VLOOKUP('Données projet'!$B$11,Paramètres!$A$1:$I$89,3,0)*0.475*44/12</f>
        <v>0.17909421191576452</v>
      </c>
      <c r="BR196" s="23">
        <f>EXP(-LN(2)/2)*BR195+(1-EXP(-LN(2)/2))/(LN(2)/2)*BL196*BO196*VLOOKUP('Données projet'!$B$11,Paramètres!$A$1:$I$89,3,0)*0.475*44/12</f>
        <v>1.8541374932126477E-24</v>
      </c>
      <c r="BS196" s="24">
        <f t="shared" si="169"/>
        <v>0.57575640642101966</v>
      </c>
      <c r="BT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5.1159076974727213E-13</v>
      </c>
      <c r="BZ196" s="14">
        <f>BY196*VLOOKUP('Données projet'!$B$12,Paramètres!$A$1:$I$89,3,0)*VLOOKUP('Données projet'!$B$12,Paramètres!$A$1:$I$89,5,0)</f>
        <v>2.3942448024172334E-13</v>
      </c>
      <c r="CA196" s="14">
        <f t="shared" si="170"/>
        <v>3.2492669905861755E-12</v>
      </c>
      <c r="CB196" s="22">
        <f t="shared" si="171"/>
        <v>6.0761376450252565E-12</v>
      </c>
      <c r="CC196" s="60">
        <f t="shared" ref="CC196:CC203" si="195">CB196+(BT196+BU196)*44/12</f>
        <v>293.3333333333394</v>
      </c>
      <c r="CD196" s="60">
        <f ca="1">AVERAGE(OFFSET($CC$3,0,0,'Données projet'!$E$12+1,1))-AVERAGE(OFFSET($H$3,0,0,'Données projet'!$E$12+1,1))</f>
        <v>246.72166704460847</v>
      </c>
      <c r="CE196" s="60">
        <f t="shared" si="148"/>
        <v>145.54897745089966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-9.6633812063373625E-13</v>
      </c>
      <c r="CU196" s="18">
        <f>CT196*VLOOKUP('Données projet'!$B$13,Paramètres!$A$1:$I$89,3,0)*VLOOKUP('Données projet'!$B$13,Paramètres!$A$1:$I$89,5,0)</f>
        <v>-8.7434273154940449E-13</v>
      </c>
      <c r="CV196" s="14" t="e">
        <f t="shared" si="173"/>
        <v>#NUM!</v>
      </c>
      <c r="CW196" s="22" t="e">
        <f t="shared" si="174"/>
        <v>#NUM!</v>
      </c>
      <c r="CX196" s="60" t="e">
        <f t="shared" ref="CX196:CX203" si="196">CW196+(CO196+CP196)*44/12</f>
        <v>#NUM!</v>
      </c>
      <c r="CY196" s="60">
        <f ca="1">AVERAGE(OFFSET($CX$3,0,0,'Données projet'!$E$13+1,1))-AVERAGE(OFFSET($H$3,0,0,'Données projet'!$E$13+1,1))</f>
        <v>428.8489304403459</v>
      </c>
      <c r="CZ196" s="60">
        <f t="shared" si="150"/>
        <v>247.01165577562966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-5.1159076974727213E-13</v>
      </c>
      <c r="DP196" s="18">
        <f>DO196*VLOOKUP('Données projet'!$B$14,Paramètres!$A$1:$I$89,3,0)*VLOOKUP('Données projet'!$B$14,Paramètres!$A$1:$I$89,5,0)</f>
        <v>-5.3471467253984886E-13</v>
      </c>
      <c r="DQ196" s="14" t="e">
        <f t="shared" si="176"/>
        <v>#NUM!</v>
      </c>
      <c r="DR196" s="22" t="e">
        <f t="shared" si="177"/>
        <v>#NUM!</v>
      </c>
      <c r="DS196" s="60" t="e">
        <f t="shared" ref="DS196:DS203" si="197">DR196+(DJ196+DK196)*44/12</f>
        <v>#NUM!</v>
      </c>
      <c r="DT196" s="60">
        <f ca="1">AVERAGE(OFFSET($DS$3,0,0,'Données projet'!$E$14+1,1))-AVERAGE(OFFSET($H$3,0,0,'Données projet'!$E$14+1,1))</f>
        <v>493.70175665335978</v>
      </c>
      <c r="DU196" s="60">
        <f t="shared" si="152"/>
        <v>325.12357781685949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-1.9895196601282805E-13</v>
      </c>
      <c r="EK196" s="18">
        <f>EJ196*VLOOKUP('Données projet'!$B$15,Paramètres!$A$1:$I$89,3,0)*VLOOKUP('Données projet'!$B$15,Paramètres!$A$1:$I$89,5,0)</f>
        <v>-1.6138983482960614E-13</v>
      </c>
      <c r="EL196" s="14" t="e">
        <f t="shared" si="179"/>
        <v>#NUM!</v>
      </c>
      <c r="EM196" s="22" t="e">
        <f t="shared" si="180"/>
        <v>#NUM!</v>
      </c>
      <c r="EN196" s="60" t="e">
        <f t="shared" ref="EN196:EN203" si="198">EM196+(EE196+EF196)*44/12</f>
        <v>#NUM!</v>
      </c>
      <c r="EO196" s="60">
        <f ca="1">AVERAGE(OFFSET($EN$3,0,0,'Données projet'!$E$15+1,1))-AVERAGE(OFFSET($H$3,0,0,'Données projet'!$E$15+1,1))</f>
        <v>236.22643401787644</v>
      </c>
      <c r="EP196" s="60">
        <f t="shared" si="154"/>
        <v>188.80444043778022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5.4978954722173515E-14</v>
      </c>
      <c r="FG196" s="14">
        <f t="shared" si="182"/>
        <v>8.8550225887742724E-13</v>
      </c>
      <c r="FH196" s="22">
        <f t="shared" si="183"/>
        <v>1.6380047803526383E-12</v>
      </c>
      <c r="FI196" s="60">
        <f t="shared" ref="FI196:FI203" si="199">FH196+(EZ196+FA196)*44/12</f>
        <v>293.33333333333496</v>
      </c>
      <c r="FJ196" s="60">
        <f ca="1">AVERAGE(OFFSET($FI$3,0,0,'Données projet'!$E$16+1,1))-AVERAGE(OFFSET($H$3,0,0,'Données projet'!$E$16+1,1))</f>
        <v>255.59755832175625</v>
      </c>
      <c r="FK196" s="60">
        <f t="shared" si="156"/>
        <v>154.0840647586964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0" t="e">
        <f t="shared" ref="GD196:GD203" si="200">GC196+(FU196+FV196)*44/12</f>
        <v>#N/A</v>
      </c>
      <c r="GE196" s="60" t="e">
        <f ca="1">AVERAGE(OFFSET($GD$3,0,0,'Données projet'!$E$17+1,1))-AVERAGE(OFFSET($H$3,0,0,'Données projet'!$E$17+1,1))</f>
        <v>#N/A</v>
      </c>
      <c r="GF196" s="60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7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0" t="e">
        <f t="shared" ref="GY196:GY203" si="201">GX196+(GP196+GQ196)*44/12</f>
        <v>#N/A</v>
      </c>
      <c r="GZ196" s="60" t="e">
        <f ca="1">AVERAGE(OFFSET($GY$3,0,0,'Données projet'!$E$18+1,1))-AVERAGE(OFFSET($H$3,0,0,'Données projet'!$E$18+1,1))</f>
        <v>#N/A</v>
      </c>
      <c r="HA196" s="60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5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68">
        <f t="shared" si="192"/>
        <v>256.66666666666669</v>
      </c>
      <c r="I197" s="7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0" t="e">
        <f t="shared" si="191"/>
        <v>#NUM!</v>
      </c>
      <c r="S197" s="60">
        <f ca="1">AVERAGE(OFFSET($R$3,0,0,'Données projet'!$E$9+1,1))-AVERAGE(OFFSET($H$3,0,0,'Données projet'!$E$9+1,1))</f>
        <v>64.775385872852041</v>
      </c>
      <c r="T197" s="60">
        <f t="shared" ref="T197:T203" si="204">$T$3</f>
        <v>201.69061202990468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1.2486475553481469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1.2493500433290422E-26</v>
      </c>
      <c r="AC197" s="24">
        <f t="shared" si="163"/>
        <v>1.2486475553481469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-9.7986685432260874E-13</v>
      </c>
      <c r="AK197" s="14" t="e">
        <f t="shared" si="164"/>
        <v>#NUM!</v>
      </c>
      <c r="AL197" s="22" t="e">
        <f t="shared" si="165"/>
        <v>#NUM!</v>
      </c>
      <c r="AM197" s="60" t="e">
        <f t="shared" si="193"/>
        <v>#NUM!</v>
      </c>
      <c r="AN197" s="60">
        <f ca="1">AVERAGE(OFFSET($AM$3,0,0,'Données projet'!$E$10+1,1))-AVERAGE(OFFSET($H$3,0,0,'Données projet'!$E$10+1,1))</f>
        <v>475.47920969424894</v>
      </c>
      <c r="AO197" s="60">
        <f t="shared" ref="AO197:AO203" si="205">$AO$3</f>
        <v>271.73544012419364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7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6.7984728957526396E-14</v>
      </c>
      <c r="BF197" s="14">
        <f t="shared" si="167"/>
        <v>1.0682447123141398E-12</v>
      </c>
      <c r="BG197" s="22">
        <f t="shared" si="168"/>
        <v>1.978932943548152E-12</v>
      </c>
      <c r="BH197" s="60">
        <f t="shared" si="194"/>
        <v>293.3333333333353</v>
      </c>
      <c r="BI197" s="60">
        <f ca="1">AVERAGE(OFFSET($BH$3,0,0,'Données projet'!$E$11+1,1))-AVERAGE(OFFSET($H$3,0,0,'Données projet'!$E$11+1,1))</f>
        <v>260.02504691866199</v>
      </c>
      <c r="BJ197" s="60">
        <f t="shared" ref="BJ197:BJ203" si="206">$BJ$3</f>
        <v>270.11268336406368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0.38888389081105618</v>
      </c>
      <c r="BQ197" s="23">
        <f>EXP(-LN(2)/25)*BQ196+(1-EXP(-LN(2)/25))/(LN(2)/25)*Calculateur!BL197*Calculateur!BN197*VLOOKUP('Données projet'!$B$11,Paramètres!$A$1:$I$89,3,0)*0.475*44/12</f>
        <v>0.17419687127277267</v>
      </c>
      <c r="BR197" s="23">
        <f>EXP(-LN(2)/2)*BR196+(1-EXP(-LN(2)/2))/(LN(2)/2)*BL197*BO197*VLOOKUP('Données projet'!$B$11,Paramètres!$A$1:$I$89,3,0)*0.475*44/12</f>
        <v>1.3110731947028895E-24</v>
      </c>
      <c r="BS197" s="24">
        <f t="shared" si="169"/>
        <v>0.56308076208382885</v>
      </c>
      <c r="BT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5.1159076974727213E-13</v>
      </c>
      <c r="BZ197" s="14">
        <f>BY197*VLOOKUP('Données projet'!$B$12,Paramètres!$A$1:$I$89,3,0)*VLOOKUP('Données projet'!$B$12,Paramètres!$A$1:$I$89,5,0)</f>
        <v>2.3942448024172334E-13</v>
      </c>
      <c r="CA197" s="14">
        <f t="shared" si="170"/>
        <v>3.2492669905861755E-12</v>
      </c>
      <c r="CB197" s="22">
        <f t="shared" si="171"/>
        <v>6.0761376450252565E-12</v>
      </c>
      <c r="CC197" s="60">
        <f t="shared" si="195"/>
        <v>293.3333333333394</v>
      </c>
      <c r="CD197" s="60">
        <f ca="1">AVERAGE(OFFSET($CC$3,0,0,'Données projet'!$E$12+1,1))-AVERAGE(OFFSET($H$3,0,0,'Données projet'!$E$12+1,1))</f>
        <v>246.72166704460847</v>
      </c>
      <c r="CE197" s="60">
        <f t="shared" ref="CE197:CE203" si="207">$CE$3</f>
        <v>145.54897745089966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-9.6633812063373625E-13</v>
      </c>
      <c r="CU197" s="18">
        <f>CT197*VLOOKUP('Données projet'!$B$13,Paramètres!$A$1:$I$89,3,0)*VLOOKUP('Données projet'!$B$13,Paramètres!$A$1:$I$89,5,0)</f>
        <v>-8.7434273154940449E-13</v>
      </c>
      <c r="CV197" s="14" t="e">
        <f t="shared" si="173"/>
        <v>#NUM!</v>
      </c>
      <c r="CW197" s="22" t="e">
        <f t="shared" si="174"/>
        <v>#NUM!</v>
      </c>
      <c r="CX197" s="60" t="e">
        <f t="shared" si="196"/>
        <v>#NUM!</v>
      </c>
      <c r="CY197" s="60">
        <f ca="1">AVERAGE(OFFSET($CX$3,0,0,'Données projet'!$E$13+1,1))-AVERAGE(OFFSET($H$3,0,0,'Données projet'!$E$13+1,1))</f>
        <v>428.8489304403459</v>
      </c>
      <c r="CZ197" s="60">
        <f t="shared" ref="CZ197:CZ203" si="208">$CZ$3</f>
        <v>247.01165577562966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-5.1159076974727213E-13</v>
      </c>
      <c r="DP197" s="18">
        <f>DO197*VLOOKUP('Données projet'!$B$14,Paramètres!$A$1:$I$89,3,0)*VLOOKUP('Données projet'!$B$14,Paramètres!$A$1:$I$89,5,0)</f>
        <v>-5.3471467253984886E-13</v>
      </c>
      <c r="DQ197" s="14" t="e">
        <f t="shared" si="176"/>
        <v>#NUM!</v>
      </c>
      <c r="DR197" s="22" t="e">
        <f t="shared" si="177"/>
        <v>#NUM!</v>
      </c>
      <c r="DS197" s="60" t="e">
        <f t="shared" si="197"/>
        <v>#NUM!</v>
      </c>
      <c r="DT197" s="60">
        <f ca="1">AVERAGE(OFFSET($DS$3,0,0,'Données projet'!$E$14+1,1))-AVERAGE(OFFSET($H$3,0,0,'Données projet'!$E$14+1,1))</f>
        <v>493.70175665335978</v>
      </c>
      <c r="DU197" s="60">
        <f t="shared" ref="DU197:DU203" si="209">$DU$3</f>
        <v>325.12357781685949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-1.9895196601282805E-13</v>
      </c>
      <c r="EK197" s="18">
        <f>EJ197*VLOOKUP('Données projet'!$B$15,Paramètres!$A$1:$I$89,3,0)*VLOOKUP('Données projet'!$B$15,Paramètres!$A$1:$I$89,5,0)</f>
        <v>-1.6138983482960614E-13</v>
      </c>
      <c r="EL197" s="14" t="e">
        <f t="shared" si="179"/>
        <v>#NUM!</v>
      </c>
      <c r="EM197" s="22" t="e">
        <f t="shared" si="180"/>
        <v>#NUM!</v>
      </c>
      <c r="EN197" s="60" t="e">
        <f t="shared" si="198"/>
        <v>#NUM!</v>
      </c>
      <c r="EO197" s="60">
        <f ca="1">AVERAGE(OFFSET($EN$3,0,0,'Données projet'!$E$15+1,1))-AVERAGE(OFFSET($H$3,0,0,'Données projet'!$E$15+1,1))</f>
        <v>236.22643401787644</v>
      </c>
      <c r="EP197" s="60">
        <f t="shared" ref="EP197:EP203" si="210">$EP$3</f>
        <v>188.80444043778022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5.4978954722173515E-14</v>
      </c>
      <c r="FG197" s="14">
        <f t="shared" si="182"/>
        <v>8.8550225887742724E-13</v>
      </c>
      <c r="FH197" s="22">
        <f t="shared" si="183"/>
        <v>1.6380047803526383E-12</v>
      </c>
      <c r="FI197" s="60">
        <f t="shared" si="199"/>
        <v>293.33333333333496</v>
      </c>
      <c r="FJ197" s="60">
        <f ca="1">AVERAGE(OFFSET($FI$3,0,0,'Données projet'!$E$16+1,1))-AVERAGE(OFFSET($H$3,0,0,'Données projet'!$E$16+1,1))</f>
        <v>255.59755832175625</v>
      </c>
      <c r="FK197" s="60">
        <f t="shared" ref="FK197:FK203" si="211">$FK$3</f>
        <v>154.0840647586964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0" t="e">
        <f t="shared" si="200"/>
        <v>#N/A</v>
      </c>
      <c r="GE197" s="60" t="e">
        <f ca="1">AVERAGE(OFFSET($GD$3,0,0,'Données projet'!$E$17+1,1))-AVERAGE(OFFSET($H$3,0,0,'Données projet'!$E$17+1,1))</f>
        <v>#N/A</v>
      </c>
      <c r="GF197" s="60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7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0" t="e">
        <f t="shared" si="201"/>
        <v>#N/A</v>
      </c>
      <c r="GZ197" s="60" t="e">
        <f ca="1">AVERAGE(OFFSET($GY$3,0,0,'Données projet'!$E$18+1,1))-AVERAGE(OFFSET($H$3,0,0,'Données projet'!$E$18+1,1))</f>
        <v>#N/A</v>
      </c>
      <c r="HA197" s="60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5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68">
        <f t="shared" si="192"/>
        <v>256.66666666666669</v>
      </c>
      <c r="I198" s="7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0" t="e">
        <f t="shared" si="191"/>
        <v>#NUM!</v>
      </c>
      <c r="S198" s="60">
        <f ca="1">AVERAGE(OFFSET($R$3,0,0,'Données projet'!$E$9+1,1))-AVERAGE(OFFSET($H$3,0,0,'Données projet'!$E$9+1,1))</f>
        <v>64.775385872852041</v>
      </c>
      <c r="T198" s="60">
        <f t="shared" si="204"/>
        <v>201.69061202990468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1.2241623383875768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8.8342388771367268E-27</v>
      </c>
      <c r="AC198" s="24">
        <f t="shared" si="163"/>
        <v>1.2241623383875768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-9.7986685432260874E-13</v>
      </c>
      <c r="AK198" s="14" t="e">
        <f t="shared" si="164"/>
        <v>#NUM!</v>
      </c>
      <c r="AL198" s="22" t="e">
        <f t="shared" si="165"/>
        <v>#NUM!</v>
      </c>
      <c r="AM198" s="60" t="e">
        <f t="shared" si="193"/>
        <v>#NUM!</v>
      </c>
      <c r="AN198" s="60">
        <f ca="1">AVERAGE(OFFSET($AM$3,0,0,'Données projet'!$E$10+1,1))-AVERAGE(OFFSET($H$3,0,0,'Données projet'!$E$10+1,1))</f>
        <v>475.47920969424894</v>
      </c>
      <c r="AO198" s="60">
        <f t="shared" si="205"/>
        <v>271.73544012419364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7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6.7984728957526396E-14</v>
      </c>
      <c r="BF198" s="14">
        <f t="shared" si="167"/>
        <v>1.0682447123141398E-12</v>
      </c>
      <c r="BG198" s="22">
        <f t="shared" si="168"/>
        <v>1.978932943548152E-12</v>
      </c>
      <c r="BH198" s="60">
        <f t="shared" si="194"/>
        <v>293.3333333333353</v>
      </c>
      <c r="BI198" s="60">
        <f ca="1">AVERAGE(OFFSET($BH$3,0,0,'Données projet'!$E$11+1,1))-AVERAGE(OFFSET($H$3,0,0,'Données projet'!$E$11+1,1))</f>
        <v>260.02504691866199</v>
      </c>
      <c r="BJ198" s="60">
        <f t="shared" si="206"/>
        <v>270.11268336406368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0.3812581149080036</v>
      </c>
      <c r="BQ198" s="23">
        <f>EXP(-LN(2)/25)*BQ197+(1-EXP(-LN(2)/25))/(LN(2)/25)*Calculateur!BL198*Calculateur!BN198*VLOOKUP('Données projet'!$B$11,Paramètres!$A$1:$I$89,3,0)*0.475*44/12</f>
        <v>0.16943344866720336</v>
      </c>
      <c r="BR198" s="23">
        <f>EXP(-LN(2)/2)*BR197+(1-EXP(-LN(2)/2))/(LN(2)/2)*BL198*BO198*VLOOKUP('Données projet'!$B$11,Paramètres!$A$1:$I$89,3,0)*0.475*44/12</f>
        <v>9.2706874660632387E-25</v>
      </c>
      <c r="BS198" s="24">
        <f t="shared" si="169"/>
        <v>0.55069156357520699</v>
      </c>
      <c r="BT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5.1159076974727213E-13</v>
      </c>
      <c r="BZ198" s="14">
        <f>BY198*VLOOKUP('Données projet'!$B$12,Paramètres!$A$1:$I$89,3,0)*VLOOKUP('Données projet'!$B$12,Paramètres!$A$1:$I$89,5,0)</f>
        <v>2.3942448024172334E-13</v>
      </c>
      <c r="CA198" s="14">
        <f t="shared" si="170"/>
        <v>3.2492669905861755E-12</v>
      </c>
      <c r="CB198" s="22">
        <f t="shared" si="171"/>
        <v>6.0761376450252565E-12</v>
      </c>
      <c r="CC198" s="60">
        <f t="shared" si="195"/>
        <v>293.3333333333394</v>
      </c>
      <c r="CD198" s="60">
        <f ca="1">AVERAGE(OFFSET($CC$3,0,0,'Données projet'!$E$12+1,1))-AVERAGE(OFFSET($H$3,0,0,'Données projet'!$E$12+1,1))</f>
        <v>246.72166704460847</v>
      </c>
      <c r="CE198" s="60">
        <f t="shared" si="207"/>
        <v>145.54897745089966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-9.6633812063373625E-13</v>
      </c>
      <c r="CU198" s="18">
        <f>CT198*VLOOKUP('Données projet'!$B$13,Paramètres!$A$1:$I$89,3,0)*VLOOKUP('Données projet'!$B$13,Paramètres!$A$1:$I$89,5,0)</f>
        <v>-8.7434273154940449E-13</v>
      </c>
      <c r="CV198" s="14" t="e">
        <f t="shared" si="173"/>
        <v>#NUM!</v>
      </c>
      <c r="CW198" s="22" t="e">
        <f t="shared" si="174"/>
        <v>#NUM!</v>
      </c>
      <c r="CX198" s="60" t="e">
        <f t="shared" si="196"/>
        <v>#NUM!</v>
      </c>
      <c r="CY198" s="60">
        <f ca="1">AVERAGE(OFFSET($CX$3,0,0,'Données projet'!$E$13+1,1))-AVERAGE(OFFSET($H$3,0,0,'Données projet'!$E$13+1,1))</f>
        <v>428.8489304403459</v>
      </c>
      <c r="CZ198" s="60">
        <f t="shared" si="208"/>
        <v>247.01165577562966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-5.1159076974727213E-13</v>
      </c>
      <c r="DP198" s="18">
        <f>DO198*VLOOKUP('Données projet'!$B$14,Paramètres!$A$1:$I$89,3,0)*VLOOKUP('Données projet'!$B$14,Paramètres!$A$1:$I$89,5,0)</f>
        <v>-5.3471467253984886E-13</v>
      </c>
      <c r="DQ198" s="14" t="e">
        <f t="shared" si="176"/>
        <v>#NUM!</v>
      </c>
      <c r="DR198" s="22" t="e">
        <f t="shared" si="177"/>
        <v>#NUM!</v>
      </c>
      <c r="DS198" s="60" t="e">
        <f t="shared" si="197"/>
        <v>#NUM!</v>
      </c>
      <c r="DT198" s="60">
        <f ca="1">AVERAGE(OFFSET($DS$3,0,0,'Données projet'!$E$14+1,1))-AVERAGE(OFFSET($H$3,0,0,'Données projet'!$E$14+1,1))</f>
        <v>493.70175665335978</v>
      </c>
      <c r="DU198" s="60">
        <f t="shared" si="209"/>
        <v>325.12357781685949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-1.9895196601282805E-13</v>
      </c>
      <c r="EK198" s="18">
        <f>EJ198*VLOOKUP('Données projet'!$B$15,Paramètres!$A$1:$I$89,3,0)*VLOOKUP('Données projet'!$B$15,Paramètres!$A$1:$I$89,5,0)</f>
        <v>-1.6138983482960614E-13</v>
      </c>
      <c r="EL198" s="14" t="e">
        <f t="shared" si="179"/>
        <v>#NUM!</v>
      </c>
      <c r="EM198" s="22" t="e">
        <f t="shared" si="180"/>
        <v>#NUM!</v>
      </c>
      <c r="EN198" s="60" t="e">
        <f t="shared" si="198"/>
        <v>#NUM!</v>
      </c>
      <c r="EO198" s="60">
        <f ca="1">AVERAGE(OFFSET($EN$3,0,0,'Données projet'!$E$15+1,1))-AVERAGE(OFFSET($H$3,0,0,'Données projet'!$E$15+1,1))</f>
        <v>236.22643401787644</v>
      </c>
      <c r="EP198" s="60">
        <f t="shared" si="210"/>
        <v>188.80444043778022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5.4978954722173515E-14</v>
      </c>
      <c r="FG198" s="14">
        <f t="shared" si="182"/>
        <v>8.8550225887742724E-13</v>
      </c>
      <c r="FH198" s="22">
        <f t="shared" si="183"/>
        <v>1.6380047803526383E-12</v>
      </c>
      <c r="FI198" s="60">
        <f t="shared" si="199"/>
        <v>293.33333333333496</v>
      </c>
      <c r="FJ198" s="60">
        <f ca="1">AVERAGE(OFFSET($FI$3,0,0,'Données projet'!$E$16+1,1))-AVERAGE(OFFSET($H$3,0,0,'Données projet'!$E$16+1,1))</f>
        <v>255.59755832175625</v>
      </c>
      <c r="FK198" s="60">
        <f t="shared" si="211"/>
        <v>154.0840647586964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0" t="e">
        <f t="shared" si="200"/>
        <v>#N/A</v>
      </c>
      <c r="GE198" s="60" t="e">
        <f ca="1">AVERAGE(OFFSET($GD$3,0,0,'Données projet'!$E$17+1,1))-AVERAGE(OFFSET($H$3,0,0,'Données projet'!$E$17+1,1))</f>
        <v>#N/A</v>
      </c>
      <c r="GF198" s="60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7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0" t="e">
        <f t="shared" si="201"/>
        <v>#N/A</v>
      </c>
      <c r="GZ198" s="60" t="e">
        <f ca="1">AVERAGE(OFFSET($GY$3,0,0,'Données projet'!$E$18+1,1))-AVERAGE(OFFSET($H$3,0,0,'Données projet'!$E$18+1,1))</f>
        <v>#N/A</v>
      </c>
      <c r="HA198" s="60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5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68">
        <f t="shared" si="192"/>
        <v>256.66666666666669</v>
      </c>
      <c r="I199" s="7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0" t="e">
        <f t="shared" si="191"/>
        <v>#NUM!</v>
      </c>
      <c r="S199" s="60">
        <f ca="1">AVERAGE(OFFSET($R$3,0,0,'Données projet'!$E$9+1,1))-AVERAGE(OFFSET($H$3,0,0,'Données projet'!$E$9+1,1))</f>
        <v>64.775385872852041</v>
      </c>
      <c r="T199" s="60">
        <f t="shared" si="204"/>
        <v>201.69061202990468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1.2001572615970957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6.2467502166452109E-27</v>
      </c>
      <c r="AC199" s="24">
        <f t="shared" si="163"/>
        <v>1.2001572615970957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-9.7986685432260874E-13</v>
      </c>
      <c r="AK199" s="14" t="e">
        <f t="shared" si="164"/>
        <v>#NUM!</v>
      </c>
      <c r="AL199" s="22" t="e">
        <f t="shared" si="165"/>
        <v>#NUM!</v>
      </c>
      <c r="AM199" s="60" t="e">
        <f t="shared" si="193"/>
        <v>#NUM!</v>
      </c>
      <c r="AN199" s="60">
        <f ca="1">AVERAGE(OFFSET($AM$3,0,0,'Données projet'!$E$10+1,1))-AVERAGE(OFFSET($H$3,0,0,'Données projet'!$E$10+1,1))</f>
        <v>475.47920969424894</v>
      </c>
      <c r="AO199" s="60">
        <f t="shared" si="205"/>
        <v>271.73544012419364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7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6.7984728957526396E-14</v>
      </c>
      <c r="BF199" s="14">
        <f t="shared" si="167"/>
        <v>1.0682447123141398E-12</v>
      </c>
      <c r="BG199" s="22">
        <f t="shared" si="168"/>
        <v>1.978932943548152E-12</v>
      </c>
      <c r="BH199" s="60">
        <f t="shared" si="194"/>
        <v>293.3333333333353</v>
      </c>
      <c r="BI199" s="60">
        <f ca="1">AVERAGE(OFFSET($BH$3,0,0,'Données projet'!$E$11+1,1))-AVERAGE(OFFSET($H$3,0,0,'Données projet'!$E$11+1,1))</f>
        <v>260.02504691866199</v>
      </c>
      <c r="BJ199" s="60">
        <f t="shared" si="206"/>
        <v>270.11268336406368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0.3737818758191459</v>
      </c>
      <c r="BQ199" s="23">
        <f>EXP(-LN(2)/25)*BQ198+(1-EXP(-LN(2)/25))/(LN(2)/25)*Calculateur!BL199*Calculateur!BN199*VLOOKUP('Données projet'!$B$11,Paramètres!$A$1:$I$89,3,0)*0.475*44/12</f>
        <v>0.16480028210328088</v>
      </c>
      <c r="BR199" s="23">
        <f>EXP(-LN(2)/2)*BR198+(1-EXP(-LN(2)/2))/(LN(2)/2)*BL199*BO199*VLOOKUP('Données projet'!$B$11,Paramètres!$A$1:$I$89,3,0)*0.475*44/12</f>
        <v>6.5553659735144473E-25</v>
      </c>
      <c r="BS199" s="24">
        <f t="shared" si="169"/>
        <v>0.53858215792242681</v>
      </c>
      <c r="BT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5.1159076974727213E-13</v>
      </c>
      <c r="BZ199" s="14">
        <f>BY199*VLOOKUP('Données projet'!$B$12,Paramètres!$A$1:$I$89,3,0)*VLOOKUP('Données projet'!$B$12,Paramètres!$A$1:$I$89,5,0)</f>
        <v>2.3942448024172334E-13</v>
      </c>
      <c r="CA199" s="14">
        <f t="shared" si="170"/>
        <v>3.2492669905861755E-12</v>
      </c>
      <c r="CB199" s="22">
        <f t="shared" si="171"/>
        <v>6.0761376450252565E-12</v>
      </c>
      <c r="CC199" s="60">
        <f t="shared" si="195"/>
        <v>293.3333333333394</v>
      </c>
      <c r="CD199" s="60">
        <f ca="1">AVERAGE(OFFSET($CC$3,0,0,'Données projet'!$E$12+1,1))-AVERAGE(OFFSET($H$3,0,0,'Données projet'!$E$12+1,1))</f>
        <v>246.72166704460847</v>
      </c>
      <c r="CE199" s="60">
        <f t="shared" si="207"/>
        <v>145.54897745089966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-9.6633812063373625E-13</v>
      </c>
      <c r="CU199" s="18">
        <f>CT199*VLOOKUP('Données projet'!$B$13,Paramètres!$A$1:$I$89,3,0)*VLOOKUP('Données projet'!$B$13,Paramètres!$A$1:$I$89,5,0)</f>
        <v>-8.7434273154940449E-13</v>
      </c>
      <c r="CV199" s="14" t="e">
        <f t="shared" si="173"/>
        <v>#NUM!</v>
      </c>
      <c r="CW199" s="22" t="e">
        <f t="shared" si="174"/>
        <v>#NUM!</v>
      </c>
      <c r="CX199" s="60" t="e">
        <f t="shared" si="196"/>
        <v>#NUM!</v>
      </c>
      <c r="CY199" s="60">
        <f ca="1">AVERAGE(OFFSET($CX$3,0,0,'Données projet'!$E$13+1,1))-AVERAGE(OFFSET($H$3,0,0,'Données projet'!$E$13+1,1))</f>
        <v>428.8489304403459</v>
      </c>
      <c r="CZ199" s="60">
        <f t="shared" si="208"/>
        <v>247.01165577562966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-5.1159076974727213E-13</v>
      </c>
      <c r="DP199" s="18">
        <f>DO199*VLOOKUP('Données projet'!$B$14,Paramètres!$A$1:$I$89,3,0)*VLOOKUP('Données projet'!$B$14,Paramètres!$A$1:$I$89,5,0)</f>
        <v>-5.3471467253984886E-13</v>
      </c>
      <c r="DQ199" s="14" t="e">
        <f t="shared" si="176"/>
        <v>#NUM!</v>
      </c>
      <c r="DR199" s="22" t="e">
        <f t="shared" si="177"/>
        <v>#NUM!</v>
      </c>
      <c r="DS199" s="60" t="e">
        <f t="shared" si="197"/>
        <v>#NUM!</v>
      </c>
      <c r="DT199" s="60">
        <f ca="1">AVERAGE(OFFSET($DS$3,0,0,'Données projet'!$E$14+1,1))-AVERAGE(OFFSET($H$3,0,0,'Données projet'!$E$14+1,1))</f>
        <v>493.70175665335978</v>
      </c>
      <c r="DU199" s="60">
        <f t="shared" si="209"/>
        <v>325.12357781685949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-1.9895196601282805E-13</v>
      </c>
      <c r="EK199" s="18">
        <f>EJ199*VLOOKUP('Données projet'!$B$15,Paramètres!$A$1:$I$89,3,0)*VLOOKUP('Données projet'!$B$15,Paramètres!$A$1:$I$89,5,0)</f>
        <v>-1.6138983482960614E-13</v>
      </c>
      <c r="EL199" s="14" t="e">
        <f t="shared" si="179"/>
        <v>#NUM!</v>
      </c>
      <c r="EM199" s="22" t="e">
        <f t="shared" si="180"/>
        <v>#NUM!</v>
      </c>
      <c r="EN199" s="60" t="e">
        <f t="shared" si="198"/>
        <v>#NUM!</v>
      </c>
      <c r="EO199" s="60">
        <f ca="1">AVERAGE(OFFSET($EN$3,0,0,'Données projet'!$E$15+1,1))-AVERAGE(OFFSET($H$3,0,0,'Données projet'!$E$15+1,1))</f>
        <v>236.22643401787644</v>
      </c>
      <c r="EP199" s="60">
        <f t="shared" si="210"/>
        <v>188.80444043778022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5.4978954722173515E-14</v>
      </c>
      <c r="FG199" s="14">
        <f t="shared" si="182"/>
        <v>8.8550225887742724E-13</v>
      </c>
      <c r="FH199" s="22">
        <f t="shared" si="183"/>
        <v>1.6380047803526383E-12</v>
      </c>
      <c r="FI199" s="60">
        <f t="shared" si="199"/>
        <v>293.33333333333496</v>
      </c>
      <c r="FJ199" s="60">
        <f ca="1">AVERAGE(OFFSET($FI$3,0,0,'Données projet'!$E$16+1,1))-AVERAGE(OFFSET($H$3,0,0,'Données projet'!$E$16+1,1))</f>
        <v>255.59755832175625</v>
      </c>
      <c r="FK199" s="60">
        <f t="shared" si="211"/>
        <v>154.0840647586964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0" t="e">
        <f t="shared" si="200"/>
        <v>#N/A</v>
      </c>
      <c r="GE199" s="60" t="e">
        <f ca="1">AVERAGE(OFFSET($GD$3,0,0,'Données projet'!$E$17+1,1))-AVERAGE(OFFSET($H$3,0,0,'Données projet'!$E$17+1,1))</f>
        <v>#N/A</v>
      </c>
      <c r="GF199" s="60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7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0" t="e">
        <f t="shared" si="201"/>
        <v>#N/A</v>
      </c>
      <c r="GZ199" s="60" t="e">
        <f ca="1">AVERAGE(OFFSET($GY$3,0,0,'Données projet'!$E$18+1,1))-AVERAGE(OFFSET($H$3,0,0,'Données projet'!$E$18+1,1))</f>
        <v>#N/A</v>
      </c>
      <c r="HA199" s="60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5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68">
        <f t="shared" si="192"/>
        <v>256.66666666666669</v>
      </c>
      <c r="I200" s="7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0" t="e">
        <f t="shared" si="191"/>
        <v>#NUM!</v>
      </c>
      <c r="S200" s="60">
        <f ca="1">AVERAGE(OFFSET($R$3,0,0,'Données projet'!$E$9+1,1))-AVERAGE(OFFSET($H$3,0,0,'Données projet'!$E$9+1,1))</f>
        <v>64.775385872852041</v>
      </c>
      <c r="T200" s="60">
        <f t="shared" si="204"/>
        <v>201.69061202990468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1.1766229097208249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4.4171194385683634E-27</v>
      </c>
      <c r="AC200" s="24">
        <f t="shared" si="163"/>
        <v>1.1766229097208249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-9.7986685432260874E-13</v>
      </c>
      <c r="AK200" s="14" t="e">
        <f t="shared" si="164"/>
        <v>#NUM!</v>
      </c>
      <c r="AL200" s="22" t="e">
        <f t="shared" si="165"/>
        <v>#NUM!</v>
      </c>
      <c r="AM200" s="60" t="e">
        <f t="shared" si="193"/>
        <v>#NUM!</v>
      </c>
      <c r="AN200" s="60">
        <f ca="1">AVERAGE(OFFSET($AM$3,0,0,'Données projet'!$E$10+1,1))-AVERAGE(OFFSET($H$3,0,0,'Données projet'!$E$10+1,1))</f>
        <v>475.47920969424894</v>
      </c>
      <c r="AO200" s="60">
        <f t="shared" si="205"/>
        <v>271.73544012419364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7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6.7984728957526396E-14</v>
      </c>
      <c r="BF200" s="14">
        <f t="shared" si="167"/>
        <v>1.0682447123141398E-12</v>
      </c>
      <c r="BG200" s="22">
        <f t="shared" si="168"/>
        <v>1.978932943548152E-12</v>
      </c>
      <c r="BH200" s="60">
        <f t="shared" si="194"/>
        <v>293.3333333333353</v>
      </c>
      <c r="BI200" s="60">
        <f ca="1">AVERAGE(OFFSET($BH$3,0,0,'Données projet'!$E$11+1,1))-AVERAGE(OFFSET($H$3,0,0,'Données projet'!$E$11+1,1))</f>
        <v>260.02504691866199</v>
      </c>
      <c r="BJ200" s="60">
        <f t="shared" si="206"/>
        <v>270.11268336406368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0.36645224121876513</v>
      </c>
      <c r="BQ200" s="23">
        <f>EXP(-LN(2)/25)*BQ199+(1-EXP(-LN(2)/25))/(LN(2)/25)*Calculateur!BL200*Calculateur!BN200*VLOOKUP('Données projet'!$B$11,Paramètres!$A$1:$I$89,3,0)*0.475*44/12</f>
        <v>0.16029380972269647</v>
      </c>
      <c r="BR200" s="23">
        <f>EXP(-LN(2)/2)*BR199+(1-EXP(-LN(2)/2))/(LN(2)/2)*BL200*BO200*VLOOKUP('Données projet'!$B$11,Paramètres!$A$1:$I$89,3,0)*0.475*44/12</f>
        <v>4.6353437330316194E-25</v>
      </c>
      <c r="BS200" s="24">
        <f t="shared" si="169"/>
        <v>0.52674605094146165</v>
      </c>
      <c r="BT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5.1159076974727213E-13</v>
      </c>
      <c r="BZ200" s="14">
        <f>BY200*VLOOKUP('Données projet'!$B$12,Paramètres!$A$1:$I$89,3,0)*VLOOKUP('Données projet'!$B$12,Paramètres!$A$1:$I$89,5,0)</f>
        <v>2.3942448024172334E-13</v>
      </c>
      <c r="CA200" s="14">
        <f t="shared" si="170"/>
        <v>3.2492669905861755E-12</v>
      </c>
      <c r="CB200" s="22">
        <f t="shared" si="171"/>
        <v>6.0761376450252565E-12</v>
      </c>
      <c r="CC200" s="60">
        <f t="shared" si="195"/>
        <v>293.3333333333394</v>
      </c>
      <c r="CD200" s="60">
        <f ca="1">AVERAGE(OFFSET($CC$3,0,0,'Données projet'!$E$12+1,1))-AVERAGE(OFFSET($H$3,0,0,'Données projet'!$E$12+1,1))</f>
        <v>246.72166704460847</v>
      </c>
      <c r="CE200" s="60">
        <f t="shared" si="207"/>
        <v>145.54897745089966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-9.6633812063373625E-13</v>
      </c>
      <c r="CU200" s="18">
        <f>CT200*VLOOKUP('Données projet'!$B$13,Paramètres!$A$1:$I$89,3,0)*VLOOKUP('Données projet'!$B$13,Paramètres!$A$1:$I$89,5,0)</f>
        <v>-8.7434273154940449E-13</v>
      </c>
      <c r="CV200" s="14" t="e">
        <f t="shared" si="173"/>
        <v>#NUM!</v>
      </c>
      <c r="CW200" s="22" t="e">
        <f t="shared" si="174"/>
        <v>#NUM!</v>
      </c>
      <c r="CX200" s="60" t="e">
        <f t="shared" si="196"/>
        <v>#NUM!</v>
      </c>
      <c r="CY200" s="60">
        <f ca="1">AVERAGE(OFFSET($CX$3,0,0,'Données projet'!$E$13+1,1))-AVERAGE(OFFSET($H$3,0,0,'Données projet'!$E$13+1,1))</f>
        <v>428.8489304403459</v>
      </c>
      <c r="CZ200" s="60">
        <f t="shared" si="208"/>
        <v>247.01165577562966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-5.1159076974727213E-13</v>
      </c>
      <c r="DP200" s="18">
        <f>DO200*VLOOKUP('Données projet'!$B$14,Paramètres!$A$1:$I$89,3,0)*VLOOKUP('Données projet'!$B$14,Paramètres!$A$1:$I$89,5,0)</f>
        <v>-5.3471467253984886E-13</v>
      </c>
      <c r="DQ200" s="14" t="e">
        <f t="shared" si="176"/>
        <v>#NUM!</v>
      </c>
      <c r="DR200" s="22" t="e">
        <f t="shared" si="177"/>
        <v>#NUM!</v>
      </c>
      <c r="DS200" s="60" t="e">
        <f t="shared" si="197"/>
        <v>#NUM!</v>
      </c>
      <c r="DT200" s="60">
        <f ca="1">AVERAGE(OFFSET($DS$3,0,0,'Données projet'!$E$14+1,1))-AVERAGE(OFFSET($H$3,0,0,'Données projet'!$E$14+1,1))</f>
        <v>493.70175665335978</v>
      </c>
      <c r="DU200" s="60">
        <f t="shared" si="209"/>
        <v>325.12357781685949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-1.9895196601282805E-13</v>
      </c>
      <c r="EK200" s="18">
        <f>EJ200*VLOOKUP('Données projet'!$B$15,Paramètres!$A$1:$I$89,3,0)*VLOOKUP('Données projet'!$B$15,Paramètres!$A$1:$I$89,5,0)</f>
        <v>-1.6138983482960614E-13</v>
      </c>
      <c r="EL200" s="14" t="e">
        <f t="shared" si="179"/>
        <v>#NUM!</v>
      </c>
      <c r="EM200" s="22" t="e">
        <f t="shared" si="180"/>
        <v>#NUM!</v>
      </c>
      <c r="EN200" s="60" t="e">
        <f t="shared" si="198"/>
        <v>#NUM!</v>
      </c>
      <c r="EO200" s="60">
        <f ca="1">AVERAGE(OFFSET($EN$3,0,0,'Données projet'!$E$15+1,1))-AVERAGE(OFFSET($H$3,0,0,'Données projet'!$E$15+1,1))</f>
        <v>236.22643401787644</v>
      </c>
      <c r="EP200" s="60">
        <f t="shared" si="210"/>
        <v>188.80444043778022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5.4978954722173515E-14</v>
      </c>
      <c r="FG200" s="14">
        <f t="shared" si="182"/>
        <v>8.8550225887742724E-13</v>
      </c>
      <c r="FH200" s="22">
        <f t="shared" si="183"/>
        <v>1.6380047803526383E-12</v>
      </c>
      <c r="FI200" s="60">
        <f t="shared" si="199"/>
        <v>293.33333333333496</v>
      </c>
      <c r="FJ200" s="60">
        <f ca="1">AVERAGE(OFFSET($FI$3,0,0,'Données projet'!$E$16+1,1))-AVERAGE(OFFSET($H$3,0,0,'Données projet'!$E$16+1,1))</f>
        <v>255.59755832175625</v>
      </c>
      <c r="FK200" s="60">
        <f t="shared" si="211"/>
        <v>154.0840647586964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0" t="e">
        <f t="shared" si="200"/>
        <v>#N/A</v>
      </c>
      <c r="GE200" s="60" t="e">
        <f ca="1">AVERAGE(OFFSET($GD$3,0,0,'Données projet'!$E$17+1,1))-AVERAGE(OFFSET($H$3,0,0,'Données projet'!$E$17+1,1))</f>
        <v>#N/A</v>
      </c>
      <c r="GF200" s="60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7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0" t="e">
        <f t="shared" si="201"/>
        <v>#N/A</v>
      </c>
      <c r="GZ200" s="60" t="e">
        <f ca="1">AVERAGE(OFFSET($GY$3,0,0,'Données projet'!$E$18+1,1))-AVERAGE(OFFSET($H$3,0,0,'Données projet'!$E$18+1,1))</f>
        <v>#N/A</v>
      </c>
      <c r="HA200" s="60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5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68">
        <f t="shared" si="192"/>
        <v>256.66666666666669</v>
      </c>
      <c r="I201" s="7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0" t="e">
        <f t="shared" si="191"/>
        <v>#NUM!</v>
      </c>
      <c r="S201" s="60">
        <f ca="1">AVERAGE(OFFSET($R$3,0,0,'Données projet'!$E$9+1,1))-AVERAGE(OFFSET($H$3,0,0,'Données projet'!$E$9+1,1))</f>
        <v>64.775385872852041</v>
      </c>
      <c r="T201" s="60">
        <f t="shared" si="204"/>
        <v>201.69061202990468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1.1535500521303106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3.1233751083226054E-27</v>
      </c>
      <c r="AC201" s="24">
        <f t="shared" si="163"/>
        <v>1.1535500521303106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-9.7986685432260874E-13</v>
      </c>
      <c r="AK201" s="14" t="e">
        <f t="shared" si="164"/>
        <v>#NUM!</v>
      </c>
      <c r="AL201" s="22" t="e">
        <f t="shared" si="165"/>
        <v>#NUM!</v>
      </c>
      <c r="AM201" s="60" t="e">
        <f t="shared" si="193"/>
        <v>#NUM!</v>
      </c>
      <c r="AN201" s="60">
        <f ca="1">AVERAGE(OFFSET($AM$3,0,0,'Données projet'!$E$10+1,1))-AVERAGE(OFFSET($H$3,0,0,'Données projet'!$E$10+1,1))</f>
        <v>475.47920969424894</v>
      </c>
      <c r="AO201" s="60">
        <f t="shared" si="205"/>
        <v>271.73544012419364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7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6.7984728957526396E-14</v>
      </c>
      <c r="BF201" s="14">
        <f t="shared" si="167"/>
        <v>1.0682447123141398E-12</v>
      </c>
      <c r="BG201" s="22">
        <f t="shared" si="168"/>
        <v>1.978932943548152E-12</v>
      </c>
      <c r="BH201" s="60">
        <f t="shared" si="194"/>
        <v>293.3333333333353</v>
      </c>
      <c r="BI201" s="60">
        <f ca="1">AVERAGE(OFFSET($BH$3,0,0,'Données projet'!$E$11+1,1))-AVERAGE(OFFSET($H$3,0,0,'Données projet'!$E$11+1,1))</f>
        <v>260.02504691866199</v>
      </c>
      <c r="BJ201" s="60">
        <f t="shared" si="206"/>
        <v>270.11268336406368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0.35926633628226212</v>
      </c>
      <c r="BQ201" s="23">
        <f>EXP(-LN(2)/25)*BQ200+(1-EXP(-LN(2)/25))/(LN(2)/25)*Calculateur!BL201*Calculateur!BN201*VLOOKUP('Données projet'!$B$11,Paramètres!$A$1:$I$89,3,0)*0.475*44/12</f>
        <v>0.15591056706634424</v>
      </c>
      <c r="BR201" s="23">
        <f>EXP(-LN(2)/2)*BR200+(1-EXP(-LN(2)/2))/(LN(2)/2)*BL201*BO201*VLOOKUP('Données projet'!$B$11,Paramètres!$A$1:$I$89,3,0)*0.475*44/12</f>
        <v>3.2776829867572236E-25</v>
      </c>
      <c r="BS201" s="24">
        <f t="shared" si="169"/>
        <v>0.51517690334860633</v>
      </c>
      <c r="BT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5.1159076974727213E-13</v>
      </c>
      <c r="BZ201" s="14">
        <f>BY201*VLOOKUP('Données projet'!$B$12,Paramètres!$A$1:$I$89,3,0)*VLOOKUP('Données projet'!$B$12,Paramètres!$A$1:$I$89,5,0)</f>
        <v>2.3942448024172334E-13</v>
      </c>
      <c r="CA201" s="14">
        <f t="shared" si="170"/>
        <v>3.2492669905861755E-12</v>
      </c>
      <c r="CB201" s="22">
        <f t="shared" si="171"/>
        <v>6.0761376450252565E-12</v>
      </c>
      <c r="CC201" s="60">
        <f t="shared" si="195"/>
        <v>293.3333333333394</v>
      </c>
      <c r="CD201" s="60">
        <f ca="1">AVERAGE(OFFSET($CC$3,0,0,'Données projet'!$E$12+1,1))-AVERAGE(OFFSET($H$3,0,0,'Données projet'!$E$12+1,1))</f>
        <v>246.72166704460847</v>
      </c>
      <c r="CE201" s="60">
        <f t="shared" si="207"/>
        <v>145.54897745089966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-9.6633812063373625E-13</v>
      </c>
      <c r="CU201" s="18">
        <f>CT201*VLOOKUP('Données projet'!$B$13,Paramètres!$A$1:$I$89,3,0)*VLOOKUP('Données projet'!$B$13,Paramètres!$A$1:$I$89,5,0)</f>
        <v>-8.7434273154940449E-13</v>
      </c>
      <c r="CV201" s="14" t="e">
        <f t="shared" si="173"/>
        <v>#NUM!</v>
      </c>
      <c r="CW201" s="22" t="e">
        <f t="shared" si="174"/>
        <v>#NUM!</v>
      </c>
      <c r="CX201" s="60" t="e">
        <f t="shared" si="196"/>
        <v>#NUM!</v>
      </c>
      <c r="CY201" s="60">
        <f ca="1">AVERAGE(OFFSET($CX$3,0,0,'Données projet'!$E$13+1,1))-AVERAGE(OFFSET($H$3,0,0,'Données projet'!$E$13+1,1))</f>
        <v>428.8489304403459</v>
      </c>
      <c r="CZ201" s="60">
        <f t="shared" si="208"/>
        <v>247.01165577562966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-5.1159076974727213E-13</v>
      </c>
      <c r="DP201" s="18">
        <f>DO201*VLOOKUP('Données projet'!$B$14,Paramètres!$A$1:$I$89,3,0)*VLOOKUP('Données projet'!$B$14,Paramètres!$A$1:$I$89,5,0)</f>
        <v>-5.3471467253984886E-13</v>
      </c>
      <c r="DQ201" s="14" t="e">
        <f t="shared" si="176"/>
        <v>#NUM!</v>
      </c>
      <c r="DR201" s="22" t="e">
        <f t="shared" si="177"/>
        <v>#NUM!</v>
      </c>
      <c r="DS201" s="60" t="e">
        <f t="shared" si="197"/>
        <v>#NUM!</v>
      </c>
      <c r="DT201" s="60">
        <f ca="1">AVERAGE(OFFSET($DS$3,0,0,'Données projet'!$E$14+1,1))-AVERAGE(OFFSET($H$3,0,0,'Données projet'!$E$14+1,1))</f>
        <v>493.70175665335978</v>
      </c>
      <c r="DU201" s="60">
        <f t="shared" si="209"/>
        <v>325.12357781685949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-1.9895196601282805E-13</v>
      </c>
      <c r="EK201" s="18">
        <f>EJ201*VLOOKUP('Données projet'!$B$15,Paramètres!$A$1:$I$89,3,0)*VLOOKUP('Données projet'!$B$15,Paramètres!$A$1:$I$89,5,0)</f>
        <v>-1.6138983482960614E-13</v>
      </c>
      <c r="EL201" s="14" t="e">
        <f t="shared" si="179"/>
        <v>#NUM!</v>
      </c>
      <c r="EM201" s="22" t="e">
        <f t="shared" si="180"/>
        <v>#NUM!</v>
      </c>
      <c r="EN201" s="60" t="e">
        <f t="shared" si="198"/>
        <v>#NUM!</v>
      </c>
      <c r="EO201" s="60">
        <f ca="1">AVERAGE(OFFSET($EN$3,0,0,'Données projet'!$E$15+1,1))-AVERAGE(OFFSET($H$3,0,0,'Données projet'!$E$15+1,1))</f>
        <v>236.22643401787644</v>
      </c>
      <c r="EP201" s="60">
        <f t="shared" si="210"/>
        <v>188.80444043778022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5.4978954722173515E-14</v>
      </c>
      <c r="FG201" s="14">
        <f t="shared" si="182"/>
        <v>8.8550225887742724E-13</v>
      </c>
      <c r="FH201" s="22">
        <f t="shared" si="183"/>
        <v>1.6380047803526383E-12</v>
      </c>
      <c r="FI201" s="60">
        <f t="shared" si="199"/>
        <v>293.33333333333496</v>
      </c>
      <c r="FJ201" s="60">
        <f ca="1">AVERAGE(OFFSET($FI$3,0,0,'Données projet'!$E$16+1,1))-AVERAGE(OFFSET($H$3,0,0,'Données projet'!$E$16+1,1))</f>
        <v>255.59755832175625</v>
      </c>
      <c r="FK201" s="60">
        <f t="shared" si="211"/>
        <v>154.0840647586964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0" t="e">
        <f t="shared" si="200"/>
        <v>#N/A</v>
      </c>
      <c r="GE201" s="60" t="e">
        <f ca="1">AVERAGE(OFFSET($GD$3,0,0,'Données projet'!$E$17+1,1))-AVERAGE(OFFSET($H$3,0,0,'Données projet'!$E$17+1,1))</f>
        <v>#N/A</v>
      </c>
      <c r="GF201" s="60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7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0" t="e">
        <f t="shared" si="201"/>
        <v>#N/A</v>
      </c>
      <c r="GZ201" s="60" t="e">
        <f ca="1">AVERAGE(OFFSET($GY$3,0,0,'Données projet'!$E$18+1,1))-AVERAGE(OFFSET($H$3,0,0,'Données projet'!$E$18+1,1))</f>
        <v>#N/A</v>
      </c>
      <c r="HA201" s="60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5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68">
        <f t="shared" si="192"/>
        <v>256.66666666666669</v>
      </c>
      <c r="I202" s="7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0" t="e">
        <f t="shared" si="191"/>
        <v>#NUM!</v>
      </c>
      <c r="S202" s="60">
        <f ca="1">AVERAGE(OFFSET($R$3,0,0,'Données projet'!$E$9+1,1))-AVERAGE(OFFSET($H$3,0,0,'Données projet'!$E$9+1,1))</f>
        <v>64.775385872852041</v>
      </c>
      <c r="T202" s="60">
        <f t="shared" si="204"/>
        <v>201.69061202990468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1.1309296392040926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2.2085597192841817E-27</v>
      </c>
      <c r="AC202" s="24">
        <f t="shared" si="163"/>
        <v>1.1309296392040926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-9.7986685432260874E-13</v>
      </c>
      <c r="AK202" s="14" t="e">
        <f t="shared" si="164"/>
        <v>#NUM!</v>
      </c>
      <c r="AL202" s="22" t="e">
        <f t="shared" si="165"/>
        <v>#NUM!</v>
      </c>
      <c r="AM202" s="60" t="e">
        <f t="shared" si="193"/>
        <v>#NUM!</v>
      </c>
      <c r="AN202" s="60">
        <f ca="1">AVERAGE(OFFSET($AM$3,0,0,'Données projet'!$E$10+1,1))-AVERAGE(OFFSET($H$3,0,0,'Données projet'!$E$10+1,1))</f>
        <v>475.47920969424894</v>
      </c>
      <c r="AO202" s="60">
        <f t="shared" si="205"/>
        <v>271.73544012419364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7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6.7984728957526396E-14</v>
      </c>
      <c r="BF202" s="14">
        <f t="shared" si="167"/>
        <v>1.0682447123141398E-12</v>
      </c>
      <c r="BG202" s="22">
        <f t="shared" si="168"/>
        <v>1.978932943548152E-12</v>
      </c>
      <c r="BH202" s="60">
        <f t="shared" si="194"/>
        <v>293.3333333333353</v>
      </c>
      <c r="BI202" s="60">
        <f ca="1">AVERAGE(OFFSET($BH$3,0,0,'Données projet'!$E$11+1,1))-AVERAGE(OFFSET($H$3,0,0,'Données projet'!$E$11+1,1))</f>
        <v>260.02504691866199</v>
      </c>
      <c r="BJ202" s="60">
        <f t="shared" si="206"/>
        <v>270.11268336406368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0.35222134255859472</v>
      </c>
      <c r="BQ202" s="23">
        <f>EXP(-LN(2)/25)*BQ201+(1-EXP(-LN(2)/25))/(LN(2)/25)*Calculateur!BL202*Calculateur!BN202*VLOOKUP('Données projet'!$B$11,Paramètres!$A$1:$I$89,3,0)*0.475*44/12</f>
        <v>0.15164718441093467</v>
      </c>
      <c r="BR202" s="23">
        <f>EXP(-LN(2)/2)*BR201+(1-EXP(-LN(2)/2))/(LN(2)/2)*BL202*BO202*VLOOKUP('Données projet'!$B$11,Paramètres!$A$1:$I$89,3,0)*0.475*44/12</f>
        <v>2.3176718665158097E-25</v>
      </c>
      <c r="BS202" s="24">
        <f t="shared" si="169"/>
        <v>0.50386852696952933</v>
      </c>
      <c r="BT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5.1159076974727213E-13</v>
      </c>
      <c r="BZ202" s="14">
        <f>BY202*VLOOKUP('Données projet'!$B$12,Paramètres!$A$1:$I$89,3,0)*VLOOKUP('Données projet'!$B$12,Paramètres!$A$1:$I$89,5,0)</f>
        <v>2.3942448024172334E-13</v>
      </c>
      <c r="CA202" s="14">
        <f t="shared" si="170"/>
        <v>3.2492669905861755E-12</v>
      </c>
      <c r="CB202" s="22">
        <f t="shared" si="171"/>
        <v>6.0761376450252565E-12</v>
      </c>
      <c r="CC202" s="60">
        <f t="shared" si="195"/>
        <v>293.3333333333394</v>
      </c>
      <c r="CD202" s="60">
        <f ca="1">AVERAGE(OFFSET($CC$3,0,0,'Données projet'!$E$12+1,1))-AVERAGE(OFFSET($H$3,0,0,'Données projet'!$E$12+1,1))</f>
        <v>246.72166704460847</v>
      </c>
      <c r="CE202" s="60">
        <f t="shared" si="207"/>
        <v>145.54897745089966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-9.6633812063373625E-13</v>
      </c>
      <c r="CU202" s="18">
        <f>CT202*VLOOKUP('Données projet'!$B$13,Paramètres!$A$1:$I$89,3,0)*VLOOKUP('Données projet'!$B$13,Paramètres!$A$1:$I$89,5,0)</f>
        <v>-8.7434273154940449E-13</v>
      </c>
      <c r="CV202" s="14" t="e">
        <f t="shared" si="173"/>
        <v>#NUM!</v>
      </c>
      <c r="CW202" s="22" t="e">
        <f t="shared" si="174"/>
        <v>#NUM!</v>
      </c>
      <c r="CX202" s="60" t="e">
        <f t="shared" si="196"/>
        <v>#NUM!</v>
      </c>
      <c r="CY202" s="60">
        <f ca="1">AVERAGE(OFFSET($CX$3,0,0,'Données projet'!$E$13+1,1))-AVERAGE(OFFSET($H$3,0,0,'Données projet'!$E$13+1,1))</f>
        <v>428.8489304403459</v>
      </c>
      <c r="CZ202" s="60">
        <f t="shared" si="208"/>
        <v>247.01165577562966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-5.1159076974727213E-13</v>
      </c>
      <c r="DP202" s="18">
        <f>DO202*VLOOKUP('Données projet'!$B$14,Paramètres!$A$1:$I$89,3,0)*VLOOKUP('Données projet'!$B$14,Paramètres!$A$1:$I$89,5,0)</f>
        <v>-5.3471467253984886E-13</v>
      </c>
      <c r="DQ202" s="14" t="e">
        <f t="shared" si="176"/>
        <v>#NUM!</v>
      </c>
      <c r="DR202" s="22" t="e">
        <f t="shared" si="177"/>
        <v>#NUM!</v>
      </c>
      <c r="DS202" s="60" t="e">
        <f t="shared" si="197"/>
        <v>#NUM!</v>
      </c>
      <c r="DT202" s="60">
        <f ca="1">AVERAGE(OFFSET($DS$3,0,0,'Données projet'!$E$14+1,1))-AVERAGE(OFFSET($H$3,0,0,'Données projet'!$E$14+1,1))</f>
        <v>493.70175665335978</v>
      </c>
      <c r="DU202" s="60">
        <f t="shared" si="209"/>
        <v>325.12357781685949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-1.9895196601282805E-13</v>
      </c>
      <c r="EK202" s="18">
        <f>EJ202*VLOOKUP('Données projet'!$B$15,Paramètres!$A$1:$I$89,3,0)*VLOOKUP('Données projet'!$B$15,Paramètres!$A$1:$I$89,5,0)</f>
        <v>-1.6138983482960614E-13</v>
      </c>
      <c r="EL202" s="14" t="e">
        <f t="shared" si="179"/>
        <v>#NUM!</v>
      </c>
      <c r="EM202" s="22" t="e">
        <f t="shared" si="180"/>
        <v>#NUM!</v>
      </c>
      <c r="EN202" s="60" t="e">
        <f t="shared" si="198"/>
        <v>#NUM!</v>
      </c>
      <c r="EO202" s="60">
        <f ca="1">AVERAGE(OFFSET($EN$3,0,0,'Données projet'!$E$15+1,1))-AVERAGE(OFFSET($H$3,0,0,'Données projet'!$E$15+1,1))</f>
        <v>236.22643401787644</v>
      </c>
      <c r="EP202" s="60">
        <f t="shared" si="210"/>
        <v>188.80444043778022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5.4978954722173515E-14</v>
      </c>
      <c r="FG202" s="14">
        <f t="shared" si="182"/>
        <v>8.8550225887742724E-13</v>
      </c>
      <c r="FH202" s="22">
        <f t="shared" si="183"/>
        <v>1.6380047803526383E-12</v>
      </c>
      <c r="FI202" s="60">
        <f t="shared" si="199"/>
        <v>293.33333333333496</v>
      </c>
      <c r="FJ202" s="60">
        <f ca="1">AVERAGE(OFFSET($FI$3,0,0,'Données projet'!$E$16+1,1))-AVERAGE(OFFSET($H$3,0,0,'Données projet'!$E$16+1,1))</f>
        <v>255.59755832175625</v>
      </c>
      <c r="FK202" s="60">
        <f t="shared" si="211"/>
        <v>154.0840647586964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0" t="e">
        <f t="shared" si="200"/>
        <v>#N/A</v>
      </c>
      <c r="GE202" s="60" t="e">
        <f ca="1">AVERAGE(OFFSET($GD$3,0,0,'Données projet'!$E$17+1,1))-AVERAGE(OFFSET($H$3,0,0,'Données projet'!$E$17+1,1))</f>
        <v>#N/A</v>
      </c>
      <c r="GF202" s="60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7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0" t="e">
        <f t="shared" si="201"/>
        <v>#N/A</v>
      </c>
      <c r="GZ202" s="60" t="e">
        <f ca="1">AVERAGE(OFFSET($GY$3,0,0,'Données projet'!$E$18+1,1))-AVERAGE(OFFSET($H$3,0,0,'Données projet'!$E$18+1,1))</f>
        <v>#N/A</v>
      </c>
      <c r="HA202" s="60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5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68">
        <f t="shared" si="192"/>
        <v>256.66666666666669</v>
      </c>
      <c r="I203" s="7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0" t="e">
        <f t="shared" si="191"/>
        <v>#NUM!</v>
      </c>
      <c r="S203" s="60">
        <f ca="1">AVERAGE(OFFSET($R$3,0,0,'Données projet'!$E$9+1,1))-AVERAGE(OFFSET($H$3,0,0,'Données projet'!$E$9+1,1))</f>
        <v>64.775385872852041</v>
      </c>
      <c r="T203" s="60">
        <f t="shared" si="204"/>
        <v>201.69061202990468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1.1087527987782684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1.5616875541613027E-27</v>
      </c>
      <c r="AC203" s="24">
        <f t="shared" si="163"/>
        <v>1.1087527987782684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-9.7986685432260874E-13</v>
      </c>
      <c r="AK203" s="14" t="e">
        <f t="shared" si="164"/>
        <v>#NUM!</v>
      </c>
      <c r="AL203" s="22" t="e">
        <f t="shared" si="165"/>
        <v>#NUM!</v>
      </c>
      <c r="AM203" s="60" t="e">
        <f t="shared" si="193"/>
        <v>#NUM!</v>
      </c>
      <c r="AN203" s="60">
        <f ca="1">AVERAGE(OFFSET($AM$3,0,0,'Données projet'!$E$10+1,1))-AVERAGE(OFFSET($H$3,0,0,'Données projet'!$E$10+1,1))</f>
        <v>475.47920969424894</v>
      </c>
      <c r="AO203" s="60">
        <f t="shared" si="205"/>
        <v>271.73544012419364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7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6.7984728957526396E-14</v>
      </c>
      <c r="BF203" s="14">
        <f t="shared" si="167"/>
        <v>1.0682447123141398E-12</v>
      </c>
      <c r="BG203" s="22">
        <f t="shared" si="168"/>
        <v>1.978932943548152E-12</v>
      </c>
      <c r="BH203" s="60">
        <f t="shared" si="194"/>
        <v>293.3333333333353</v>
      </c>
      <c r="BI203" s="60">
        <f ca="1">AVERAGE(OFFSET($BH$3,0,0,'Données projet'!$E$11+1,1))-AVERAGE(OFFSET($H$3,0,0,'Données projet'!$E$11+1,1))</f>
        <v>260.02504691866199</v>
      </c>
      <c r="BJ203" s="60">
        <f t="shared" si="206"/>
        <v>270.11268336406368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0.34531449686482657</v>
      </c>
      <c r="BQ203" s="23">
        <f>EXP(-LN(2)/25)*BQ202+(1-EXP(-LN(2)/25))/(LN(2)/25)*Calculateur!BL203*Calculateur!BN203*VLOOKUP('Données projet'!$B$11,Paramètres!$A$1:$I$89,3,0)*0.475*44/12</f>
        <v>0.14750038417843883</v>
      </c>
      <c r="BR203" s="23">
        <f>EXP(-LN(2)/2)*BR202+(1-EXP(-LN(2)/2))/(LN(2)/2)*BL203*BO203*VLOOKUP('Données projet'!$B$11,Paramètres!$A$1:$I$89,3,0)*0.475*44/12</f>
        <v>1.6388414933786118E-25</v>
      </c>
      <c r="BS203" s="24">
        <f t="shared" si="169"/>
        <v>0.49281488104326543</v>
      </c>
      <c r="BT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5.1159076974727213E-13</v>
      </c>
      <c r="BZ203" s="14">
        <f>BY203*VLOOKUP('Données projet'!$B$12,Paramètres!$A$1:$I$89,3,0)*VLOOKUP('Données projet'!$B$12,Paramètres!$A$1:$I$89,5,0)</f>
        <v>2.3942448024172334E-13</v>
      </c>
      <c r="CA203" s="14">
        <f t="shared" si="170"/>
        <v>3.2492669905861755E-12</v>
      </c>
      <c r="CB203" s="22">
        <f t="shared" si="171"/>
        <v>6.0761376450252565E-12</v>
      </c>
      <c r="CC203" s="60">
        <f t="shared" si="195"/>
        <v>293.3333333333394</v>
      </c>
      <c r="CD203" s="60">
        <f ca="1">AVERAGE(OFFSET($CC$3,0,0,'Données projet'!$E$12+1,1))-AVERAGE(OFFSET($H$3,0,0,'Données projet'!$E$12+1,1))</f>
        <v>246.72166704460847</v>
      </c>
      <c r="CE203" s="60">
        <f t="shared" si="207"/>
        <v>145.54897745089966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-9.6633812063373625E-13</v>
      </c>
      <c r="CU203" s="18">
        <f>CT203*VLOOKUP('Données projet'!$B$13,Paramètres!$A$1:$I$89,3,0)*VLOOKUP('Données projet'!$B$13,Paramètres!$A$1:$I$89,5,0)</f>
        <v>-8.7434273154940449E-13</v>
      </c>
      <c r="CV203" s="14" t="e">
        <f t="shared" si="173"/>
        <v>#NUM!</v>
      </c>
      <c r="CW203" s="22" t="e">
        <f t="shared" si="174"/>
        <v>#NUM!</v>
      </c>
      <c r="CX203" s="60" t="e">
        <f t="shared" si="196"/>
        <v>#NUM!</v>
      </c>
      <c r="CY203" s="60">
        <f ca="1">AVERAGE(OFFSET($CX$3,0,0,'Données projet'!$E$13+1,1))-AVERAGE(OFFSET($H$3,0,0,'Données projet'!$E$13+1,1))</f>
        <v>428.8489304403459</v>
      </c>
      <c r="CZ203" s="60">
        <f t="shared" si="208"/>
        <v>247.01165577562966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-5.1159076974727213E-13</v>
      </c>
      <c r="DP203" s="18">
        <f>DO203*VLOOKUP('Données projet'!$B$14,Paramètres!$A$1:$I$89,3,0)*VLOOKUP('Données projet'!$B$14,Paramètres!$A$1:$I$89,5,0)</f>
        <v>-5.3471467253984886E-13</v>
      </c>
      <c r="DQ203" s="14" t="e">
        <f t="shared" si="176"/>
        <v>#NUM!</v>
      </c>
      <c r="DR203" s="22" t="e">
        <f t="shared" si="177"/>
        <v>#NUM!</v>
      </c>
      <c r="DS203" s="60" t="e">
        <f t="shared" si="197"/>
        <v>#NUM!</v>
      </c>
      <c r="DT203" s="60">
        <f ca="1">AVERAGE(OFFSET($DS$3,0,0,'Données projet'!$E$14+1,1))-AVERAGE(OFFSET($H$3,0,0,'Données projet'!$E$14+1,1))</f>
        <v>493.70175665335978</v>
      </c>
      <c r="DU203" s="60">
        <f t="shared" si="209"/>
        <v>325.12357781685949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-1.9895196601282805E-13</v>
      </c>
      <c r="EK203" s="18">
        <f>EJ203*VLOOKUP('Données projet'!$B$15,Paramètres!$A$1:$I$89,3,0)*VLOOKUP('Données projet'!$B$15,Paramètres!$A$1:$I$89,5,0)</f>
        <v>-1.6138983482960614E-13</v>
      </c>
      <c r="EL203" s="14" t="e">
        <f t="shared" si="179"/>
        <v>#NUM!</v>
      </c>
      <c r="EM203" s="22" t="e">
        <f t="shared" si="180"/>
        <v>#NUM!</v>
      </c>
      <c r="EN203" s="60" t="e">
        <f t="shared" si="198"/>
        <v>#NUM!</v>
      </c>
      <c r="EO203" s="60">
        <f ca="1">AVERAGE(OFFSET($EN$3,0,0,'Données projet'!$E$15+1,1))-AVERAGE(OFFSET($H$3,0,0,'Données projet'!$E$15+1,1))</f>
        <v>236.22643401787644</v>
      </c>
      <c r="EP203" s="60">
        <f t="shared" si="210"/>
        <v>188.80444043778022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5.4978954722173515E-14</v>
      </c>
      <c r="FG203" s="14">
        <f t="shared" si="182"/>
        <v>8.8550225887742724E-13</v>
      </c>
      <c r="FH203" s="22">
        <f t="shared" si="183"/>
        <v>1.6380047803526383E-12</v>
      </c>
      <c r="FI203" s="60">
        <f t="shared" si="199"/>
        <v>293.33333333333496</v>
      </c>
      <c r="FJ203" s="60">
        <f ca="1">AVERAGE(OFFSET($FI$3,0,0,'Données projet'!$E$16+1,1))-AVERAGE(OFFSET($H$3,0,0,'Données projet'!$E$16+1,1))</f>
        <v>255.59755832175625</v>
      </c>
      <c r="FK203" s="60">
        <f t="shared" si="211"/>
        <v>154.0840647586964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0" t="e">
        <f t="shared" si="200"/>
        <v>#N/A</v>
      </c>
      <c r="GE203" s="60" t="e">
        <f ca="1">AVERAGE(OFFSET($GD$3,0,0,'Données projet'!$E$17+1,1))-AVERAGE(OFFSET($H$3,0,0,'Données projet'!$E$17+1,1))</f>
        <v>#N/A</v>
      </c>
      <c r="GF203" s="60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7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0" t="e">
        <f t="shared" si="201"/>
        <v>#N/A</v>
      </c>
      <c r="GZ203" s="60" t="e">
        <f ca="1">AVERAGE(OFFSET($GY$3,0,0,'Données projet'!$E$18+1,1))-AVERAGE(OFFSET($H$3,0,0,'Données projet'!$E$18+1,1))</f>
        <v>#N/A</v>
      </c>
      <c r="HA203" s="60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1"/>
      <c r="C204" s="79"/>
      <c r="D204" s="80"/>
      <c r="E204" s="80"/>
      <c r="F204" s="80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9"/>
      <c r="I204" s="79"/>
      <c r="J204" s="79"/>
      <c r="K204" s="88" t="s">
        <v>293</v>
      </c>
      <c r="L204" s="82"/>
      <c r="M204" s="82"/>
      <c r="N204" s="82"/>
      <c r="O204" s="79"/>
      <c r="P204" s="79"/>
      <c r="Q204" s="80"/>
      <c r="R204" s="83"/>
      <c r="S204" s="83"/>
      <c r="T204" s="83"/>
      <c r="U204" s="82"/>
      <c r="V204" s="82"/>
      <c r="W204" s="84"/>
      <c r="X204" s="84"/>
      <c r="Y204" s="84"/>
      <c r="Z204" s="79"/>
      <c r="AA204" s="79"/>
      <c r="AB204" s="79"/>
      <c r="AC204" s="79"/>
      <c r="AD204" s="79"/>
      <c r="AE204" s="79"/>
      <c r="AF204" s="85" t="s">
        <v>293</v>
      </c>
      <c r="BA204" s="85" t="s">
        <v>293</v>
      </c>
      <c r="BV204" s="85" t="s">
        <v>293</v>
      </c>
      <c r="CQ204" s="85" t="s">
        <v>293</v>
      </c>
      <c r="DL204" s="85" t="s">
        <v>293</v>
      </c>
      <c r="EG204" s="85" t="s">
        <v>293</v>
      </c>
      <c r="FB204" s="85" t="s">
        <v>293</v>
      </c>
      <c r="FW204" s="85" t="s">
        <v>293</v>
      </c>
      <c r="GR204" s="85" t="s">
        <v>293</v>
      </c>
    </row>
    <row r="205" spans="1:218" ht="15" thickBot="1" x14ac:dyDescent="0.35">
      <c r="B205" s="81"/>
      <c r="C205" s="79"/>
      <c r="D205" s="80"/>
      <c r="E205" s="80"/>
      <c r="F205" s="80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9"/>
      <c r="I205" s="79"/>
      <c r="J205" s="79"/>
      <c r="K205" s="86">
        <f>EXP(LN('Données projet'!B36)/'Données projet'!A36)</f>
        <v>1.3676427803629969</v>
      </c>
      <c r="L205" s="82"/>
      <c r="M205" s="82"/>
      <c r="N205" s="82"/>
      <c r="O205" s="79"/>
      <c r="P205" s="79"/>
      <c r="Q205" s="80"/>
      <c r="R205" s="83"/>
      <c r="S205" s="83"/>
      <c r="T205" s="83"/>
      <c r="U205" s="82"/>
      <c r="V205" s="82"/>
      <c r="W205" s="84"/>
      <c r="X205" s="84"/>
      <c r="Y205" s="84"/>
      <c r="Z205" s="79"/>
      <c r="AA205" s="79"/>
      <c r="AB205" s="79"/>
      <c r="AC205" s="79"/>
      <c r="AD205" s="79"/>
      <c r="AE205" s="79"/>
      <c r="AF205" s="87">
        <f>EXP(LN('Données projet'!B62)/'Données projet'!A62)</f>
        <v>1.2054868146447177</v>
      </c>
      <c r="BA205" s="86">
        <f>EXP(LN('Données projet'!B88)/'Données projet'!A88)</f>
        <v>1.3292852468636394</v>
      </c>
      <c r="BV205" s="86">
        <f>EXP(LN('Données projet'!B114)/'Données projet'!A114)</f>
        <v>1.1671681906248585</v>
      </c>
      <c r="CQ205" s="86">
        <f>EXP(LN('Données projet'!B140)/'Données projet'!A140)</f>
        <v>1.2054868146447177</v>
      </c>
      <c r="DL205" s="86">
        <f>EXP(LN('Données projet'!B166)/'Données projet'!A166)</f>
        <v>1.2548684989282006</v>
      </c>
      <c r="EG205" s="86">
        <f>EXP(LN('Données projet'!B192)/'Données projet'!A192)</f>
        <v>1.2599210498948732</v>
      </c>
      <c r="FB205" s="86">
        <f>EXP(LN('Données projet'!B218)/'Données projet'!A218)</f>
        <v>1.1644235083052243</v>
      </c>
      <c r="FW205" s="86" t="e">
        <f>EXP(LN('Données projet'!B244)/'Données projet'!A244)</f>
        <v>#NUM!</v>
      </c>
      <c r="GR205" s="86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18" t="s">
        <v>0</v>
      </c>
      <c r="B1" s="119" t="s">
        <v>106</v>
      </c>
      <c r="C1" s="120" t="s">
        <v>144</v>
      </c>
      <c r="D1" s="119" t="s">
        <v>100</v>
      </c>
      <c r="E1" s="120" t="s">
        <v>145</v>
      </c>
      <c r="F1" s="120" t="s">
        <v>100</v>
      </c>
      <c r="G1" s="120" t="s">
        <v>146</v>
      </c>
      <c r="H1" s="120" t="s">
        <v>100</v>
      </c>
      <c r="I1" s="121" t="s">
        <v>147</v>
      </c>
      <c r="J1" s="98"/>
      <c r="K1" s="98"/>
      <c r="L1" s="98"/>
      <c r="M1" s="98"/>
      <c r="N1" s="98"/>
    </row>
    <row r="2" spans="1:16" x14ac:dyDescent="0.3">
      <c r="A2" s="122" t="s">
        <v>1</v>
      </c>
      <c r="B2" s="123" t="s">
        <v>53</v>
      </c>
      <c r="C2" s="124">
        <v>0.62</v>
      </c>
      <c r="D2" s="124" t="s">
        <v>161</v>
      </c>
      <c r="E2" s="124">
        <v>1.56</v>
      </c>
      <c r="F2" s="124" t="s">
        <v>274</v>
      </c>
      <c r="G2" s="125">
        <v>0.43</v>
      </c>
      <c r="H2" s="126" t="s">
        <v>278</v>
      </c>
      <c r="I2" s="127">
        <v>0.25</v>
      </c>
      <c r="J2" s="98"/>
      <c r="K2" s="98"/>
      <c r="L2" s="98"/>
      <c r="M2" s="98"/>
      <c r="N2" s="98"/>
      <c r="O2" s="314" t="s">
        <v>238</v>
      </c>
      <c r="P2" s="128">
        <v>0</v>
      </c>
    </row>
    <row r="3" spans="1:16" ht="15" thickBot="1" x14ac:dyDescent="0.35">
      <c r="A3" s="129" t="s">
        <v>2</v>
      </c>
      <c r="B3" s="130" t="s">
        <v>54</v>
      </c>
      <c r="C3" s="131">
        <v>0.64</v>
      </c>
      <c r="D3" s="131" t="s">
        <v>161</v>
      </c>
      <c r="E3" s="131">
        <v>1.56</v>
      </c>
      <c r="F3" s="132" t="s">
        <v>274</v>
      </c>
      <c r="G3" s="133">
        <v>0.43</v>
      </c>
      <c r="H3" s="131" t="s">
        <v>278</v>
      </c>
      <c r="I3" s="134">
        <v>0.25</v>
      </c>
      <c r="J3" s="98"/>
      <c r="K3" s="98"/>
      <c r="L3" s="98"/>
      <c r="M3" s="98"/>
      <c r="N3" s="98"/>
      <c r="O3" s="315"/>
      <c r="P3" s="135">
        <v>0.2</v>
      </c>
    </row>
    <row r="4" spans="1:16" ht="15" thickBot="1" x14ac:dyDescent="0.35">
      <c r="A4" s="129" t="s">
        <v>98</v>
      </c>
      <c r="B4" s="130" t="s">
        <v>99</v>
      </c>
      <c r="C4" s="131">
        <v>0.42</v>
      </c>
      <c r="D4" s="131" t="s">
        <v>161</v>
      </c>
      <c r="E4" s="131">
        <v>1.56</v>
      </c>
      <c r="F4" s="132" t="s">
        <v>274</v>
      </c>
      <c r="G4" s="133">
        <v>0.43</v>
      </c>
      <c r="H4" s="131" t="s">
        <v>278</v>
      </c>
      <c r="I4" s="134">
        <v>0.25</v>
      </c>
      <c r="J4" s="98"/>
      <c r="K4" s="98"/>
      <c r="L4" s="98"/>
      <c r="M4" s="98"/>
      <c r="N4" s="98"/>
    </row>
    <row r="5" spans="1:16" x14ac:dyDescent="0.3">
      <c r="A5" s="129" t="s">
        <v>4</v>
      </c>
      <c r="B5" s="130" t="s">
        <v>55</v>
      </c>
      <c r="C5" s="131">
        <v>0.42</v>
      </c>
      <c r="D5" s="131" t="s">
        <v>161</v>
      </c>
      <c r="E5" s="131">
        <v>1.56</v>
      </c>
      <c r="F5" s="132" t="s">
        <v>274</v>
      </c>
      <c r="G5" s="133">
        <v>0.43</v>
      </c>
      <c r="H5" s="131" t="s">
        <v>278</v>
      </c>
      <c r="I5" s="134">
        <v>0.25</v>
      </c>
      <c r="J5" s="98"/>
      <c r="K5" s="98"/>
      <c r="L5" s="98"/>
      <c r="M5" s="98"/>
      <c r="N5" s="98"/>
      <c r="O5" s="314" t="s">
        <v>237</v>
      </c>
      <c r="P5" s="128">
        <v>0</v>
      </c>
    </row>
    <row r="6" spans="1:16" x14ac:dyDescent="0.3">
      <c r="A6" s="129" t="s">
        <v>3</v>
      </c>
      <c r="B6" s="130" t="s">
        <v>97</v>
      </c>
      <c r="C6" s="131">
        <v>0.42</v>
      </c>
      <c r="D6" s="131" t="s">
        <v>161</v>
      </c>
      <c r="E6" s="131">
        <v>1.56</v>
      </c>
      <c r="F6" s="132" t="s">
        <v>274</v>
      </c>
      <c r="G6" s="133">
        <v>0.43</v>
      </c>
      <c r="H6" s="131" t="s">
        <v>278</v>
      </c>
      <c r="I6" s="134">
        <v>0.25</v>
      </c>
      <c r="J6" s="98"/>
      <c r="K6" s="98"/>
      <c r="L6" s="98"/>
      <c r="M6" s="98"/>
      <c r="N6" s="98"/>
      <c r="O6" s="316"/>
      <c r="P6" s="136">
        <v>0.05</v>
      </c>
    </row>
    <row r="7" spans="1:16" x14ac:dyDescent="0.3">
      <c r="A7" s="129" t="s">
        <v>5</v>
      </c>
      <c r="B7" s="130" t="s">
        <v>56</v>
      </c>
      <c r="C7" s="131">
        <v>0.52</v>
      </c>
      <c r="D7" s="131" t="s">
        <v>161</v>
      </c>
      <c r="E7" s="131">
        <v>1.56</v>
      </c>
      <c r="F7" s="132" t="s">
        <v>274</v>
      </c>
      <c r="G7" s="133">
        <v>0.43</v>
      </c>
      <c r="H7" s="131" t="s">
        <v>278</v>
      </c>
      <c r="I7" s="134">
        <v>0.25</v>
      </c>
      <c r="J7" s="98"/>
      <c r="K7" s="98"/>
      <c r="L7" s="98"/>
      <c r="M7" s="98"/>
      <c r="N7" s="98"/>
      <c r="O7" s="316"/>
      <c r="P7" s="136">
        <v>0.1</v>
      </c>
    </row>
    <row r="8" spans="1:16" ht="15" thickBot="1" x14ac:dyDescent="0.35">
      <c r="A8" s="129" t="s">
        <v>164</v>
      </c>
      <c r="B8" s="130" t="s">
        <v>57</v>
      </c>
      <c r="C8" s="131">
        <v>0.36</v>
      </c>
      <c r="D8" s="131" t="s">
        <v>161</v>
      </c>
      <c r="E8" s="131">
        <v>1.3</v>
      </c>
      <c r="F8" s="132" t="s">
        <v>274</v>
      </c>
      <c r="G8" s="133">
        <v>0.55000000000000004</v>
      </c>
      <c r="H8" s="131" t="s">
        <v>153</v>
      </c>
      <c r="I8" s="134">
        <v>0.43</v>
      </c>
      <c r="J8" s="98"/>
      <c r="K8" s="98"/>
      <c r="L8" s="98"/>
      <c r="M8" s="98"/>
      <c r="N8" s="98"/>
      <c r="O8" s="315"/>
      <c r="P8" s="135">
        <v>0.15</v>
      </c>
    </row>
    <row r="9" spans="1:16" ht="15" thickBot="1" x14ac:dyDescent="0.35">
      <c r="A9" s="129" t="s">
        <v>6</v>
      </c>
      <c r="B9" s="130" t="s">
        <v>58</v>
      </c>
      <c r="C9" s="131">
        <v>0.61</v>
      </c>
      <c r="D9" s="131" t="s">
        <v>161</v>
      </c>
      <c r="E9" s="131">
        <v>1.56</v>
      </c>
      <c r="F9" s="132" t="s">
        <v>274</v>
      </c>
      <c r="G9" s="133">
        <v>0.43</v>
      </c>
      <c r="H9" s="131" t="s">
        <v>278</v>
      </c>
      <c r="I9" s="134">
        <v>0.25</v>
      </c>
      <c r="J9" s="98"/>
      <c r="K9" s="98"/>
      <c r="L9" s="98"/>
      <c r="M9" s="98"/>
      <c r="N9" s="98"/>
    </row>
    <row r="10" spans="1:16" x14ac:dyDescent="0.3">
      <c r="A10" s="129" t="s">
        <v>7</v>
      </c>
      <c r="B10" s="130" t="s">
        <v>59</v>
      </c>
      <c r="C10" s="131">
        <v>0.66</v>
      </c>
      <c r="D10" s="131" t="s">
        <v>161</v>
      </c>
      <c r="E10" s="131">
        <v>1.56</v>
      </c>
      <c r="F10" s="132" t="s">
        <v>274</v>
      </c>
      <c r="G10" s="133">
        <v>0.43</v>
      </c>
      <c r="H10" s="131" t="s">
        <v>278</v>
      </c>
      <c r="I10" s="134">
        <v>0.25</v>
      </c>
      <c r="J10" s="98"/>
      <c r="K10" s="98"/>
      <c r="L10" s="98"/>
      <c r="M10" s="98"/>
      <c r="N10" s="98"/>
      <c r="O10" s="314" t="s">
        <v>236</v>
      </c>
      <c r="P10" s="128">
        <v>0</v>
      </c>
    </row>
    <row r="11" spans="1:16" ht="15" thickBot="1" x14ac:dyDescent="0.35">
      <c r="A11" s="129" t="s">
        <v>8</v>
      </c>
      <c r="B11" s="130" t="s">
        <v>60</v>
      </c>
      <c r="C11" s="131">
        <v>0.47</v>
      </c>
      <c r="D11" s="131" t="s">
        <v>161</v>
      </c>
      <c r="E11" s="131">
        <v>1.56</v>
      </c>
      <c r="F11" s="132" t="s">
        <v>274</v>
      </c>
      <c r="G11" s="133">
        <v>0.43</v>
      </c>
      <c r="H11" s="131" t="s">
        <v>278</v>
      </c>
      <c r="I11" s="134">
        <v>0.25</v>
      </c>
      <c r="J11" s="98"/>
      <c r="K11" s="98"/>
      <c r="L11" s="98"/>
      <c r="M11" s="98"/>
      <c r="N11" s="98"/>
      <c r="O11" s="315"/>
      <c r="P11" s="135">
        <v>0.1</v>
      </c>
    </row>
    <row r="12" spans="1:16" x14ac:dyDescent="0.3">
      <c r="A12" s="129" t="s">
        <v>9</v>
      </c>
      <c r="B12" s="130" t="s">
        <v>61</v>
      </c>
      <c r="C12" s="131">
        <v>0.67</v>
      </c>
      <c r="D12" s="131" t="s">
        <v>161</v>
      </c>
      <c r="E12" s="131">
        <v>1.56</v>
      </c>
      <c r="F12" s="132" t="s">
        <v>274</v>
      </c>
      <c r="G12" s="133">
        <v>0.43</v>
      </c>
      <c r="H12" s="131" t="s">
        <v>152</v>
      </c>
      <c r="I12" s="134">
        <v>0.25</v>
      </c>
      <c r="J12" s="98"/>
      <c r="K12" s="98"/>
      <c r="L12" s="98"/>
      <c r="M12" s="98"/>
      <c r="N12" s="98"/>
    </row>
    <row r="13" spans="1:16" x14ac:dyDescent="0.3">
      <c r="A13" s="129" t="s">
        <v>10</v>
      </c>
      <c r="B13" s="130" t="s">
        <v>62</v>
      </c>
      <c r="C13" s="131">
        <v>0.7</v>
      </c>
      <c r="D13" s="131" t="s">
        <v>161</v>
      </c>
      <c r="E13" s="131">
        <v>1.56</v>
      </c>
      <c r="F13" s="132" t="s">
        <v>274</v>
      </c>
      <c r="G13" s="133">
        <v>0.43</v>
      </c>
      <c r="H13" s="131" t="s">
        <v>152</v>
      </c>
      <c r="I13" s="134">
        <v>0.25</v>
      </c>
      <c r="J13" s="98"/>
      <c r="K13" s="98"/>
      <c r="L13" s="98"/>
      <c r="M13" s="98"/>
      <c r="N13" s="98"/>
    </row>
    <row r="14" spans="1:16" x14ac:dyDescent="0.3">
      <c r="A14" s="129" t="s">
        <v>11</v>
      </c>
      <c r="B14" s="130" t="s">
        <v>63</v>
      </c>
      <c r="C14" s="131">
        <v>0.54</v>
      </c>
      <c r="D14" s="131" t="s">
        <v>161</v>
      </c>
      <c r="E14" s="131">
        <v>1.56</v>
      </c>
      <c r="F14" s="132" t="s">
        <v>274</v>
      </c>
      <c r="G14" s="133">
        <v>0.43</v>
      </c>
      <c r="H14" s="131" t="s">
        <v>152</v>
      </c>
      <c r="I14" s="134">
        <v>0.25</v>
      </c>
      <c r="J14" s="98"/>
      <c r="K14" s="98"/>
      <c r="L14" s="98"/>
      <c r="M14" s="98"/>
      <c r="N14" s="98"/>
    </row>
    <row r="15" spans="1:16" x14ac:dyDescent="0.3">
      <c r="A15" s="129" t="s">
        <v>12</v>
      </c>
      <c r="B15" s="130" t="s">
        <v>64</v>
      </c>
      <c r="C15" s="131">
        <v>0.65</v>
      </c>
      <c r="D15" s="131" t="s">
        <v>161</v>
      </c>
      <c r="E15" s="131">
        <v>1.56</v>
      </c>
      <c r="F15" s="132" t="s">
        <v>274</v>
      </c>
      <c r="G15" s="133">
        <v>0.43</v>
      </c>
      <c r="H15" s="131" t="s">
        <v>152</v>
      </c>
      <c r="I15" s="134">
        <v>0.25</v>
      </c>
      <c r="J15" s="98"/>
      <c r="K15" s="98"/>
      <c r="L15" s="98"/>
      <c r="M15" s="98"/>
      <c r="N15" s="98"/>
    </row>
    <row r="16" spans="1:16" x14ac:dyDescent="0.3">
      <c r="A16" s="129" t="s">
        <v>13</v>
      </c>
      <c r="B16" s="130" t="s">
        <v>65</v>
      </c>
      <c r="C16" s="131">
        <v>0.56000000000000005</v>
      </c>
      <c r="D16" s="131" t="s">
        <v>161</v>
      </c>
      <c r="E16" s="131">
        <v>1.56</v>
      </c>
      <c r="F16" s="132" t="s">
        <v>274</v>
      </c>
      <c r="G16" s="133">
        <v>0.43</v>
      </c>
      <c r="H16" s="131" t="s">
        <v>152</v>
      </c>
      <c r="I16" s="134">
        <v>0.25</v>
      </c>
      <c r="J16" s="98"/>
      <c r="K16" s="98"/>
      <c r="L16" s="98"/>
      <c r="M16" s="98"/>
      <c r="N16" s="98"/>
    </row>
    <row r="17" spans="1:14" x14ac:dyDescent="0.3">
      <c r="A17" s="129" t="s">
        <v>14</v>
      </c>
      <c r="B17" s="130" t="s">
        <v>66</v>
      </c>
      <c r="C17" s="131">
        <v>0.57999999999999996</v>
      </c>
      <c r="D17" s="131" t="s">
        <v>161</v>
      </c>
      <c r="E17" s="131">
        <v>1.56</v>
      </c>
      <c r="F17" s="132" t="s">
        <v>274</v>
      </c>
      <c r="G17" s="133">
        <v>0.43</v>
      </c>
      <c r="H17" s="131" t="s">
        <v>152</v>
      </c>
      <c r="I17" s="134">
        <v>0.25</v>
      </c>
      <c r="J17" s="98"/>
      <c r="K17" s="98"/>
      <c r="L17" s="98"/>
      <c r="M17" s="98"/>
      <c r="N17" s="98"/>
    </row>
    <row r="18" spans="1:14" x14ac:dyDescent="0.3">
      <c r="A18" s="129" t="s">
        <v>15</v>
      </c>
      <c r="B18" s="130" t="s">
        <v>67</v>
      </c>
      <c r="C18" s="131">
        <v>0.64</v>
      </c>
      <c r="D18" s="131" t="s">
        <v>161</v>
      </c>
      <c r="E18" s="131">
        <v>1.56</v>
      </c>
      <c r="F18" s="132" t="s">
        <v>274</v>
      </c>
      <c r="G18" s="133">
        <v>0.43</v>
      </c>
      <c r="H18" s="131" t="s">
        <v>152</v>
      </c>
      <c r="I18" s="134">
        <v>0.25</v>
      </c>
      <c r="J18" s="98"/>
      <c r="K18" s="98"/>
      <c r="L18" s="98"/>
      <c r="M18" s="98"/>
      <c r="N18" s="98"/>
    </row>
    <row r="19" spans="1:14" x14ac:dyDescent="0.3">
      <c r="A19" s="129" t="s">
        <v>16</v>
      </c>
      <c r="B19" s="130" t="s">
        <v>68</v>
      </c>
      <c r="C19" s="131">
        <v>0.73</v>
      </c>
      <c r="D19" s="131" t="s">
        <v>161</v>
      </c>
      <c r="E19" s="131">
        <v>1.56</v>
      </c>
      <c r="F19" s="132" t="s">
        <v>274</v>
      </c>
      <c r="G19" s="133">
        <v>0.43</v>
      </c>
      <c r="H19" s="131" t="s">
        <v>152</v>
      </c>
      <c r="I19" s="134">
        <v>0.25</v>
      </c>
      <c r="J19" s="98"/>
      <c r="K19" s="98"/>
      <c r="L19" s="98"/>
      <c r="M19" s="98"/>
      <c r="N19" s="98"/>
    </row>
    <row r="20" spans="1:14" x14ac:dyDescent="0.3">
      <c r="A20" s="129" t="s">
        <v>52</v>
      </c>
      <c r="B20" s="130" t="s">
        <v>69</v>
      </c>
      <c r="C20" s="131">
        <v>0.69</v>
      </c>
      <c r="D20" s="131" t="s">
        <v>131</v>
      </c>
      <c r="E20" s="131">
        <v>1.56</v>
      </c>
      <c r="F20" s="132" t="s">
        <v>274</v>
      </c>
      <c r="G20" s="133">
        <v>0.43</v>
      </c>
      <c r="H20" s="131" t="s">
        <v>282</v>
      </c>
      <c r="I20" s="134">
        <v>0.25</v>
      </c>
      <c r="J20" s="98"/>
      <c r="K20" s="98"/>
      <c r="L20" s="98"/>
      <c r="M20" s="98"/>
      <c r="N20" s="98"/>
    </row>
    <row r="21" spans="1:14" x14ac:dyDescent="0.3">
      <c r="A21" s="129" t="s">
        <v>154</v>
      </c>
      <c r="B21" s="130" t="s">
        <v>155</v>
      </c>
      <c r="C21" s="131">
        <v>0.36</v>
      </c>
      <c r="D21" s="131" t="s">
        <v>161</v>
      </c>
      <c r="E21" s="131">
        <v>1.3</v>
      </c>
      <c r="F21" s="132" t="s">
        <v>274</v>
      </c>
      <c r="G21" s="133">
        <v>0.55000000000000004</v>
      </c>
      <c r="H21" s="131" t="s">
        <v>153</v>
      </c>
      <c r="I21" s="134">
        <v>0.43</v>
      </c>
      <c r="J21" s="98"/>
      <c r="K21" s="98"/>
      <c r="L21" s="98"/>
      <c r="M21" s="98"/>
      <c r="N21" s="98"/>
    </row>
    <row r="22" spans="1:14" x14ac:dyDescent="0.3">
      <c r="A22" s="129" t="s">
        <v>17</v>
      </c>
      <c r="B22" s="130" t="s">
        <v>70</v>
      </c>
      <c r="C22" s="131">
        <v>0.4</v>
      </c>
      <c r="D22" s="131" t="s">
        <v>161</v>
      </c>
      <c r="E22" s="131">
        <v>1.3</v>
      </c>
      <c r="F22" s="132" t="s">
        <v>274</v>
      </c>
      <c r="G22" s="133">
        <v>0.55000000000000004</v>
      </c>
      <c r="H22" s="131" t="s">
        <v>153</v>
      </c>
      <c r="I22" s="134">
        <v>0.43</v>
      </c>
      <c r="J22" s="98"/>
      <c r="K22" s="98"/>
      <c r="L22" s="98"/>
      <c r="M22" s="98"/>
      <c r="N22" s="98"/>
    </row>
    <row r="23" spans="1:14" x14ac:dyDescent="0.3">
      <c r="A23" s="129" t="s">
        <v>18</v>
      </c>
      <c r="B23" s="130" t="s">
        <v>71</v>
      </c>
      <c r="C23" s="131">
        <v>0.43</v>
      </c>
      <c r="D23" s="131" t="s">
        <v>161</v>
      </c>
      <c r="E23" s="131">
        <v>1.3</v>
      </c>
      <c r="F23" s="132" t="s">
        <v>274</v>
      </c>
      <c r="G23" s="133">
        <v>0.55000000000000004</v>
      </c>
      <c r="H23" s="131" t="s">
        <v>153</v>
      </c>
      <c r="I23" s="134">
        <v>0.43</v>
      </c>
      <c r="J23" s="98"/>
      <c r="K23" s="98"/>
      <c r="L23" s="98"/>
      <c r="M23" s="98"/>
      <c r="N23" s="98"/>
    </row>
    <row r="24" spans="1:14" x14ac:dyDescent="0.3">
      <c r="A24" s="129" t="s">
        <v>19</v>
      </c>
      <c r="B24" s="130" t="s">
        <v>72</v>
      </c>
      <c r="C24" s="131">
        <v>0.37</v>
      </c>
      <c r="D24" s="131" t="s">
        <v>161</v>
      </c>
      <c r="E24" s="131">
        <v>1.3</v>
      </c>
      <c r="F24" s="132" t="s">
        <v>274</v>
      </c>
      <c r="G24" s="133">
        <v>0.55000000000000004</v>
      </c>
      <c r="H24" s="131" t="s">
        <v>152</v>
      </c>
      <c r="I24" s="134">
        <v>0.43</v>
      </c>
      <c r="J24" s="98"/>
      <c r="K24" s="98"/>
      <c r="L24" s="98"/>
      <c r="M24" s="98"/>
      <c r="N24" s="98"/>
    </row>
    <row r="25" spans="1:14" x14ac:dyDescent="0.3">
      <c r="A25" s="129" t="s">
        <v>20</v>
      </c>
      <c r="B25" s="130" t="s">
        <v>73</v>
      </c>
      <c r="C25" s="131">
        <v>0.36</v>
      </c>
      <c r="D25" s="131" t="s">
        <v>161</v>
      </c>
      <c r="E25" s="131">
        <v>1.3</v>
      </c>
      <c r="F25" s="132" t="s">
        <v>274</v>
      </c>
      <c r="G25" s="133">
        <v>0.55000000000000004</v>
      </c>
      <c r="H25" s="131" t="s">
        <v>152</v>
      </c>
      <c r="I25" s="134">
        <v>0.43</v>
      </c>
      <c r="J25" s="98"/>
      <c r="K25" s="98"/>
      <c r="L25" s="98"/>
      <c r="M25" s="98"/>
      <c r="N25" s="98"/>
    </row>
    <row r="26" spans="1:14" x14ac:dyDescent="0.3">
      <c r="A26" s="129" t="s">
        <v>21</v>
      </c>
      <c r="B26" s="130" t="s">
        <v>74</v>
      </c>
      <c r="C26" s="131">
        <v>0.56000000000000005</v>
      </c>
      <c r="D26" s="131" t="s">
        <v>161</v>
      </c>
      <c r="E26" s="131">
        <v>1.56</v>
      </c>
      <c r="F26" s="132" t="s">
        <v>274</v>
      </c>
      <c r="G26" s="133">
        <v>0.53</v>
      </c>
      <c r="H26" s="131" t="s">
        <v>275</v>
      </c>
      <c r="I26" s="134">
        <v>0.25</v>
      </c>
      <c r="J26" s="98"/>
      <c r="K26" s="98"/>
      <c r="L26" s="98"/>
      <c r="M26" s="98"/>
      <c r="N26" s="98"/>
    </row>
    <row r="27" spans="1:14" x14ac:dyDescent="0.3">
      <c r="A27" s="129" t="s">
        <v>22</v>
      </c>
      <c r="B27" s="130" t="s">
        <v>75</v>
      </c>
      <c r="C27" s="131">
        <v>0.51</v>
      </c>
      <c r="D27" s="131" t="s">
        <v>161</v>
      </c>
      <c r="E27" s="131">
        <v>1.56</v>
      </c>
      <c r="F27" s="132" t="s">
        <v>274</v>
      </c>
      <c r="G27" s="133">
        <v>0.53</v>
      </c>
      <c r="H27" s="131" t="s">
        <v>275</v>
      </c>
      <c r="I27" s="134">
        <v>0.25</v>
      </c>
      <c r="J27" s="98"/>
      <c r="K27" s="98"/>
      <c r="L27" s="98"/>
      <c r="M27" s="98"/>
      <c r="N27" s="98"/>
    </row>
    <row r="28" spans="1:14" x14ac:dyDescent="0.3">
      <c r="A28" s="129" t="s">
        <v>23</v>
      </c>
      <c r="B28" s="130" t="s">
        <v>76</v>
      </c>
      <c r="C28" s="131">
        <v>0.51</v>
      </c>
      <c r="D28" s="131" t="s">
        <v>161</v>
      </c>
      <c r="E28" s="131">
        <v>1.56</v>
      </c>
      <c r="F28" s="132" t="s">
        <v>274</v>
      </c>
      <c r="G28" s="133">
        <v>0.53</v>
      </c>
      <c r="H28" s="131" t="s">
        <v>275</v>
      </c>
      <c r="I28" s="134">
        <v>0.25</v>
      </c>
      <c r="J28" s="98"/>
      <c r="K28" s="98"/>
      <c r="L28" s="98"/>
      <c r="M28" s="98"/>
      <c r="N28" s="98"/>
    </row>
    <row r="29" spans="1:14" x14ac:dyDescent="0.3">
      <c r="A29" s="129" t="s">
        <v>24</v>
      </c>
      <c r="B29" s="130" t="s">
        <v>24</v>
      </c>
      <c r="C29" s="131">
        <v>0.56000000000000005</v>
      </c>
      <c r="D29" s="131" t="s">
        <v>161</v>
      </c>
      <c r="E29" s="131">
        <v>1.56</v>
      </c>
      <c r="F29" s="132" t="s">
        <v>274</v>
      </c>
      <c r="G29" s="133">
        <v>0.53</v>
      </c>
      <c r="H29" s="131" t="s">
        <v>275</v>
      </c>
      <c r="I29" s="134">
        <v>0.25</v>
      </c>
      <c r="J29" s="98"/>
      <c r="K29" s="98"/>
      <c r="L29" s="98"/>
      <c r="M29" s="98"/>
      <c r="N29" s="98"/>
    </row>
    <row r="30" spans="1:14" x14ac:dyDescent="0.3">
      <c r="A30" s="129" t="s">
        <v>25</v>
      </c>
      <c r="B30" s="130" t="s">
        <v>77</v>
      </c>
      <c r="C30" s="131">
        <v>0.55000000000000004</v>
      </c>
      <c r="D30" s="131" t="s">
        <v>161</v>
      </c>
      <c r="E30" s="131">
        <v>1.56</v>
      </c>
      <c r="F30" s="132" t="s">
        <v>274</v>
      </c>
      <c r="G30" s="133">
        <v>0.53</v>
      </c>
      <c r="H30" s="131" t="s">
        <v>152</v>
      </c>
      <c r="I30" s="134">
        <v>0.25</v>
      </c>
      <c r="J30" s="98"/>
      <c r="K30" s="98"/>
      <c r="L30" s="98"/>
      <c r="M30" s="98"/>
      <c r="N30" s="98"/>
    </row>
    <row r="31" spans="1:14" x14ac:dyDescent="0.3">
      <c r="A31" s="129" t="s">
        <v>26</v>
      </c>
      <c r="B31" s="130" t="s">
        <v>78</v>
      </c>
      <c r="C31" s="131">
        <v>0.56000000000000005</v>
      </c>
      <c r="D31" s="131" t="s">
        <v>161</v>
      </c>
      <c r="E31" s="131">
        <v>1.56</v>
      </c>
      <c r="F31" s="132" t="s">
        <v>274</v>
      </c>
      <c r="G31" s="133">
        <v>0.43</v>
      </c>
      <c r="H31" s="131" t="s">
        <v>278</v>
      </c>
      <c r="I31" s="134">
        <v>0.25</v>
      </c>
      <c r="J31" s="98"/>
      <c r="K31" s="98"/>
      <c r="L31" s="98"/>
      <c r="M31" s="98"/>
      <c r="N31" s="98"/>
    </row>
    <row r="32" spans="1:14" x14ac:dyDescent="0.3">
      <c r="A32" s="129" t="s">
        <v>27</v>
      </c>
      <c r="B32" s="130" t="s">
        <v>79</v>
      </c>
      <c r="C32" s="131">
        <v>0.48</v>
      </c>
      <c r="D32" s="131" t="s">
        <v>161</v>
      </c>
      <c r="E32" s="131">
        <v>1.3</v>
      </c>
      <c r="F32" s="132" t="s">
        <v>274</v>
      </c>
      <c r="G32" s="133">
        <v>0.6</v>
      </c>
      <c r="H32" s="131" t="s">
        <v>281</v>
      </c>
      <c r="I32" s="134">
        <v>0.43</v>
      </c>
      <c r="J32" s="98"/>
      <c r="K32" s="98"/>
      <c r="L32" s="98"/>
      <c r="M32" s="98"/>
      <c r="N32" s="98"/>
    </row>
    <row r="33" spans="1:14" x14ac:dyDescent="0.3">
      <c r="A33" s="129" t="s">
        <v>28</v>
      </c>
      <c r="B33" s="130" t="s">
        <v>80</v>
      </c>
      <c r="C33" s="131">
        <v>0.42</v>
      </c>
      <c r="D33" s="131" t="s">
        <v>161</v>
      </c>
      <c r="E33" s="131">
        <v>1.3</v>
      </c>
      <c r="F33" s="132" t="s">
        <v>274</v>
      </c>
      <c r="G33" s="133">
        <v>0.6</v>
      </c>
      <c r="H33" s="131" t="s">
        <v>281</v>
      </c>
      <c r="I33" s="134">
        <v>0.43</v>
      </c>
      <c r="J33" s="98"/>
      <c r="K33" s="98"/>
      <c r="L33" s="98"/>
      <c r="M33" s="98"/>
      <c r="N33" s="98"/>
    </row>
    <row r="34" spans="1:14" x14ac:dyDescent="0.3">
      <c r="A34" s="129" t="s">
        <v>81</v>
      </c>
      <c r="B34" s="130" t="s">
        <v>163</v>
      </c>
      <c r="C34" s="131">
        <v>0.42</v>
      </c>
      <c r="D34" s="131" t="s">
        <v>103</v>
      </c>
      <c r="E34" s="131">
        <v>1.3</v>
      </c>
      <c r="F34" s="132" t="s">
        <v>274</v>
      </c>
      <c r="G34" s="133">
        <v>0.6</v>
      </c>
      <c r="H34" s="130" t="s">
        <v>280</v>
      </c>
      <c r="I34" s="134">
        <v>0.43</v>
      </c>
      <c r="J34" s="98"/>
      <c r="K34" s="98"/>
      <c r="L34" s="98"/>
      <c r="M34" s="98"/>
      <c r="N34" s="98"/>
    </row>
    <row r="35" spans="1:14" x14ac:dyDescent="0.3">
      <c r="A35" s="129" t="s">
        <v>29</v>
      </c>
      <c r="B35" s="130" t="s">
        <v>82</v>
      </c>
      <c r="C35" s="131">
        <v>0.5</v>
      </c>
      <c r="D35" s="131" t="s">
        <v>161</v>
      </c>
      <c r="E35" s="131">
        <v>1.56</v>
      </c>
      <c r="F35" s="132" t="s">
        <v>274</v>
      </c>
      <c r="G35" s="133">
        <v>0.43</v>
      </c>
      <c r="H35" s="131" t="s">
        <v>278</v>
      </c>
      <c r="I35" s="134">
        <v>0.25</v>
      </c>
      <c r="J35" s="98"/>
      <c r="K35" s="98"/>
      <c r="L35" s="98"/>
      <c r="M35" s="98"/>
      <c r="N35" s="98"/>
    </row>
    <row r="36" spans="1:14" x14ac:dyDescent="0.3">
      <c r="A36" s="129" t="s">
        <v>102</v>
      </c>
      <c r="B36" s="130" t="s">
        <v>101</v>
      </c>
      <c r="C36" s="131">
        <v>0.55000000000000004</v>
      </c>
      <c r="D36" s="131" t="s">
        <v>161</v>
      </c>
      <c r="E36" s="131">
        <v>1.56</v>
      </c>
      <c r="F36" s="132" t="s">
        <v>274</v>
      </c>
      <c r="G36" s="133">
        <v>0.53</v>
      </c>
      <c r="H36" s="131" t="s">
        <v>275</v>
      </c>
      <c r="I36" s="134">
        <v>0.25</v>
      </c>
      <c r="J36" s="98"/>
      <c r="K36" s="98"/>
      <c r="L36" s="98"/>
      <c r="M36" s="98"/>
      <c r="N36" s="98"/>
    </row>
    <row r="37" spans="1:14" x14ac:dyDescent="0.3">
      <c r="A37" s="129" t="s">
        <v>30</v>
      </c>
      <c r="B37" s="130" t="s">
        <v>104</v>
      </c>
      <c r="C37" s="131">
        <v>0.52</v>
      </c>
      <c r="D37" s="131" t="s">
        <v>161</v>
      </c>
      <c r="E37" s="131">
        <v>1.56</v>
      </c>
      <c r="F37" s="132" t="s">
        <v>274</v>
      </c>
      <c r="G37" s="133">
        <v>0.53</v>
      </c>
      <c r="H37" s="131" t="s">
        <v>275</v>
      </c>
      <c r="I37" s="134">
        <v>0.25</v>
      </c>
      <c r="J37" s="98"/>
      <c r="K37" s="98"/>
      <c r="L37" s="98"/>
      <c r="M37" s="98"/>
      <c r="N37" s="98"/>
    </row>
    <row r="38" spans="1:14" x14ac:dyDescent="0.3">
      <c r="A38" s="129" t="s">
        <v>31</v>
      </c>
      <c r="B38" s="130" t="s">
        <v>105</v>
      </c>
      <c r="C38" s="131">
        <v>0.52</v>
      </c>
      <c r="D38" s="131" t="s">
        <v>161</v>
      </c>
      <c r="E38" s="131">
        <v>1.56</v>
      </c>
      <c r="F38" s="132" t="s">
        <v>274</v>
      </c>
      <c r="G38" s="133">
        <v>0.43</v>
      </c>
      <c r="H38" s="131" t="s">
        <v>278</v>
      </c>
      <c r="I38" s="134">
        <v>0.25</v>
      </c>
      <c r="J38" s="98"/>
      <c r="K38" s="98"/>
      <c r="L38" s="98"/>
      <c r="M38" s="98"/>
      <c r="N38" s="98"/>
    </row>
    <row r="39" spans="1:14" x14ac:dyDescent="0.3">
      <c r="A39" s="129" t="s">
        <v>107</v>
      </c>
      <c r="B39" s="130" t="s">
        <v>132</v>
      </c>
      <c r="C39" s="131">
        <v>0.313</v>
      </c>
      <c r="D39" s="131" t="s">
        <v>130</v>
      </c>
      <c r="E39" s="131">
        <v>1.56</v>
      </c>
      <c r="F39" s="132" t="s">
        <v>274</v>
      </c>
      <c r="G39" s="133">
        <v>0.6</v>
      </c>
      <c r="H39" s="131" t="s">
        <v>283</v>
      </c>
      <c r="I39" s="134">
        <v>1.03</v>
      </c>
      <c r="J39" s="98"/>
      <c r="K39" s="98"/>
      <c r="L39" s="98"/>
      <c r="M39" s="98"/>
      <c r="N39" s="98"/>
    </row>
    <row r="40" spans="1:14" x14ac:dyDescent="0.3">
      <c r="A40" s="129" t="s">
        <v>108</v>
      </c>
      <c r="B40" s="130" t="s">
        <v>132</v>
      </c>
      <c r="C40" s="131">
        <v>0.35199999999999998</v>
      </c>
      <c r="D40" s="131" t="s">
        <v>130</v>
      </c>
      <c r="E40" s="131">
        <v>1.56</v>
      </c>
      <c r="F40" s="132" t="s">
        <v>274</v>
      </c>
      <c r="G40" s="133">
        <v>0.6</v>
      </c>
      <c r="H40" s="131" t="s">
        <v>283</v>
      </c>
      <c r="I40" s="134">
        <v>1.03</v>
      </c>
      <c r="J40" s="98"/>
      <c r="K40" s="98"/>
      <c r="L40" s="98"/>
      <c r="M40" s="98"/>
      <c r="N40" s="98"/>
    </row>
    <row r="41" spans="1:14" x14ac:dyDescent="0.3">
      <c r="A41" s="129" t="s">
        <v>121</v>
      </c>
      <c r="B41" s="130" t="s">
        <v>132</v>
      </c>
      <c r="C41" s="131">
        <v>0.32200000000000001</v>
      </c>
      <c r="D41" s="131" t="s">
        <v>130</v>
      </c>
      <c r="E41" s="131">
        <v>1.56</v>
      </c>
      <c r="F41" s="132" t="s">
        <v>274</v>
      </c>
      <c r="G41" s="133">
        <v>0.6</v>
      </c>
      <c r="H41" s="131" t="s">
        <v>283</v>
      </c>
      <c r="I41" s="134">
        <v>1.03</v>
      </c>
      <c r="J41" s="98"/>
      <c r="K41" s="98"/>
      <c r="L41" s="98"/>
      <c r="M41" s="98"/>
      <c r="N41" s="98"/>
    </row>
    <row r="42" spans="1:14" x14ac:dyDescent="0.3">
      <c r="A42" s="129" t="s">
        <v>122</v>
      </c>
      <c r="B42" s="130" t="s">
        <v>132</v>
      </c>
      <c r="C42" s="131">
        <v>0.311</v>
      </c>
      <c r="D42" s="131" t="s">
        <v>130</v>
      </c>
      <c r="E42" s="131">
        <v>1.56</v>
      </c>
      <c r="F42" s="132" t="s">
        <v>274</v>
      </c>
      <c r="G42" s="133">
        <v>0.6</v>
      </c>
      <c r="H42" s="131" t="s">
        <v>283</v>
      </c>
      <c r="I42" s="134">
        <v>1.03</v>
      </c>
      <c r="J42" s="98"/>
      <c r="K42" s="98"/>
      <c r="L42" s="98"/>
      <c r="M42" s="98"/>
      <c r="N42" s="98"/>
    </row>
    <row r="43" spans="1:14" x14ac:dyDescent="0.3">
      <c r="A43" s="129" t="s">
        <v>109</v>
      </c>
      <c r="B43" s="130" t="s">
        <v>132</v>
      </c>
      <c r="C43" s="131">
        <v>0.33900000000000002</v>
      </c>
      <c r="D43" s="131" t="s">
        <v>130</v>
      </c>
      <c r="E43" s="131">
        <v>1.56</v>
      </c>
      <c r="F43" s="132" t="s">
        <v>274</v>
      </c>
      <c r="G43" s="133">
        <v>0.6</v>
      </c>
      <c r="H43" s="131" t="s">
        <v>283</v>
      </c>
      <c r="I43" s="134">
        <v>1.03</v>
      </c>
      <c r="J43" s="98"/>
      <c r="K43" s="98"/>
      <c r="L43" s="98"/>
      <c r="M43" s="98"/>
      <c r="N43" s="98"/>
    </row>
    <row r="44" spans="1:14" x14ac:dyDescent="0.3">
      <c r="A44" s="129" t="s">
        <v>123</v>
      </c>
      <c r="B44" s="130" t="s">
        <v>132</v>
      </c>
      <c r="C44" s="131">
        <v>0.33600000000000002</v>
      </c>
      <c r="D44" s="131" t="s">
        <v>130</v>
      </c>
      <c r="E44" s="131">
        <v>1.56</v>
      </c>
      <c r="F44" s="132" t="s">
        <v>274</v>
      </c>
      <c r="G44" s="133">
        <v>0.6</v>
      </c>
      <c r="H44" s="131" t="s">
        <v>283</v>
      </c>
      <c r="I44" s="134">
        <v>1.03</v>
      </c>
      <c r="J44" s="98"/>
      <c r="K44" s="98"/>
      <c r="L44" s="98"/>
      <c r="M44" s="98"/>
      <c r="N44" s="98"/>
    </row>
    <row r="45" spans="1:14" x14ac:dyDescent="0.3">
      <c r="A45" s="129" t="s">
        <v>110</v>
      </c>
      <c r="B45" s="130" t="s">
        <v>132</v>
      </c>
      <c r="C45" s="131">
        <v>0.32900000000000001</v>
      </c>
      <c r="D45" s="131" t="s">
        <v>130</v>
      </c>
      <c r="E45" s="131">
        <v>1.56</v>
      </c>
      <c r="F45" s="132" t="s">
        <v>274</v>
      </c>
      <c r="G45" s="133">
        <v>0.6</v>
      </c>
      <c r="H45" s="131" t="s">
        <v>283</v>
      </c>
      <c r="I45" s="134">
        <v>1.03</v>
      </c>
      <c r="J45" s="98"/>
      <c r="K45" s="98"/>
      <c r="L45" s="98"/>
      <c r="M45" s="98"/>
      <c r="N45" s="98"/>
    </row>
    <row r="46" spans="1:14" x14ac:dyDescent="0.3">
      <c r="A46" s="129" t="s">
        <v>124</v>
      </c>
      <c r="B46" s="130" t="s">
        <v>132</v>
      </c>
      <c r="C46" s="131">
        <v>0.34300000000000003</v>
      </c>
      <c r="D46" s="131" t="s">
        <v>130</v>
      </c>
      <c r="E46" s="131">
        <v>1.56</v>
      </c>
      <c r="F46" s="132" t="s">
        <v>274</v>
      </c>
      <c r="G46" s="133">
        <v>0.6</v>
      </c>
      <c r="H46" s="131" t="s">
        <v>283</v>
      </c>
      <c r="I46" s="134">
        <v>1.03</v>
      </c>
      <c r="J46" s="98"/>
      <c r="K46" s="98"/>
      <c r="L46" s="98"/>
      <c r="M46" s="98"/>
      <c r="N46" s="98"/>
    </row>
    <row r="47" spans="1:14" x14ac:dyDescent="0.3">
      <c r="A47" s="129" t="s">
        <v>125</v>
      </c>
      <c r="B47" s="130" t="s">
        <v>132</v>
      </c>
      <c r="C47" s="131">
        <v>0.32500000000000001</v>
      </c>
      <c r="D47" s="131" t="s">
        <v>130</v>
      </c>
      <c r="E47" s="131">
        <v>1.56</v>
      </c>
      <c r="F47" s="132" t="s">
        <v>274</v>
      </c>
      <c r="G47" s="133">
        <v>0.6</v>
      </c>
      <c r="H47" s="131" t="s">
        <v>283</v>
      </c>
      <c r="I47" s="134">
        <v>1.03</v>
      </c>
      <c r="J47" s="98"/>
      <c r="K47" s="98"/>
      <c r="L47" s="98"/>
      <c r="M47" s="98"/>
      <c r="N47" s="98"/>
    </row>
    <row r="48" spans="1:14" x14ac:dyDescent="0.3">
      <c r="A48" s="129" t="s">
        <v>126</v>
      </c>
      <c r="B48" s="130" t="s">
        <v>132</v>
      </c>
      <c r="C48" s="131">
        <v>0.32</v>
      </c>
      <c r="D48" s="131" t="s">
        <v>130</v>
      </c>
      <c r="E48" s="131">
        <v>1.56</v>
      </c>
      <c r="F48" s="132" t="s">
        <v>274</v>
      </c>
      <c r="G48" s="133">
        <v>0.6</v>
      </c>
      <c r="H48" s="131" t="s">
        <v>283</v>
      </c>
      <c r="I48" s="134">
        <v>1.03</v>
      </c>
      <c r="J48" s="98"/>
      <c r="K48" s="98"/>
      <c r="L48" s="98"/>
      <c r="M48" s="98"/>
      <c r="N48" s="98"/>
    </row>
    <row r="49" spans="1:14" x14ac:dyDescent="0.3">
      <c r="A49" s="129" t="s">
        <v>111</v>
      </c>
      <c r="B49" s="130" t="s">
        <v>132</v>
      </c>
      <c r="C49" s="131">
        <v>0.28199999999999997</v>
      </c>
      <c r="D49" s="131" t="s">
        <v>130</v>
      </c>
      <c r="E49" s="131">
        <v>1.56</v>
      </c>
      <c r="F49" s="132" t="s">
        <v>274</v>
      </c>
      <c r="G49" s="133">
        <v>0.6</v>
      </c>
      <c r="H49" s="131" t="s">
        <v>283</v>
      </c>
      <c r="I49" s="134">
        <v>1.03</v>
      </c>
      <c r="J49" s="98"/>
      <c r="K49" s="98"/>
      <c r="L49" s="98"/>
      <c r="M49" s="98"/>
      <c r="N49" s="98"/>
    </row>
    <row r="50" spans="1:14" x14ac:dyDescent="0.3">
      <c r="A50" s="129" t="s">
        <v>127</v>
      </c>
      <c r="B50" s="130" t="s">
        <v>132</v>
      </c>
      <c r="C50" s="131">
        <v>0.32800000000000001</v>
      </c>
      <c r="D50" s="131" t="s">
        <v>130</v>
      </c>
      <c r="E50" s="131">
        <v>1.56</v>
      </c>
      <c r="F50" s="132" t="s">
        <v>274</v>
      </c>
      <c r="G50" s="133">
        <v>0.6</v>
      </c>
      <c r="H50" s="131" t="s">
        <v>283</v>
      </c>
      <c r="I50" s="134">
        <v>1.03</v>
      </c>
      <c r="J50" s="98"/>
      <c r="K50" s="98"/>
      <c r="L50" s="98"/>
      <c r="M50" s="98"/>
      <c r="N50" s="98"/>
    </row>
    <row r="51" spans="1:14" x14ac:dyDescent="0.3">
      <c r="A51" s="129" t="s">
        <v>112</v>
      </c>
      <c r="B51" s="130" t="s">
        <v>132</v>
      </c>
      <c r="C51" s="131">
        <v>0.32600000000000001</v>
      </c>
      <c r="D51" s="131" t="s">
        <v>130</v>
      </c>
      <c r="E51" s="131">
        <v>1.56</v>
      </c>
      <c r="F51" s="132" t="s">
        <v>274</v>
      </c>
      <c r="G51" s="133">
        <v>0.6</v>
      </c>
      <c r="H51" s="131" t="s">
        <v>283</v>
      </c>
      <c r="I51" s="134">
        <v>1.03</v>
      </c>
      <c r="J51" s="98"/>
      <c r="K51" s="98"/>
      <c r="L51" s="98"/>
      <c r="M51" s="98"/>
      <c r="N51" s="98"/>
    </row>
    <row r="52" spans="1:14" x14ac:dyDescent="0.3">
      <c r="A52" s="129" t="s">
        <v>113</v>
      </c>
      <c r="B52" s="130" t="s">
        <v>132</v>
      </c>
      <c r="C52" s="131">
        <v>0.35899999999999999</v>
      </c>
      <c r="D52" s="131" t="s">
        <v>130</v>
      </c>
      <c r="E52" s="131">
        <v>1.56</v>
      </c>
      <c r="F52" s="132" t="s">
        <v>274</v>
      </c>
      <c r="G52" s="133">
        <v>0.6</v>
      </c>
      <c r="H52" s="131" t="s">
        <v>283</v>
      </c>
      <c r="I52" s="134">
        <v>1.03</v>
      </c>
      <c r="J52" s="98"/>
      <c r="K52" s="98"/>
      <c r="L52" s="98"/>
      <c r="M52" s="98"/>
      <c r="N52" s="98"/>
    </row>
    <row r="53" spans="1:14" x14ac:dyDescent="0.3">
      <c r="A53" s="129" t="s">
        <v>114</v>
      </c>
      <c r="B53" s="130" t="s">
        <v>132</v>
      </c>
      <c r="C53" s="131">
        <v>0.34599999999999997</v>
      </c>
      <c r="D53" s="131" t="s">
        <v>130</v>
      </c>
      <c r="E53" s="131">
        <v>1.56</v>
      </c>
      <c r="F53" s="132" t="s">
        <v>274</v>
      </c>
      <c r="G53" s="133">
        <v>0.6</v>
      </c>
      <c r="H53" s="131" t="s">
        <v>283</v>
      </c>
      <c r="I53" s="134">
        <v>1.03</v>
      </c>
      <c r="J53" s="98"/>
      <c r="K53" s="98"/>
      <c r="L53" s="98"/>
      <c r="M53" s="98"/>
      <c r="N53" s="98"/>
    </row>
    <row r="54" spans="1:14" x14ac:dyDescent="0.3">
      <c r="A54" s="129" t="s">
        <v>115</v>
      </c>
      <c r="B54" s="130" t="s">
        <v>132</v>
      </c>
      <c r="C54" s="131">
        <v>0.32600000000000001</v>
      </c>
      <c r="D54" s="131" t="s">
        <v>130</v>
      </c>
      <c r="E54" s="131">
        <v>1.56</v>
      </c>
      <c r="F54" s="132" t="s">
        <v>274</v>
      </c>
      <c r="G54" s="133">
        <v>0.6</v>
      </c>
      <c r="H54" s="131" t="s">
        <v>283</v>
      </c>
      <c r="I54" s="134">
        <v>1.03</v>
      </c>
      <c r="J54" s="98"/>
      <c r="K54" s="98"/>
      <c r="L54" s="98"/>
      <c r="M54" s="98"/>
      <c r="N54" s="98"/>
    </row>
    <row r="55" spans="1:14" x14ac:dyDescent="0.3">
      <c r="A55" s="129" t="s">
        <v>116</v>
      </c>
      <c r="B55" s="130" t="s">
        <v>132</v>
      </c>
      <c r="C55" s="131">
        <v>0.30499999999999999</v>
      </c>
      <c r="D55" s="131" t="s">
        <v>130</v>
      </c>
      <c r="E55" s="131">
        <v>1.56</v>
      </c>
      <c r="F55" s="132" t="s">
        <v>274</v>
      </c>
      <c r="G55" s="133">
        <v>0.6</v>
      </c>
      <c r="H55" s="131" t="s">
        <v>283</v>
      </c>
      <c r="I55" s="134">
        <v>1.03</v>
      </c>
      <c r="J55" s="98"/>
      <c r="K55" s="98"/>
      <c r="L55" s="98"/>
      <c r="M55" s="98"/>
      <c r="N55" s="98"/>
    </row>
    <row r="56" spans="1:14" x14ac:dyDescent="0.3">
      <c r="A56" s="129" t="s">
        <v>128</v>
      </c>
      <c r="B56" s="130" t="s">
        <v>132</v>
      </c>
      <c r="C56" s="131">
        <v>0.32300000000000001</v>
      </c>
      <c r="D56" s="131" t="s">
        <v>130</v>
      </c>
      <c r="E56" s="131">
        <v>1.56</v>
      </c>
      <c r="F56" s="132" t="s">
        <v>274</v>
      </c>
      <c r="G56" s="133">
        <v>0.6</v>
      </c>
      <c r="H56" s="131" t="s">
        <v>283</v>
      </c>
      <c r="I56" s="134">
        <v>1.03</v>
      </c>
      <c r="J56" s="98"/>
      <c r="K56" s="98"/>
      <c r="L56" s="98"/>
      <c r="M56" s="98"/>
      <c r="N56" s="98"/>
    </row>
    <row r="57" spans="1:14" x14ac:dyDescent="0.3">
      <c r="A57" s="129" t="s">
        <v>129</v>
      </c>
      <c r="B57" s="130" t="s">
        <v>132</v>
      </c>
      <c r="C57" s="131">
        <v>0.36699999999999999</v>
      </c>
      <c r="D57" s="131" t="s">
        <v>130</v>
      </c>
      <c r="E57" s="131">
        <v>1.56</v>
      </c>
      <c r="F57" s="132" t="s">
        <v>274</v>
      </c>
      <c r="G57" s="133">
        <v>0.6</v>
      </c>
      <c r="H57" s="131" t="s">
        <v>283</v>
      </c>
      <c r="I57" s="134">
        <v>1.03</v>
      </c>
      <c r="J57" s="98"/>
      <c r="K57" s="98"/>
      <c r="L57" s="98"/>
      <c r="M57" s="98"/>
      <c r="N57" s="98"/>
    </row>
    <row r="58" spans="1:14" x14ac:dyDescent="0.3">
      <c r="A58" s="129" t="s">
        <v>117</v>
      </c>
      <c r="B58" s="130" t="s">
        <v>132</v>
      </c>
      <c r="C58" s="131">
        <v>0.36</v>
      </c>
      <c r="D58" s="131" t="s">
        <v>130</v>
      </c>
      <c r="E58" s="131">
        <v>1.56</v>
      </c>
      <c r="F58" s="132" t="s">
        <v>274</v>
      </c>
      <c r="G58" s="133">
        <v>0.6</v>
      </c>
      <c r="H58" s="131" t="s">
        <v>283</v>
      </c>
      <c r="I58" s="134">
        <v>1.03</v>
      </c>
      <c r="J58" s="98"/>
      <c r="K58" s="98"/>
      <c r="L58" s="98"/>
      <c r="M58" s="98"/>
      <c r="N58" s="98"/>
    </row>
    <row r="59" spans="1:14" x14ac:dyDescent="0.3">
      <c r="A59" s="129" t="s">
        <v>118</v>
      </c>
      <c r="B59" s="130" t="s">
        <v>132</v>
      </c>
      <c r="C59" s="131">
        <v>0.36799999999999999</v>
      </c>
      <c r="D59" s="131" t="s">
        <v>130</v>
      </c>
      <c r="E59" s="131">
        <v>1.56</v>
      </c>
      <c r="F59" s="132" t="s">
        <v>274</v>
      </c>
      <c r="G59" s="133">
        <v>0.6</v>
      </c>
      <c r="H59" s="131" t="s">
        <v>283</v>
      </c>
      <c r="I59" s="134">
        <v>1.03</v>
      </c>
      <c r="J59" s="98"/>
      <c r="K59" s="98"/>
      <c r="L59" s="98"/>
      <c r="M59" s="98"/>
      <c r="N59" s="98"/>
    </row>
    <row r="60" spans="1:14" x14ac:dyDescent="0.3">
      <c r="A60" s="129" t="s">
        <v>119</v>
      </c>
      <c r="B60" s="130" t="s">
        <v>132</v>
      </c>
      <c r="C60" s="131">
        <v>0.30599999999999999</v>
      </c>
      <c r="D60" s="131" t="s">
        <v>130</v>
      </c>
      <c r="E60" s="131">
        <v>1.56</v>
      </c>
      <c r="F60" s="132" t="s">
        <v>274</v>
      </c>
      <c r="G60" s="133">
        <v>0.6</v>
      </c>
      <c r="H60" s="131" t="s">
        <v>283</v>
      </c>
      <c r="I60" s="134">
        <v>1.03</v>
      </c>
      <c r="J60" s="98"/>
      <c r="K60" s="98"/>
      <c r="L60" s="98"/>
      <c r="M60" s="98"/>
      <c r="N60" s="98"/>
    </row>
    <row r="61" spans="1:14" x14ac:dyDescent="0.3">
      <c r="A61" s="129" t="s">
        <v>120</v>
      </c>
      <c r="B61" s="130" t="s">
        <v>132</v>
      </c>
      <c r="C61" s="131">
        <v>0.313</v>
      </c>
      <c r="D61" s="131" t="s">
        <v>130</v>
      </c>
      <c r="E61" s="131">
        <v>1.56</v>
      </c>
      <c r="F61" s="132" t="s">
        <v>274</v>
      </c>
      <c r="G61" s="133">
        <v>0.6</v>
      </c>
      <c r="H61" s="131" t="s">
        <v>283</v>
      </c>
      <c r="I61" s="134">
        <v>1.03</v>
      </c>
      <c r="J61" s="98"/>
      <c r="K61" s="98"/>
      <c r="L61" s="98"/>
      <c r="M61" s="98"/>
      <c r="N61" s="98"/>
    </row>
    <row r="62" spans="1:14" x14ac:dyDescent="0.3">
      <c r="A62" s="129" t="s">
        <v>32</v>
      </c>
      <c r="B62" s="130" t="s">
        <v>133</v>
      </c>
      <c r="C62" s="131">
        <v>0.37</v>
      </c>
      <c r="D62" s="131" t="s">
        <v>161</v>
      </c>
      <c r="E62" s="131">
        <v>1.56</v>
      </c>
      <c r="F62" s="132" t="s">
        <v>274</v>
      </c>
      <c r="G62" s="133">
        <v>0.6</v>
      </c>
      <c r="H62" s="131" t="s">
        <v>283</v>
      </c>
      <c r="I62" s="134">
        <v>1.03</v>
      </c>
      <c r="J62" s="98"/>
      <c r="K62" s="98"/>
      <c r="L62" s="98"/>
      <c r="M62" s="98"/>
      <c r="N62" s="98"/>
    </row>
    <row r="63" spans="1:14" x14ac:dyDescent="0.3">
      <c r="A63" s="129" t="s">
        <v>90</v>
      </c>
      <c r="B63" s="130" t="s">
        <v>83</v>
      </c>
      <c r="C63" s="131">
        <v>0.45</v>
      </c>
      <c r="D63" s="131" t="s">
        <v>161</v>
      </c>
      <c r="E63" s="131">
        <v>1.3</v>
      </c>
      <c r="F63" s="132" t="s">
        <v>274</v>
      </c>
      <c r="G63" s="133">
        <v>0.45</v>
      </c>
      <c r="H63" s="131" t="s">
        <v>276</v>
      </c>
      <c r="I63" s="134">
        <v>0.43</v>
      </c>
      <c r="J63" s="98"/>
      <c r="K63" s="98"/>
      <c r="L63" s="98"/>
      <c r="M63" s="98"/>
      <c r="N63" s="98"/>
    </row>
    <row r="64" spans="1:14" x14ac:dyDescent="0.3">
      <c r="A64" s="129" t="s">
        <v>33</v>
      </c>
      <c r="B64" s="130" t="s">
        <v>134</v>
      </c>
      <c r="C64" s="131">
        <v>0.39</v>
      </c>
      <c r="D64" s="131" t="s">
        <v>161</v>
      </c>
      <c r="E64" s="131">
        <v>1.3</v>
      </c>
      <c r="F64" s="132" t="s">
        <v>274</v>
      </c>
      <c r="G64" s="133">
        <v>0.45</v>
      </c>
      <c r="H64" s="131" t="s">
        <v>276</v>
      </c>
      <c r="I64" s="134">
        <v>0.43</v>
      </c>
      <c r="J64" s="98"/>
      <c r="K64" s="98"/>
      <c r="L64" s="98"/>
      <c r="M64" s="98"/>
      <c r="N64" s="98"/>
    </row>
    <row r="65" spans="1:14" x14ac:dyDescent="0.3">
      <c r="A65" s="129" t="s">
        <v>34</v>
      </c>
      <c r="B65" s="130" t="s">
        <v>135</v>
      </c>
      <c r="C65" s="131">
        <v>0.44</v>
      </c>
      <c r="D65" s="131" t="s">
        <v>161</v>
      </c>
      <c r="E65" s="131">
        <v>1.3</v>
      </c>
      <c r="F65" s="132" t="s">
        <v>274</v>
      </c>
      <c r="G65" s="133">
        <v>0.45</v>
      </c>
      <c r="H65" s="131" t="s">
        <v>276</v>
      </c>
      <c r="I65" s="134">
        <v>0.43</v>
      </c>
      <c r="J65" s="98"/>
      <c r="K65" s="98"/>
      <c r="L65" s="98"/>
      <c r="M65" s="98"/>
      <c r="N65" s="98"/>
    </row>
    <row r="66" spans="1:14" x14ac:dyDescent="0.3">
      <c r="A66" s="129" t="s">
        <v>35</v>
      </c>
      <c r="B66" s="130" t="s">
        <v>84</v>
      </c>
      <c r="C66" s="131">
        <v>0.46</v>
      </c>
      <c r="D66" s="131" t="s">
        <v>161</v>
      </c>
      <c r="E66" s="131">
        <v>1.3</v>
      </c>
      <c r="F66" s="132" t="s">
        <v>274</v>
      </c>
      <c r="G66" s="133">
        <v>0.45</v>
      </c>
      <c r="H66" s="131" t="s">
        <v>276</v>
      </c>
      <c r="I66" s="134">
        <v>0.43</v>
      </c>
      <c r="J66" s="98"/>
      <c r="K66" s="98"/>
      <c r="L66" s="98"/>
      <c r="M66" s="98"/>
      <c r="N66" s="98"/>
    </row>
    <row r="67" spans="1:14" x14ac:dyDescent="0.3">
      <c r="A67" s="129" t="s">
        <v>36</v>
      </c>
      <c r="B67" s="130" t="s">
        <v>85</v>
      </c>
      <c r="C67" s="131">
        <v>0.46</v>
      </c>
      <c r="D67" s="131" t="s">
        <v>161</v>
      </c>
      <c r="E67" s="131">
        <v>1.3</v>
      </c>
      <c r="F67" s="132" t="s">
        <v>274</v>
      </c>
      <c r="G67" s="133">
        <v>0.45</v>
      </c>
      <c r="H67" s="131" t="s">
        <v>152</v>
      </c>
      <c r="I67" s="134">
        <v>0.59</v>
      </c>
      <c r="J67" s="98"/>
      <c r="K67" s="98"/>
      <c r="L67" s="98"/>
      <c r="M67" s="98"/>
      <c r="N67" s="98"/>
    </row>
    <row r="68" spans="1:14" x14ac:dyDescent="0.3">
      <c r="A68" s="129" t="s">
        <v>37</v>
      </c>
      <c r="B68" s="130" t="s">
        <v>136</v>
      </c>
      <c r="C68" s="131">
        <v>0.44</v>
      </c>
      <c r="D68" s="131" t="s">
        <v>161</v>
      </c>
      <c r="E68" s="131">
        <v>1.3</v>
      </c>
      <c r="F68" s="132" t="s">
        <v>274</v>
      </c>
      <c r="G68" s="133">
        <v>0.45</v>
      </c>
      <c r="H68" s="131" t="s">
        <v>276</v>
      </c>
      <c r="I68" s="134">
        <v>0.43</v>
      </c>
      <c r="J68" s="98"/>
      <c r="K68" s="98"/>
      <c r="L68" s="98"/>
      <c r="M68" s="98"/>
      <c r="N68" s="98"/>
    </row>
    <row r="69" spans="1:14" x14ac:dyDescent="0.3">
      <c r="A69" s="129" t="s">
        <v>38</v>
      </c>
      <c r="B69" s="130" t="s">
        <v>86</v>
      </c>
      <c r="C69" s="131">
        <v>0.46</v>
      </c>
      <c r="D69" s="131" t="s">
        <v>161</v>
      </c>
      <c r="E69" s="131">
        <v>1.3</v>
      </c>
      <c r="F69" s="132" t="s">
        <v>274</v>
      </c>
      <c r="G69" s="133">
        <v>0.45</v>
      </c>
      <c r="H69" s="131" t="s">
        <v>276</v>
      </c>
      <c r="I69" s="134">
        <v>0.43</v>
      </c>
      <c r="J69" s="98"/>
      <c r="K69" s="98"/>
      <c r="L69" s="98"/>
      <c r="M69" s="98"/>
      <c r="N69" s="98"/>
    </row>
    <row r="70" spans="1:14" x14ac:dyDescent="0.3">
      <c r="A70" s="129" t="s">
        <v>39</v>
      </c>
      <c r="B70" s="130" t="s">
        <v>137</v>
      </c>
      <c r="C70" s="131">
        <v>0.48</v>
      </c>
      <c r="D70" s="131" t="s">
        <v>161</v>
      </c>
      <c r="E70" s="131">
        <v>2.4</v>
      </c>
      <c r="F70" s="131" t="s">
        <v>284</v>
      </c>
      <c r="G70" s="133">
        <v>0.45</v>
      </c>
      <c r="H70" s="131" t="s">
        <v>276</v>
      </c>
      <c r="I70" s="134">
        <v>0.43</v>
      </c>
      <c r="J70" s="98"/>
      <c r="K70" s="98"/>
      <c r="L70" s="98"/>
      <c r="M70" s="98"/>
      <c r="N70" s="98"/>
    </row>
    <row r="71" spans="1:14" x14ac:dyDescent="0.3">
      <c r="A71" s="129" t="s">
        <v>40</v>
      </c>
      <c r="B71" s="130" t="s">
        <v>87</v>
      </c>
      <c r="C71" s="131">
        <v>0.46</v>
      </c>
      <c r="D71" s="131" t="s">
        <v>150</v>
      </c>
      <c r="E71" s="131">
        <v>1.3</v>
      </c>
      <c r="F71" s="132" t="s">
        <v>274</v>
      </c>
      <c r="G71" s="133">
        <v>0.45</v>
      </c>
      <c r="H71" s="131" t="s">
        <v>276</v>
      </c>
      <c r="I71" s="134">
        <v>0.43</v>
      </c>
      <c r="J71" s="98"/>
      <c r="K71" s="98"/>
      <c r="L71" s="98"/>
      <c r="M71" s="98"/>
      <c r="N71" s="98"/>
    </row>
    <row r="72" spans="1:14" x14ac:dyDescent="0.3">
      <c r="A72" s="129" t="s">
        <v>41</v>
      </c>
      <c r="B72" s="130" t="s">
        <v>88</v>
      </c>
      <c r="C72" s="131">
        <v>0.44</v>
      </c>
      <c r="D72" s="131" t="s">
        <v>161</v>
      </c>
      <c r="E72" s="131">
        <v>1.3</v>
      </c>
      <c r="F72" s="132" t="s">
        <v>274</v>
      </c>
      <c r="G72" s="133">
        <v>0.45</v>
      </c>
      <c r="H72" s="131" t="s">
        <v>276</v>
      </c>
      <c r="I72" s="134">
        <v>0.43</v>
      </c>
      <c r="J72" s="98"/>
      <c r="K72" s="98"/>
      <c r="L72" s="98"/>
      <c r="M72" s="98"/>
      <c r="N72" s="98"/>
    </row>
    <row r="73" spans="1:14" x14ac:dyDescent="0.3">
      <c r="A73" s="129" t="s">
        <v>138</v>
      </c>
      <c r="B73" s="130" t="s">
        <v>140</v>
      </c>
      <c r="C73" s="131">
        <v>0.46</v>
      </c>
      <c r="D73" s="131" t="s">
        <v>151</v>
      </c>
      <c r="E73" s="131">
        <v>1.3</v>
      </c>
      <c r="F73" s="132" t="s">
        <v>274</v>
      </c>
      <c r="G73" s="133">
        <v>0.45</v>
      </c>
      <c r="H73" s="131" t="s">
        <v>276</v>
      </c>
      <c r="I73" s="134">
        <v>0.43</v>
      </c>
      <c r="J73" s="98"/>
      <c r="K73" s="98"/>
      <c r="L73" s="98"/>
      <c r="M73" s="98"/>
      <c r="N73" s="98"/>
    </row>
    <row r="74" spans="1:14" x14ac:dyDescent="0.3">
      <c r="A74" s="129" t="s">
        <v>42</v>
      </c>
      <c r="B74" s="130" t="s">
        <v>139</v>
      </c>
      <c r="C74" s="131">
        <v>0.34</v>
      </c>
      <c r="D74" s="131" t="s">
        <v>161</v>
      </c>
      <c r="E74" s="131">
        <v>1.3</v>
      </c>
      <c r="F74" s="132" t="s">
        <v>274</v>
      </c>
      <c r="G74" s="133">
        <v>0.45</v>
      </c>
      <c r="H74" s="131" t="s">
        <v>276</v>
      </c>
      <c r="I74" s="134">
        <v>0.43</v>
      </c>
      <c r="J74" s="98"/>
      <c r="K74" s="98"/>
      <c r="L74" s="98"/>
      <c r="M74" s="98"/>
      <c r="N74" s="98"/>
    </row>
    <row r="75" spans="1:14" x14ac:dyDescent="0.3">
      <c r="A75" s="129" t="s">
        <v>43</v>
      </c>
      <c r="B75" s="130" t="s">
        <v>162</v>
      </c>
      <c r="C75" s="131">
        <v>0.5</v>
      </c>
      <c r="D75" s="131" t="s">
        <v>161</v>
      </c>
      <c r="E75" s="131">
        <v>1.56</v>
      </c>
      <c r="F75" s="132" t="s">
        <v>274</v>
      </c>
      <c r="G75" s="133">
        <v>0.53</v>
      </c>
      <c r="H75" s="131" t="s">
        <v>275</v>
      </c>
      <c r="I75" s="134">
        <v>0.25</v>
      </c>
      <c r="J75" s="98"/>
      <c r="K75" s="98"/>
      <c r="L75" s="98"/>
      <c r="M75" s="98"/>
      <c r="N75" s="98"/>
    </row>
    <row r="76" spans="1:14" x14ac:dyDescent="0.3">
      <c r="A76" s="129" t="s">
        <v>44</v>
      </c>
      <c r="B76" s="130" t="s">
        <v>89</v>
      </c>
      <c r="C76" s="131">
        <v>0.57999999999999996</v>
      </c>
      <c r="D76" s="131" t="s">
        <v>161</v>
      </c>
      <c r="E76" s="131">
        <v>1.56</v>
      </c>
      <c r="F76" s="132" t="s">
        <v>274</v>
      </c>
      <c r="G76" s="133">
        <v>0.3</v>
      </c>
      <c r="H76" s="131" t="s">
        <v>277</v>
      </c>
      <c r="I76" s="134">
        <v>0.25</v>
      </c>
      <c r="J76" s="98"/>
      <c r="K76" s="98"/>
      <c r="L76" s="98"/>
      <c r="M76" s="98"/>
      <c r="N76" s="98"/>
    </row>
    <row r="77" spans="1:14" x14ac:dyDescent="0.3">
      <c r="A77" s="129" t="s">
        <v>47</v>
      </c>
      <c r="B77" s="130" t="s">
        <v>141</v>
      </c>
      <c r="C77" s="131">
        <v>0.37</v>
      </c>
      <c r="D77" s="131" t="s">
        <v>161</v>
      </c>
      <c r="E77" s="131">
        <v>1.3</v>
      </c>
      <c r="F77" s="132" t="s">
        <v>274</v>
      </c>
      <c r="G77" s="133">
        <v>0.55000000000000004</v>
      </c>
      <c r="H77" s="131" t="s">
        <v>152</v>
      </c>
      <c r="I77" s="134">
        <v>0.43</v>
      </c>
      <c r="J77" s="98"/>
      <c r="K77" s="98"/>
      <c r="L77" s="98"/>
      <c r="M77" s="98"/>
      <c r="N77" s="98"/>
    </row>
    <row r="78" spans="1:14" x14ac:dyDescent="0.3">
      <c r="A78" s="129" t="s">
        <v>45</v>
      </c>
      <c r="B78" s="130" t="s">
        <v>96</v>
      </c>
      <c r="C78" s="131">
        <v>0.37</v>
      </c>
      <c r="D78" s="131" t="s">
        <v>161</v>
      </c>
      <c r="E78" s="131">
        <v>1.3</v>
      </c>
      <c r="F78" s="132" t="s">
        <v>274</v>
      </c>
      <c r="G78" s="133">
        <v>0.55000000000000004</v>
      </c>
      <c r="H78" s="131" t="s">
        <v>152</v>
      </c>
      <c r="I78" s="134">
        <v>0.43</v>
      </c>
      <c r="J78" s="98"/>
      <c r="K78" s="98"/>
      <c r="L78" s="98"/>
      <c r="M78" s="98"/>
      <c r="N78" s="98"/>
    </row>
    <row r="79" spans="1:14" x14ac:dyDescent="0.3">
      <c r="A79" s="129" t="s">
        <v>46</v>
      </c>
      <c r="B79" s="130" t="s">
        <v>95</v>
      </c>
      <c r="C79" s="131">
        <v>0.38</v>
      </c>
      <c r="D79" s="131" t="s">
        <v>161</v>
      </c>
      <c r="E79" s="131">
        <v>1.3</v>
      </c>
      <c r="F79" s="132" t="s">
        <v>274</v>
      </c>
      <c r="G79" s="133">
        <v>0.55000000000000004</v>
      </c>
      <c r="H79" s="131" t="s">
        <v>153</v>
      </c>
      <c r="I79" s="134">
        <v>0.43</v>
      </c>
      <c r="J79" s="98"/>
      <c r="K79" s="98"/>
      <c r="L79" s="98"/>
      <c r="M79" s="98"/>
      <c r="N79" s="98"/>
    </row>
    <row r="80" spans="1:14" x14ac:dyDescent="0.3">
      <c r="A80" s="129" t="s">
        <v>48</v>
      </c>
      <c r="B80" s="130" t="s">
        <v>94</v>
      </c>
      <c r="C80" s="131">
        <v>0.36</v>
      </c>
      <c r="D80" s="131" t="s">
        <v>161</v>
      </c>
      <c r="E80" s="131">
        <v>1.3</v>
      </c>
      <c r="F80" s="132" t="s">
        <v>274</v>
      </c>
      <c r="G80" s="133">
        <v>0.55000000000000004</v>
      </c>
      <c r="H80" s="131" t="s">
        <v>153</v>
      </c>
      <c r="I80" s="134">
        <v>0.43</v>
      </c>
      <c r="J80" s="98"/>
      <c r="K80" s="98"/>
      <c r="L80" s="98"/>
      <c r="M80" s="98"/>
      <c r="N80" s="98"/>
    </row>
    <row r="81" spans="1:14" x14ac:dyDescent="0.3">
      <c r="A81" s="129" t="s">
        <v>49</v>
      </c>
      <c r="B81" s="130" t="s">
        <v>142</v>
      </c>
      <c r="C81" s="131">
        <v>0.37</v>
      </c>
      <c r="D81" s="131" t="s">
        <v>161</v>
      </c>
      <c r="E81" s="131">
        <v>1.56</v>
      </c>
      <c r="F81" s="132" t="s">
        <v>274</v>
      </c>
      <c r="G81" s="133">
        <v>0.43</v>
      </c>
      <c r="H81" s="131" t="s">
        <v>278</v>
      </c>
      <c r="I81" s="134">
        <v>0.25</v>
      </c>
      <c r="J81" s="98"/>
      <c r="K81" s="98"/>
      <c r="L81" s="98"/>
      <c r="M81" s="98"/>
      <c r="N81" s="98"/>
    </row>
    <row r="82" spans="1:14" x14ac:dyDescent="0.3">
      <c r="A82" s="129" t="s">
        <v>158</v>
      </c>
      <c r="B82" s="130" t="s">
        <v>159</v>
      </c>
      <c r="C82" s="131">
        <v>0.35</v>
      </c>
      <c r="D82" s="131" t="s">
        <v>160</v>
      </c>
      <c r="E82" s="131">
        <v>1.3</v>
      </c>
      <c r="F82" s="132" t="s">
        <v>274</v>
      </c>
      <c r="G82" s="133">
        <v>0.55000000000000004</v>
      </c>
      <c r="H82" s="131" t="s">
        <v>153</v>
      </c>
      <c r="I82" s="134">
        <v>0.43</v>
      </c>
      <c r="J82" s="98"/>
      <c r="K82" s="98"/>
      <c r="L82" s="98"/>
      <c r="M82" s="98"/>
      <c r="N82" s="98"/>
    </row>
    <row r="83" spans="1:14" x14ac:dyDescent="0.3">
      <c r="A83" s="129" t="s">
        <v>156</v>
      </c>
      <c r="B83" s="130" t="s">
        <v>157</v>
      </c>
      <c r="C83" s="131">
        <v>0.34</v>
      </c>
      <c r="D83" s="131" t="s">
        <v>161</v>
      </c>
      <c r="E83" s="131">
        <v>1.3</v>
      </c>
      <c r="F83" s="132" t="s">
        <v>274</v>
      </c>
      <c r="G83" s="133">
        <v>0.55000000000000004</v>
      </c>
      <c r="H83" s="131" t="s">
        <v>153</v>
      </c>
      <c r="I83" s="134">
        <v>0.43</v>
      </c>
      <c r="J83" s="98"/>
      <c r="K83" s="98"/>
      <c r="L83" s="98"/>
      <c r="M83" s="98"/>
      <c r="N83" s="98"/>
    </row>
    <row r="84" spans="1:14" x14ac:dyDescent="0.3">
      <c r="A84" s="129" t="s">
        <v>92</v>
      </c>
      <c r="B84" s="130" t="s">
        <v>93</v>
      </c>
      <c r="C84" s="131">
        <v>0.31</v>
      </c>
      <c r="D84" s="131" t="s">
        <v>161</v>
      </c>
      <c r="E84" s="131">
        <v>1.3</v>
      </c>
      <c r="F84" s="132" t="s">
        <v>274</v>
      </c>
      <c r="G84" s="133">
        <v>0.55000000000000004</v>
      </c>
      <c r="H84" s="131" t="s">
        <v>153</v>
      </c>
      <c r="I84" s="134">
        <v>0.43</v>
      </c>
      <c r="J84" s="98"/>
      <c r="K84" s="98"/>
      <c r="L84" s="98"/>
      <c r="M84" s="98"/>
      <c r="N84" s="98"/>
    </row>
    <row r="85" spans="1:14" x14ac:dyDescent="0.3">
      <c r="A85" s="129" t="s">
        <v>50</v>
      </c>
      <c r="B85" s="130" t="s">
        <v>143</v>
      </c>
      <c r="C85" s="131">
        <v>0.43</v>
      </c>
      <c r="D85" s="131" t="s">
        <v>161</v>
      </c>
      <c r="E85" s="131">
        <v>1.56</v>
      </c>
      <c r="F85" s="132" t="s">
        <v>274</v>
      </c>
      <c r="G85" s="133">
        <v>0.53</v>
      </c>
      <c r="H85" s="131" t="s">
        <v>275</v>
      </c>
      <c r="I85" s="134">
        <v>0.25</v>
      </c>
      <c r="J85" s="98"/>
      <c r="K85" s="98"/>
      <c r="L85" s="98"/>
      <c r="M85" s="98"/>
      <c r="N85" s="98"/>
    </row>
    <row r="86" spans="1:14" x14ac:dyDescent="0.3">
      <c r="A86" s="129" t="s">
        <v>51</v>
      </c>
      <c r="B86" s="130" t="s">
        <v>91</v>
      </c>
      <c r="C86" s="131">
        <v>0.38</v>
      </c>
      <c r="D86" s="131" t="s">
        <v>161</v>
      </c>
      <c r="E86" s="131">
        <v>1.56</v>
      </c>
      <c r="F86" s="132" t="s">
        <v>274</v>
      </c>
      <c r="G86" s="133">
        <v>0.6</v>
      </c>
      <c r="H86" s="131" t="s">
        <v>279</v>
      </c>
      <c r="I86" s="134">
        <v>0.25</v>
      </c>
      <c r="J86" s="98"/>
      <c r="K86" s="98"/>
      <c r="L86" s="98"/>
      <c r="M86" s="98"/>
      <c r="N86" s="98"/>
    </row>
    <row r="87" spans="1:14" x14ac:dyDescent="0.3">
      <c r="A87" s="283" t="s">
        <v>321</v>
      </c>
      <c r="B87" s="284" t="s">
        <v>322</v>
      </c>
      <c r="C87" s="285">
        <v>0.41</v>
      </c>
      <c r="D87" s="285" t="s">
        <v>323</v>
      </c>
      <c r="E87" s="285">
        <v>1.56</v>
      </c>
      <c r="F87" s="286" t="s">
        <v>274</v>
      </c>
      <c r="G87" s="287">
        <v>0.43</v>
      </c>
      <c r="H87" s="285" t="s">
        <v>278</v>
      </c>
      <c r="I87" s="288">
        <v>0.25</v>
      </c>
      <c r="J87" s="98"/>
      <c r="K87" s="98"/>
      <c r="L87" s="98"/>
      <c r="M87" s="98"/>
      <c r="N87" s="98"/>
    </row>
    <row r="88" spans="1:14" x14ac:dyDescent="0.3">
      <c r="A88" s="129" t="s">
        <v>148</v>
      </c>
      <c r="B88" s="137"/>
      <c r="C88" s="131">
        <v>0.42</v>
      </c>
      <c r="D88" s="131" t="s">
        <v>161</v>
      </c>
      <c r="E88" s="131">
        <v>1.3</v>
      </c>
      <c r="F88" s="132" t="s">
        <v>274</v>
      </c>
      <c r="G88" s="138"/>
      <c r="H88" s="137"/>
      <c r="I88" s="139"/>
    </row>
    <row r="89" spans="1:14" ht="15" thickBot="1" x14ac:dyDescent="0.35">
      <c r="A89" s="140" t="s">
        <v>149</v>
      </c>
      <c r="B89" s="141"/>
      <c r="C89" s="142">
        <v>0.56999999999999995</v>
      </c>
      <c r="D89" s="143" t="s">
        <v>161</v>
      </c>
      <c r="E89" s="142">
        <v>1.56</v>
      </c>
      <c r="F89" s="142" t="s">
        <v>274</v>
      </c>
      <c r="G89" s="141"/>
      <c r="H89" s="141"/>
      <c r="I89" s="144"/>
    </row>
    <row r="93" spans="1:14" x14ac:dyDescent="0.3">
      <c r="A93" s="129" t="s">
        <v>208</v>
      </c>
    </row>
    <row r="94" spans="1:14" x14ac:dyDescent="0.3">
      <c r="A94" s="129" t="s">
        <v>209</v>
      </c>
    </row>
    <row r="95" spans="1:14" x14ac:dyDescent="0.3">
      <c r="A95" s="129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J19" sqref="J19:J20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3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69"/>
      <c r="J1" s="69"/>
      <c r="K1" s="69"/>
      <c r="L1" s="69"/>
      <c r="M1" s="69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5" t="s">
        <v>271</v>
      </c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7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28"/>
      <c r="J3" s="228"/>
      <c r="K3" s="228"/>
      <c r="L3" s="228"/>
      <c r="M3" s="228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28"/>
      <c r="J4" s="228"/>
      <c r="K4" s="228"/>
      <c r="L4" s="228"/>
      <c r="M4" s="228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5" t="s">
        <v>207</v>
      </c>
      <c r="B5" s="146" t="s">
        <v>250</v>
      </c>
      <c r="C5" s="147" t="str">
        <f>Calculateur!S2</f>
        <v>ΔStock moyen de long terme (tCO₂/ha)</v>
      </c>
      <c r="D5" s="147" t="str">
        <f>Calculateur!T2</f>
        <v>Δstock CO₂ 30 ans (tCO₂/ha)</v>
      </c>
      <c r="E5" s="147" t="s">
        <v>228</v>
      </c>
      <c r="F5" s="147" t="s">
        <v>239</v>
      </c>
      <c r="G5" s="147" t="s">
        <v>240</v>
      </c>
      <c r="H5" s="148" t="s">
        <v>241</v>
      </c>
      <c r="I5" s="149" t="s">
        <v>242</v>
      </c>
      <c r="J5" s="150" t="s">
        <v>243</v>
      </c>
      <c r="K5" s="151" t="s">
        <v>244</v>
      </c>
      <c r="L5" s="88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2" t="str">
        <f>IF('Données projet'!$B$9="","",'Données projet'!$B$9)</f>
        <v>Peuplier Koster</v>
      </c>
      <c r="B6" s="153">
        <f>'Données projet'!D9</f>
        <v>2.97</v>
      </c>
      <c r="C6" s="154">
        <f ca="1">IF(OR('Données projet'!B9="",'Données projet'!C9="",'Données projet'!C9=0%),0,Calculateur!S3)</f>
        <v>64.775385872852041</v>
      </c>
      <c r="D6" s="154">
        <f>IF(OR('Données projet'!B9="",'Données projet'!C9="",'Données projet'!C9=0%),0,Calculateur!T3)</f>
        <v>201.69061202990468</v>
      </c>
      <c r="E6" s="154">
        <f ca="1">MIN(C6,D6)</f>
        <v>64.775385872852041</v>
      </c>
      <c r="F6" s="154">
        <f ca="1">E6*B6</f>
        <v>192.38289604237059</v>
      </c>
      <c r="G6" s="154">
        <f ca="1">F6*(100%-'Données projet'!$C$24)*(100%-'Données projet'!$C$25)*(100%-'Données projet'!$C$26)*(100%-'Données projet'!$C$27)</f>
        <v>173.14460643813354</v>
      </c>
      <c r="H6" s="155">
        <f>IF(OR('Données projet'!B9="",'Données projet'!C9="",'Données projet'!C9=0%),0,AVERAGE(Calculateur!$AC$3:$AC$33)*B6)</f>
        <v>55.758371166157687</v>
      </c>
      <c r="I6" s="156">
        <f>H6*(100%-'Données projet'!$C$24)*(100%-'Données projet'!$C$25)*(100%-'Données projet'!$C$26)*(100%-'Données projet'!$C$27)</f>
        <v>50.182534049541921</v>
      </c>
      <c r="J6" s="157">
        <f>IF(OR('Données projet'!B9="",'Données projet'!C9="",'Données projet'!C9=0%),0,SUM(Calculateur!$V$3:$V$33)*VLOOKUP('Données projet'!$B$9,Paramètres!$A$1:$I$89,9,0)*B6)</f>
        <v>493.00455600000004</v>
      </c>
      <c r="K6" s="158">
        <f>J6*(100%-'Données projet'!$C$24)*(100%-'Données projet'!$C$25)*(100%-'Données projet'!$C$26)*(100%-'Données projet'!$C$27)</f>
        <v>443.70410040000002</v>
      </c>
      <c r="L6" s="159">
        <f ca="1">G6+I6+K6</f>
        <v>667.03124088767549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0" t="str">
        <f>IF('Données projet'!$B$10="","",'Données projet'!$B$10)</f>
        <v>Chêne pubescent</v>
      </c>
      <c r="B7" s="161">
        <f>'Données projet'!D10</f>
        <v>2.5300000000000002</v>
      </c>
      <c r="C7" s="154">
        <f ca="1">IF(OR('Données projet'!B10="",'Données projet'!C10="",'Données projet'!C10=0%),0,Calculateur!AN3)</f>
        <v>475.47920969424894</v>
      </c>
      <c r="D7" s="154">
        <f>IF(OR('Données projet'!B10="",'Données projet'!C10="",'Données projet'!C10=0%),0,Calculateur!AO3)</f>
        <v>271.73544012419364</v>
      </c>
      <c r="E7" s="154">
        <f t="shared" ref="E7:E15" ca="1" si="0">MIN(C7,D7)</f>
        <v>271.73544012419364</v>
      </c>
      <c r="F7" s="154">
        <f t="shared" ref="F7:F15" ca="1" si="1">E7*B7</f>
        <v>687.49066351421004</v>
      </c>
      <c r="G7" s="154">
        <f ca="1">F7*(100%-'Données projet'!$C$24)*(100%-'Données projet'!$C$25)*(100%-'Données projet'!$C$26)*(100%-'Données projet'!$C$27)</f>
        <v>618.74159716278905</v>
      </c>
      <c r="H7" s="162">
        <f>IF(OR('Données projet'!B10="",'Données projet'!C10="",'Données projet'!C10=0%),0,AVERAGE(Calculateur!$AX$3:$AX$33)*B7)</f>
        <v>0</v>
      </c>
      <c r="I7" s="156">
        <f>H7*(100%-'Données projet'!$C$24)*(100%-'Données projet'!$C$25)*(100%-'Données projet'!$C$26)*(100%-'Données projet'!$C$27)</f>
        <v>0</v>
      </c>
      <c r="J7" s="157">
        <f>IF(OR('Données projet'!B10="",'Données projet'!C10="",'Données projet'!C10=0%),0,SUM(Calculateur!$AQ$3:$AQ$33)*VLOOKUP('Données projet'!$B$10,Paramètres!$A$1:$I$89,9,0)*B7)</f>
        <v>18.342500000000001</v>
      </c>
      <c r="K7" s="158">
        <f>J7*(100%-'Données projet'!$C$24)*(100%-'Données projet'!$C$25)*(100%-'Données projet'!$C$26)*(100%-'Données projet'!$C$27)</f>
        <v>16.50825</v>
      </c>
      <c r="L7" s="159">
        <f t="shared" ref="L7:L15" ca="1" si="2">G7+I7+K7</f>
        <v>635.24984716278902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0" t="str">
        <f>IF('Données projet'!$B$11="","",'Données projet'!$B$11)</f>
        <v>Pin maritime</v>
      </c>
      <c r="B8" s="161">
        <f>'Données projet'!D11</f>
        <v>1.87</v>
      </c>
      <c r="C8" s="154">
        <f ca="1">IF(OR('Données projet'!B11="",'Données projet'!C11="",'Données projet'!C11=0%),0,Calculateur!BI3)</f>
        <v>260.02504691866199</v>
      </c>
      <c r="D8" s="154">
        <f>IF(OR('Données projet'!B11="",'Données projet'!C11="",'Données projet'!C11=0%),0,Calculateur!BJ3)</f>
        <v>270.11268336406368</v>
      </c>
      <c r="E8" s="154">
        <f t="shared" ca="1" si="0"/>
        <v>260.02504691866199</v>
      </c>
      <c r="F8" s="154">
        <f t="shared" ca="1" si="1"/>
        <v>486.24683773789792</v>
      </c>
      <c r="G8" s="154">
        <f ca="1">F8*(100%-'Données projet'!$C$24)*(100%-'Données projet'!$C$25)*(100%-'Données projet'!$C$26)*(100%-'Données projet'!$C$27)</f>
        <v>437.62215396410812</v>
      </c>
      <c r="H8" s="162">
        <f>IF(OR('Données projet'!B11="",'Données projet'!C11="",'Données projet'!C11=0%),0,AVERAGE(Calculateur!$BS$3:$BS$33)*B8)</f>
        <v>18.265648074278943</v>
      </c>
      <c r="I8" s="156">
        <f>H8*(100%-'Données projet'!$C$24)*(100%-'Données projet'!$C$25)*(100%-'Données projet'!$C$26)*(100%-'Données projet'!$C$27)</f>
        <v>16.43908326685105</v>
      </c>
      <c r="J8" s="157">
        <f>IF(OR('Données projet'!B11="",'Données projet'!C11="",'Données projet'!C11=0%),0,SUM(Calculateur!$BL$3:$BL$33)*VLOOKUP('Données projet'!$B$11,Paramètres!$A$1:$I$89,9,0)*B8)</f>
        <v>158.70546153846155</v>
      </c>
      <c r="K8" s="158">
        <f>J8*(100%-'Données projet'!$C$24)*(100%-'Données projet'!$C$25)*(100%-'Données projet'!$C$26)*(100%-'Données projet'!$C$27)</f>
        <v>142.83491538461539</v>
      </c>
      <c r="L8" s="159">
        <f t="shared" ca="1" si="2"/>
        <v>596.89615261557458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0" t="str">
        <f>IF('Données projet'!$B$12="","",'Données projet'!$B$12)</f>
        <v>Cèdre de l'Atlas</v>
      </c>
      <c r="B9" s="161">
        <f>'Données projet'!D12</f>
        <v>0.99</v>
      </c>
      <c r="C9" s="154">
        <f ca="1">IF(OR('Données projet'!B12="",'Données projet'!C12="",'Données projet'!C12=0%),0,Calculateur!CD3)</f>
        <v>246.72166704460847</v>
      </c>
      <c r="D9" s="154">
        <f>IF(OR('Données projet'!B12="",'Données projet'!C12="",'Données projet'!C12=0%),0,Calculateur!CE3)</f>
        <v>145.54897745089966</v>
      </c>
      <c r="E9" s="154">
        <f t="shared" ca="1" si="0"/>
        <v>145.54897745089966</v>
      </c>
      <c r="F9" s="154">
        <f t="shared" ca="1" si="1"/>
        <v>144.09348767639065</v>
      </c>
      <c r="G9" s="154">
        <f ca="1">F9*(100%-'Données projet'!$C$24)*(100%-'Données projet'!$C$25)*(100%-'Données projet'!$C$26)*(100%-'Données projet'!$C$27)</f>
        <v>129.68413890875158</v>
      </c>
      <c r="H9" s="162">
        <f>IF(OR('Données projet'!B12="",'Données projet'!C12="",'Données projet'!C12=0%),0,AVERAGE(Calculateur!$CN$3:$CN$33)*B9)</f>
        <v>0</v>
      </c>
      <c r="I9" s="156">
        <f>H9*(100%-'Données projet'!$C$24)*(100%-'Données projet'!$C$25)*(100%-'Données projet'!$C$26)*(100%-'Données projet'!$C$27)</f>
        <v>0</v>
      </c>
      <c r="J9" s="157">
        <f>IF(OR('Données projet'!B12="",'Données projet'!C12="",'Données projet'!C12=0%),0,SUM(Calculateur!$CG$3:$CG$33)*VLOOKUP('Données projet'!$B$12,Paramètres!$A$1:$I$89,9,0)*B9)</f>
        <v>0</v>
      </c>
      <c r="K9" s="158">
        <f>J9*(100%-'Données projet'!$C$24)*(100%-'Données projet'!$C$25)*(100%-'Données projet'!$C$26)*(100%-'Données projet'!$C$27)</f>
        <v>0</v>
      </c>
      <c r="L9" s="159">
        <f t="shared" ca="1" si="2"/>
        <v>129.68413890875158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0" t="str">
        <f>IF('Données projet'!$B$13="","",'Données projet'!$B$13)</f>
        <v>Chêne sessile</v>
      </c>
      <c r="B10" s="161">
        <f>'Données projet'!D13</f>
        <v>0.99</v>
      </c>
      <c r="C10" s="154">
        <f ca="1">IF(OR('Données projet'!B13="",'Données projet'!C13="",'Données projet'!C13=0%),0,Calculateur!CY3)</f>
        <v>428.8489304403459</v>
      </c>
      <c r="D10" s="154">
        <f>IF(OR('Données projet'!B13="",'Données projet'!C13="",'Données projet'!C13=0%),0,Calculateur!CZ3)</f>
        <v>247.01165577562966</v>
      </c>
      <c r="E10" s="154">
        <f t="shared" ca="1" si="0"/>
        <v>247.01165577562966</v>
      </c>
      <c r="F10" s="154">
        <f t="shared" ca="1" si="1"/>
        <v>244.54153921787338</v>
      </c>
      <c r="G10" s="154">
        <f ca="1">F10*(100%-'Données projet'!$C$24)*(100%-'Données projet'!$C$25)*(100%-'Données projet'!$C$26)*(100%-'Données projet'!$C$27)</f>
        <v>220.08738529608604</v>
      </c>
      <c r="H10" s="162">
        <f>IF(OR('Données projet'!B13="",'Données projet'!C13="",'Données projet'!C13=0%),0,AVERAGE(Calculateur!$DI$3:$DI$33)*B10)</f>
        <v>0</v>
      </c>
      <c r="I10" s="156">
        <f>H10*(100%-'Données projet'!$C$24)*(100%-'Données projet'!$C$25)*(100%-'Données projet'!$C$26)*(100%-'Données projet'!$C$27)</f>
        <v>0</v>
      </c>
      <c r="J10" s="157">
        <f>IF(OR('Données projet'!B13="",'Données projet'!C13="",'Données projet'!C13=0%),0,SUM(Calculateur!$DB$3:$DB$33)*VLOOKUP('Données projet'!$B$13,Paramètres!$A$1:$I$89,9,0)*B10)</f>
        <v>7.1775000000000002</v>
      </c>
      <c r="K10" s="158">
        <f>J10*(100%-'Données projet'!$C$24)*(100%-'Données projet'!$C$25)*(100%-'Données projet'!$C$26)*(100%-'Données projet'!$C$27)</f>
        <v>6.4597500000000005</v>
      </c>
      <c r="L10" s="159">
        <f t="shared" ca="1" si="2"/>
        <v>226.54713529608605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0" t="str">
        <f>IF('Données projet'!$B$14="","",'Données projet'!$B$14)</f>
        <v>Chêne chevelu</v>
      </c>
      <c r="B11" s="161">
        <f>'Données projet'!D14</f>
        <v>0.77</v>
      </c>
      <c r="C11" s="154">
        <f ca="1">IF(OR('Données projet'!B14="",'Données projet'!C14="",'Données projet'!C14=0%),0,Calculateur!DT3)</f>
        <v>493.70175665335978</v>
      </c>
      <c r="D11" s="154">
        <f>IF(OR('Données projet'!B14="",'Données projet'!C14="",'Données projet'!C14=0%),0,Calculateur!DU3)</f>
        <v>325.12357781685949</v>
      </c>
      <c r="E11" s="154">
        <f t="shared" ca="1" si="0"/>
        <v>325.12357781685949</v>
      </c>
      <c r="F11" s="154">
        <f t="shared" ca="1" si="1"/>
        <v>250.34515491898182</v>
      </c>
      <c r="G11" s="154">
        <f ca="1">F11*(100%-'Données projet'!$C$24)*(100%-'Données projet'!$C$25)*(100%-'Données projet'!$C$26)*(100%-'Données projet'!$C$27)</f>
        <v>225.31063942708363</v>
      </c>
      <c r="H11" s="162">
        <f>IF(OR('Données projet'!B14="",'Données projet'!C14="",'Données projet'!C14=0%),0,AVERAGE(Calculateur!$ED$3:$ED$33)*B11)</f>
        <v>0</v>
      </c>
      <c r="I11" s="156">
        <f>H11*(100%-'Données projet'!$C$24)*(100%-'Données projet'!$C$25)*(100%-'Données projet'!$C$26)*(100%-'Données projet'!$C$27)</f>
        <v>0</v>
      </c>
      <c r="J11" s="157">
        <f>IF(OR('Données projet'!B14="",'Données projet'!C14="",'Données projet'!C14=0%),0,SUM(Calculateur!$DW$3:$DW$33)*VLOOKUP('Données projet'!$B$14,Paramètres!$A$1:$I$89,9,0)*B11)</f>
        <v>5.4294871794871797</v>
      </c>
      <c r="K11" s="158">
        <f>J11*(100%-'Données projet'!$C$24)*(100%-'Données projet'!$C$25)*(100%-'Données projet'!$C$26)*(100%-'Données projet'!$C$27)</f>
        <v>4.8865384615384615</v>
      </c>
      <c r="L11" s="159">
        <f t="shared" ca="1" si="2"/>
        <v>230.19717788862209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0" t="str">
        <f>IF('Données projet'!$B$15="","",'Données projet'!$B$15)</f>
        <v>Bouleau verruqueux</v>
      </c>
      <c r="B12" s="161">
        <f>'Données projet'!D15</f>
        <v>0.44</v>
      </c>
      <c r="C12" s="154">
        <f ca="1">IF(OR('Données projet'!B15="",'Données projet'!C15="",'Données projet'!C15=0%),0,Calculateur!EO3)</f>
        <v>236.22643401787644</v>
      </c>
      <c r="D12" s="154">
        <f>IF(OR('Données projet'!B15="",'Données projet'!C15="",'Données projet'!C15=0%),0,Calculateur!EP3)</f>
        <v>188.80444043778022</v>
      </c>
      <c r="E12" s="154">
        <f t="shared" ca="1" si="0"/>
        <v>188.80444043778022</v>
      </c>
      <c r="F12" s="154">
        <f t="shared" ca="1" si="1"/>
        <v>83.0739537926233</v>
      </c>
      <c r="G12" s="154">
        <f ca="1">F12*(100%-'Données projet'!$C$24)*(100%-'Données projet'!$C$25)*(100%-'Données projet'!$C$26)*(100%-'Données projet'!$C$27)</f>
        <v>74.766558413360968</v>
      </c>
      <c r="H12" s="162">
        <f>IF(OR('Données projet'!B15="",'Données projet'!C15="",'Données projet'!C15=0%),0,AVERAGE(Calculateur!$EY$3:$EY$33)*B12)</f>
        <v>0</v>
      </c>
      <c r="I12" s="156">
        <f>H12*(100%-'Données projet'!$C$24)*(100%-'Données projet'!$C$25)*(100%-'Données projet'!$C$26)*(100%-'Données projet'!$C$27)</f>
        <v>0</v>
      </c>
      <c r="J12" s="157">
        <f>IF(OR('Données projet'!B15="",'Données projet'!C15="",'Données projet'!C15=0%),0,SUM(Calculateur!$ER$3:$ER$33)*VLOOKUP('Données projet'!$B$15,Paramètres!$A$1:$I$89,9,0)*B12)</f>
        <v>1.43</v>
      </c>
      <c r="K12" s="158">
        <f>J12*(100%-'Données projet'!$C$24)*(100%-'Données projet'!$C$25)*(100%-'Données projet'!$C$26)*(100%-'Données projet'!$C$27)</f>
        <v>1.2869999999999999</v>
      </c>
      <c r="L12" s="159">
        <f t="shared" ca="1" si="2"/>
        <v>76.053558413360975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0" t="str">
        <f>IF('Données projet'!$B$16="","",'Données projet'!$B$16)</f>
        <v>Alisier torminal</v>
      </c>
      <c r="B13" s="161">
        <f>'Données projet'!D16</f>
        <v>0.22</v>
      </c>
      <c r="C13" s="154">
        <f ca="1">IF(OR('Données projet'!B16="",'Données projet'!C16="",'Données projet'!C16=0%),0,Calculateur!FJ3)</f>
        <v>255.59755832175625</v>
      </c>
      <c r="D13" s="154">
        <f>IF(OR('Données projet'!B16="",'Données projet'!C16="",'Données projet'!C16=0%),0,Calculateur!FK3)</f>
        <v>154.0840647586964</v>
      </c>
      <c r="E13" s="154">
        <f t="shared" ca="1" si="0"/>
        <v>154.0840647586964</v>
      </c>
      <c r="F13" s="154">
        <f t="shared" ca="1" si="1"/>
        <v>33.898494246913209</v>
      </c>
      <c r="G13" s="154">
        <f ca="1">F13*(100%-'Données projet'!$C$24)*(100%-'Données projet'!$C$25)*(100%-'Données projet'!$C$26)*(100%-'Données projet'!$C$27)</f>
        <v>30.508644822221889</v>
      </c>
      <c r="H13" s="162">
        <f>IF(OR('Données projet'!B16="",'Données projet'!C16="",'Données projet'!C16=0%),0,AVERAGE(Calculateur!$FT$3:$FT$33)*B13)</f>
        <v>0</v>
      </c>
      <c r="I13" s="156">
        <f>H13*(100%-'Données projet'!$C$24)*(100%-'Données projet'!$C$25)*(100%-'Données projet'!$C$26)*(100%-'Données projet'!$C$27)</f>
        <v>0</v>
      </c>
      <c r="J13" s="157">
        <f>IF(OR('Données projet'!C16="",'Données projet'!C16=0%),0,SUM(Calculateur!$FM$3:$FM$33)*VLOOKUP('Données projet'!$B$16,Paramètres!$A$1:$I$89,9,0)*B13)</f>
        <v>0</v>
      </c>
      <c r="K13" s="158">
        <f>J13*(100%-'Données projet'!$C$24)*(100%-'Données projet'!$C$25)*(100%-'Données projet'!$C$26)*(100%-'Données projet'!$C$27)</f>
        <v>0</v>
      </c>
      <c r="L13" s="159">
        <f t="shared" ca="1" si="2"/>
        <v>30.508644822221889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0" t="str">
        <f>IF('Données projet'!$B$17="","",'Données projet'!$B$17)</f>
        <v/>
      </c>
      <c r="B14" s="161">
        <f>'Données projet'!D17</f>
        <v>0</v>
      </c>
      <c r="C14" s="154">
        <f>IF(OR('Données projet'!B17="",'Données projet'!C17="",'Données projet'!C17=0%),0,Calculateur!GE3)</f>
        <v>0</v>
      </c>
      <c r="D14" s="154">
        <f>IF(OR('Données projet'!B17="",'Données projet'!C17="",'Données projet'!C17=0%),0,Calculateur!GF3)</f>
        <v>0</v>
      </c>
      <c r="E14" s="154">
        <f t="shared" si="0"/>
        <v>0</v>
      </c>
      <c r="F14" s="154">
        <f t="shared" si="1"/>
        <v>0</v>
      </c>
      <c r="G14" s="154">
        <f>F14*(100%-'Données projet'!$C$24)*(100%-'Données projet'!$C$25)*(100%-'Données projet'!$C$26)*(100%-'Données projet'!$C$27)</f>
        <v>0</v>
      </c>
      <c r="H14" s="162">
        <f>IF(OR('Données projet'!B17="",'Données projet'!C17="",'Données projet'!C17=0%),0,AVERAGE(Calculateur!$GO$3:$GO$33)*B14)</f>
        <v>0</v>
      </c>
      <c r="I14" s="156">
        <f>H14*(100%-'Données projet'!$C$24)*(100%-'Données projet'!$C$25)*(100%-'Données projet'!$C$26)*(100%-'Données projet'!$C$27)</f>
        <v>0</v>
      </c>
      <c r="J14" s="157">
        <f>IF(OR('Données projet'!B17="",'Données projet'!C17="",'Données projet'!C17=0%),0,SUM(Calculateur!$GH$3:$GH$33)*VLOOKUP('Données projet'!$B$17,Paramètres!$A$1:$I$89,9,0)*B14)</f>
        <v>0</v>
      </c>
      <c r="K14" s="158">
        <f>J14*(100%-'Données projet'!$C$24)*(100%-'Données projet'!$C$25)*(100%-'Données projet'!$C$26)*(100%-'Données projet'!$C$27)</f>
        <v>0</v>
      </c>
      <c r="L14" s="159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3" t="str">
        <f>IF('Données projet'!B18="","",'Données projet'!B18)</f>
        <v/>
      </c>
      <c r="B15" s="164">
        <f>'Données projet'!D18</f>
        <v>0</v>
      </c>
      <c r="C15" s="165">
        <f>IF(OR('Données projet'!B18="",'Données projet'!C18="",'Données projet'!C18=0%),0,Calculateur!GZ3)</f>
        <v>0</v>
      </c>
      <c r="D15" s="165">
        <f>IF(OR('Données projet'!B18="",'Données projet'!C18="",'Données projet'!C18=0%),0,Calculateur!HA3)</f>
        <v>0</v>
      </c>
      <c r="E15" s="165">
        <f t="shared" si="0"/>
        <v>0</v>
      </c>
      <c r="F15" s="166">
        <f t="shared" si="1"/>
        <v>0</v>
      </c>
      <c r="G15" s="166">
        <f>F15*(100%-'Données projet'!$C$24)*(100%-'Données projet'!$C$25)*(100%-'Données projet'!$C$26)*(100%-'Données projet'!$C$27)</f>
        <v>0</v>
      </c>
      <c r="H15" s="167">
        <f>IF(OR('Données projet'!B18="",'Données projet'!C18="",'Données projet'!C18=0%),0,AVERAGE(Calculateur!$HJ$3:$HJ$33)*B15)</f>
        <v>0</v>
      </c>
      <c r="I15" s="168">
        <f>H15*(100%-'Données projet'!$C$24)*(100%-'Données projet'!$C$25)*(100%-'Données projet'!$C$26)*(100%-'Données projet'!$C$27)</f>
        <v>0</v>
      </c>
      <c r="J15" s="169">
        <f>IF(OR('Données projet'!B18="",'Données projet'!C18="",'Données projet'!C18=0%),0,SUM(Calculateur!$HC$3:$HC$33)*VLOOKUP('Données projet'!$B$18,Paramètres!$A$1:$I$89,9,0)*B15)</f>
        <v>0</v>
      </c>
      <c r="K15" s="170">
        <f>J15*(100%-'Données projet'!$C$24)*(100%-'Données projet'!$C$25)*(100%-'Données projet'!$C$26)*(100%-'Données projet'!$C$27)</f>
        <v>0</v>
      </c>
      <c r="L15" s="171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3"/>
      <c r="B16" s="230"/>
      <c r="C16" s="231"/>
      <c r="D16" s="25"/>
      <c r="E16" s="25"/>
      <c r="F16" s="172">
        <f t="shared" ref="F16:L16" ca="1" si="3">SUM(F6:F15)</f>
        <v>2122.0730271472607</v>
      </c>
      <c r="G16" s="173">
        <f t="shared" ca="1" si="3"/>
        <v>1909.865724432535</v>
      </c>
      <c r="H16" s="174">
        <f t="shared" si="3"/>
        <v>74.02401924043663</v>
      </c>
      <c r="I16" s="174">
        <f t="shared" si="3"/>
        <v>66.621617316392971</v>
      </c>
      <c r="J16" s="175">
        <f t="shared" si="3"/>
        <v>684.08950471794878</v>
      </c>
      <c r="K16" s="175">
        <f t="shared" si="3"/>
        <v>615.68055424615375</v>
      </c>
      <c r="L16" s="176">
        <f t="shared" ca="1" si="3"/>
        <v>2592.1678959950814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3"/>
      <c r="B17" s="230"/>
      <c r="C17" s="231"/>
      <c r="D17" s="228"/>
      <c r="E17" s="228"/>
      <c r="F17" s="317" t="s">
        <v>246</v>
      </c>
      <c r="G17" s="318"/>
      <c r="H17" s="318"/>
      <c r="I17" s="318"/>
      <c r="J17" s="318"/>
      <c r="K17" s="318"/>
      <c r="L17" s="318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3"/>
      <c r="B18" s="230"/>
      <c r="C18" s="231"/>
      <c r="D18" s="228"/>
      <c r="E18" s="228"/>
      <c r="F18" s="319"/>
      <c r="G18" s="319"/>
      <c r="H18" s="319"/>
      <c r="I18" s="319"/>
      <c r="J18" s="319"/>
      <c r="K18" s="319"/>
      <c r="L18" s="319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28"/>
      <c r="J19" s="228"/>
      <c r="K19" s="228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28"/>
      <c r="J20" s="228"/>
      <c r="K20" s="228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7" t="str">
        <f>A6</f>
        <v>Peuplier Koster</v>
      </c>
      <c r="B21" s="5"/>
      <c r="C21" s="5"/>
      <c r="D21" s="5"/>
      <c r="E21" s="5"/>
      <c r="F21" s="5"/>
      <c r="G21" s="5"/>
      <c r="H21" s="5"/>
      <c r="I21" s="228"/>
      <c r="J21" s="228"/>
      <c r="K21" s="228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28"/>
      <c r="J22" s="228"/>
      <c r="K22" s="228"/>
      <c r="L22" s="228"/>
      <c r="M22" s="228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28"/>
      <c r="J23" s="228"/>
      <c r="K23" s="228"/>
      <c r="L23" s="228"/>
      <c r="M23" s="228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28"/>
      <c r="J24" s="228"/>
      <c r="K24" s="228"/>
      <c r="L24" s="228"/>
      <c r="M24" s="228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28"/>
      <c r="J25" s="228"/>
      <c r="K25" s="228"/>
      <c r="L25" s="228"/>
      <c r="M25" s="228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28"/>
      <c r="J26" s="228"/>
      <c r="K26" s="228"/>
      <c r="L26" s="228"/>
      <c r="M26" s="228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28"/>
      <c r="J27" s="228"/>
      <c r="K27" s="228"/>
      <c r="L27" s="228"/>
      <c r="M27" s="228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28"/>
      <c r="J28" s="228"/>
      <c r="K28" s="228"/>
      <c r="L28" s="228"/>
      <c r="M28" s="228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28"/>
      <c r="J29" s="228"/>
      <c r="K29" s="228"/>
      <c r="L29" s="228"/>
      <c r="M29" s="228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28"/>
      <c r="J30" s="228"/>
      <c r="K30" s="228"/>
      <c r="L30" s="228"/>
      <c r="M30" s="228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28"/>
      <c r="J31" s="228"/>
      <c r="K31" s="228"/>
      <c r="L31" s="228"/>
      <c r="M31" s="228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28"/>
      <c r="J32" s="228"/>
      <c r="K32" s="228"/>
      <c r="L32" s="228"/>
      <c r="M32" s="228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28"/>
      <c r="J33" s="228"/>
      <c r="K33" s="228"/>
      <c r="L33" s="228"/>
      <c r="M33" s="228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28"/>
      <c r="J34" s="228"/>
      <c r="K34" s="228"/>
      <c r="L34" s="228"/>
      <c r="M34" s="228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28"/>
      <c r="J35" s="228"/>
      <c r="K35" s="228"/>
      <c r="L35" s="228"/>
      <c r="M35" s="228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28"/>
      <c r="J36" s="228"/>
      <c r="K36" s="228"/>
      <c r="L36" s="228"/>
      <c r="M36" s="228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28"/>
      <c r="J37" s="228"/>
      <c r="K37" s="228"/>
      <c r="L37" s="228"/>
      <c r="M37" s="228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28"/>
      <c r="J38" s="228"/>
      <c r="K38" s="228"/>
      <c r="L38" s="228"/>
      <c r="M38" s="228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7" t="str">
        <f>A7</f>
        <v>Chêne pubescent</v>
      </c>
      <c r="B39" s="5"/>
      <c r="C39" s="5"/>
      <c r="D39" s="5"/>
      <c r="E39" s="5"/>
      <c r="F39" s="5"/>
      <c r="G39" s="5"/>
      <c r="H39" s="5"/>
      <c r="I39" s="228"/>
      <c r="J39" s="228"/>
      <c r="K39" s="228"/>
      <c r="L39" s="228"/>
      <c r="M39" s="228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28"/>
      <c r="J40" s="228"/>
      <c r="K40" s="228"/>
      <c r="L40" s="228"/>
      <c r="M40" s="228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28"/>
      <c r="J41" s="228"/>
      <c r="K41" s="228"/>
      <c r="L41" s="228"/>
      <c r="M41" s="228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28"/>
      <c r="J42" s="228"/>
      <c r="K42" s="228"/>
      <c r="L42" s="228"/>
      <c r="M42" s="228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28"/>
      <c r="J43" s="228"/>
      <c r="K43" s="228"/>
      <c r="L43" s="228"/>
      <c r="M43" s="228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28"/>
      <c r="J44" s="228"/>
      <c r="K44" s="228"/>
      <c r="L44" s="228"/>
      <c r="M44" s="228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28"/>
      <c r="J45" s="228"/>
      <c r="K45" s="228"/>
      <c r="L45" s="228"/>
      <c r="M45" s="228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28"/>
      <c r="J46" s="228"/>
      <c r="K46" s="228"/>
      <c r="L46" s="228"/>
      <c r="M46" s="228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28"/>
      <c r="J47" s="228"/>
      <c r="K47" s="228"/>
      <c r="L47" s="228"/>
      <c r="M47" s="228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28"/>
      <c r="J48" s="228"/>
      <c r="K48" s="228"/>
      <c r="L48" s="228"/>
      <c r="M48" s="228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28"/>
      <c r="J49" s="228"/>
      <c r="K49" s="228"/>
      <c r="L49" s="228"/>
      <c r="M49" s="228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28"/>
      <c r="J50" s="228"/>
      <c r="K50" s="228"/>
      <c r="L50" s="228"/>
      <c r="M50" s="228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28"/>
      <c r="J51" s="228"/>
      <c r="K51" s="228"/>
      <c r="L51" s="228"/>
      <c r="M51" s="228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28"/>
      <c r="J52" s="228"/>
      <c r="K52" s="228"/>
      <c r="L52" s="228"/>
      <c r="M52" s="228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28"/>
      <c r="J53" s="228"/>
      <c r="K53" s="228"/>
      <c r="L53" s="228"/>
      <c r="M53" s="228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28"/>
      <c r="J54" s="228"/>
      <c r="K54" s="228"/>
      <c r="L54" s="228"/>
      <c r="M54" s="228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28"/>
      <c r="J55" s="228"/>
      <c r="K55" s="228"/>
      <c r="L55" s="228"/>
      <c r="M55" s="228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28"/>
      <c r="J56" s="228"/>
      <c r="K56" s="228"/>
      <c r="L56" s="228"/>
      <c r="M56" s="228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7" t="str">
        <f>A8</f>
        <v>Pin maritime</v>
      </c>
      <c r="B57" s="5"/>
      <c r="C57" s="5"/>
      <c r="D57" s="5"/>
      <c r="E57" s="5"/>
      <c r="F57" s="5"/>
      <c r="G57" s="5"/>
      <c r="H57" s="5"/>
      <c r="I57" s="228"/>
      <c r="J57" s="228"/>
      <c r="K57" s="228"/>
      <c r="L57" s="228"/>
      <c r="M57" s="228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28"/>
      <c r="J58" s="228"/>
      <c r="K58" s="228"/>
      <c r="L58" s="228"/>
      <c r="M58" s="228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28"/>
      <c r="J59" s="228"/>
      <c r="K59" s="228"/>
      <c r="L59" s="228"/>
      <c r="M59" s="228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28"/>
      <c r="J60" s="228"/>
      <c r="K60" s="228"/>
      <c r="L60" s="228"/>
      <c r="M60" s="228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28"/>
      <c r="J61" s="228"/>
      <c r="K61" s="228"/>
      <c r="L61" s="228"/>
      <c r="M61" s="228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28"/>
      <c r="J62" s="228"/>
      <c r="K62" s="228"/>
      <c r="L62" s="228"/>
      <c r="M62" s="228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28"/>
      <c r="J63" s="228"/>
      <c r="K63" s="228"/>
      <c r="L63" s="228"/>
      <c r="M63" s="228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28"/>
      <c r="J64" s="228"/>
      <c r="K64" s="228"/>
      <c r="L64" s="228"/>
      <c r="M64" s="228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28"/>
      <c r="J65" s="228"/>
      <c r="K65" s="228"/>
      <c r="L65" s="228"/>
      <c r="M65" s="228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28"/>
      <c r="J66" s="228"/>
      <c r="K66" s="228"/>
      <c r="L66" s="228"/>
      <c r="M66" s="228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28"/>
      <c r="J67" s="228"/>
      <c r="K67" s="228"/>
      <c r="L67" s="228"/>
      <c r="M67" s="228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28"/>
      <c r="J68" s="228"/>
      <c r="K68" s="228"/>
      <c r="L68" s="228"/>
      <c r="M68" s="228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28"/>
      <c r="J69" s="228"/>
      <c r="K69" s="228"/>
      <c r="L69" s="228"/>
      <c r="M69" s="228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28"/>
      <c r="J70" s="228"/>
      <c r="K70" s="228"/>
      <c r="L70" s="228"/>
      <c r="M70" s="228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28"/>
      <c r="J71" s="228"/>
      <c r="K71" s="228"/>
      <c r="L71" s="228"/>
      <c r="M71" s="228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28"/>
      <c r="J72" s="228"/>
      <c r="K72" s="228"/>
      <c r="L72" s="228"/>
      <c r="M72" s="228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28"/>
      <c r="J73" s="228"/>
      <c r="K73" s="228"/>
      <c r="L73" s="228"/>
      <c r="M73" s="228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28"/>
      <c r="J74" s="228"/>
      <c r="K74" s="228"/>
      <c r="L74" s="228"/>
      <c r="M74" s="228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28"/>
      <c r="J75" s="228"/>
      <c r="K75" s="228"/>
      <c r="L75" s="228"/>
      <c r="M75" s="228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7" t="str">
        <f>A9</f>
        <v>Cèdre de l'Atlas</v>
      </c>
      <c r="B76" s="5"/>
      <c r="C76" s="5"/>
      <c r="D76" s="5"/>
      <c r="E76" s="5"/>
      <c r="F76" s="5"/>
      <c r="G76" s="5"/>
      <c r="H76" s="5"/>
      <c r="I76" s="228"/>
      <c r="J76" s="228"/>
      <c r="K76" s="228"/>
      <c r="L76" s="228"/>
      <c r="M76" s="228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28"/>
      <c r="J77" s="228"/>
      <c r="K77" s="228"/>
      <c r="L77" s="228"/>
      <c r="M77" s="228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28"/>
      <c r="J78" s="228"/>
      <c r="K78" s="228"/>
      <c r="L78" s="228"/>
      <c r="M78" s="228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28"/>
      <c r="J79" s="228"/>
      <c r="K79" s="228"/>
      <c r="L79" s="228"/>
      <c r="M79" s="228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28"/>
      <c r="J80" s="228"/>
      <c r="K80" s="228"/>
      <c r="L80" s="228"/>
      <c r="M80" s="228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28"/>
      <c r="J81" s="228"/>
      <c r="K81" s="228"/>
      <c r="L81" s="228"/>
      <c r="M81" s="228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28"/>
      <c r="J82" s="228"/>
      <c r="K82" s="228"/>
      <c r="L82" s="228"/>
      <c r="M82" s="228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28"/>
      <c r="J83" s="228"/>
      <c r="K83" s="228"/>
      <c r="L83" s="228"/>
      <c r="M83" s="228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28"/>
      <c r="J84" s="228"/>
      <c r="K84" s="228"/>
      <c r="L84" s="228"/>
      <c r="M84" s="228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28"/>
      <c r="J85" s="228"/>
      <c r="K85" s="228"/>
      <c r="L85" s="228"/>
      <c r="M85" s="228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28"/>
      <c r="J86" s="228"/>
      <c r="K86" s="228"/>
      <c r="L86" s="228"/>
      <c r="M86" s="228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28"/>
      <c r="J87" s="228"/>
      <c r="K87" s="228"/>
      <c r="L87" s="228"/>
      <c r="M87" s="228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28"/>
      <c r="J88" s="228"/>
      <c r="K88" s="228"/>
      <c r="L88" s="228"/>
      <c r="M88" s="228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28"/>
      <c r="J89" s="228"/>
      <c r="K89" s="228"/>
      <c r="L89" s="228"/>
      <c r="M89" s="228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28"/>
      <c r="J90" s="228"/>
      <c r="K90" s="228"/>
      <c r="L90" s="228"/>
      <c r="M90" s="228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28"/>
      <c r="J91" s="228"/>
      <c r="K91" s="228"/>
      <c r="L91" s="228"/>
      <c r="M91" s="228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28"/>
      <c r="J92" s="228"/>
      <c r="K92" s="228"/>
      <c r="L92" s="228"/>
      <c r="M92" s="228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28"/>
      <c r="J93" s="228"/>
      <c r="K93" s="228"/>
      <c r="L93" s="228"/>
      <c r="M93" s="228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7" t="str">
        <f>A10</f>
        <v>Chêne sessile</v>
      </c>
      <c r="B94" s="5"/>
      <c r="C94" s="5"/>
      <c r="D94" s="5"/>
      <c r="E94" s="5"/>
      <c r="F94" s="5"/>
      <c r="G94" s="5"/>
      <c r="H94" s="5"/>
      <c r="I94" s="228"/>
      <c r="J94" s="228"/>
      <c r="K94" s="228"/>
      <c r="L94" s="228"/>
      <c r="M94" s="228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28"/>
      <c r="J95" s="228"/>
      <c r="K95" s="228"/>
      <c r="L95" s="228"/>
      <c r="M95" s="228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28"/>
      <c r="J96" s="228"/>
      <c r="K96" s="228"/>
      <c r="L96" s="228"/>
      <c r="M96" s="228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28"/>
      <c r="J97" s="228"/>
      <c r="K97" s="228"/>
      <c r="L97" s="228"/>
      <c r="M97" s="228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28"/>
      <c r="J98" s="228"/>
      <c r="K98" s="228"/>
      <c r="L98" s="228"/>
      <c r="M98" s="228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28"/>
      <c r="J99" s="228"/>
      <c r="K99" s="228"/>
      <c r="L99" s="228"/>
      <c r="M99" s="228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28"/>
      <c r="J100" s="228"/>
      <c r="K100" s="228"/>
      <c r="L100" s="228"/>
      <c r="M100" s="228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28"/>
      <c r="J101" s="228"/>
      <c r="K101" s="228"/>
      <c r="L101" s="228"/>
      <c r="M101" s="228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28"/>
      <c r="J102" s="228"/>
      <c r="K102" s="228"/>
      <c r="L102" s="228"/>
      <c r="M102" s="228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28"/>
      <c r="J103" s="228"/>
      <c r="K103" s="228"/>
      <c r="L103" s="228"/>
      <c r="M103" s="228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28"/>
      <c r="J104" s="228"/>
      <c r="K104" s="228"/>
      <c r="L104" s="228"/>
      <c r="M104" s="228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28"/>
      <c r="J105" s="228"/>
      <c r="K105" s="228"/>
      <c r="L105" s="228"/>
      <c r="M105" s="228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28"/>
      <c r="J106" s="228"/>
      <c r="K106" s="228"/>
      <c r="L106" s="228"/>
      <c r="M106" s="228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28"/>
      <c r="J107" s="228"/>
      <c r="K107" s="228"/>
      <c r="L107" s="228"/>
      <c r="M107" s="228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28"/>
      <c r="J108" s="228"/>
      <c r="K108" s="228"/>
      <c r="L108" s="228"/>
      <c r="M108" s="228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28"/>
      <c r="J109" s="228"/>
      <c r="K109" s="228"/>
      <c r="L109" s="228"/>
      <c r="M109" s="228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28"/>
      <c r="J110" s="228"/>
      <c r="K110" s="228"/>
      <c r="L110" s="228"/>
      <c r="M110" s="228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28"/>
      <c r="J111" s="228"/>
      <c r="K111" s="228"/>
      <c r="L111" s="228"/>
      <c r="M111" s="228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7" t="str">
        <f>A11</f>
        <v>Chêne chevelu</v>
      </c>
      <c r="B112" s="5"/>
      <c r="C112" s="5"/>
      <c r="D112" s="5"/>
      <c r="E112" s="5"/>
      <c r="F112" s="5"/>
      <c r="G112" s="5"/>
      <c r="H112" s="5"/>
      <c r="I112" s="228"/>
      <c r="J112" s="228"/>
      <c r="K112" s="228"/>
      <c r="L112" s="228"/>
      <c r="M112" s="228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28"/>
      <c r="J113" s="228"/>
      <c r="K113" s="228"/>
      <c r="L113" s="228"/>
      <c r="M113" s="228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28"/>
      <c r="J114" s="228"/>
      <c r="K114" s="228"/>
      <c r="L114" s="228"/>
      <c r="M114" s="228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28"/>
      <c r="J115" s="228"/>
      <c r="K115" s="228"/>
      <c r="L115" s="228"/>
      <c r="M115" s="228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28"/>
      <c r="J116" s="228"/>
      <c r="K116" s="228"/>
      <c r="L116" s="228"/>
      <c r="M116" s="228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28"/>
      <c r="J117" s="228"/>
      <c r="K117" s="228"/>
      <c r="L117" s="228"/>
      <c r="M117" s="228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28"/>
      <c r="J118" s="228"/>
      <c r="K118" s="228"/>
      <c r="L118" s="228"/>
      <c r="M118" s="228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28"/>
      <c r="J119" s="228"/>
      <c r="K119" s="228"/>
      <c r="L119" s="228"/>
      <c r="M119" s="228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28"/>
      <c r="J120" s="228"/>
      <c r="K120" s="228"/>
      <c r="L120" s="228"/>
      <c r="M120" s="228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28"/>
      <c r="J121" s="228"/>
      <c r="K121" s="228"/>
      <c r="L121" s="228"/>
      <c r="M121" s="228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28"/>
      <c r="J122" s="228"/>
      <c r="K122" s="228"/>
      <c r="L122" s="228"/>
      <c r="M122" s="228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28"/>
      <c r="J123" s="228"/>
      <c r="K123" s="228"/>
      <c r="L123" s="228"/>
      <c r="M123" s="228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28"/>
      <c r="J124" s="228"/>
      <c r="K124" s="228"/>
      <c r="L124" s="228"/>
      <c r="M124" s="228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28"/>
      <c r="J125" s="228"/>
      <c r="K125" s="228"/>
      <c r="L125" s="228"/>
      <c r="M125" s="228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28"/>
      <c r="J126" s="228"/>
      <c r="K126" s="228"/>
      <c r="L126" s="228"/>
      <c r="M126" s="228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28"/>
      <c r="J127" s="228"/>
      <c r="K127" s="228"/>
      <c r="L127" s="228"/>
      <c r="M127" s="228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28"/>
      <c r="J128" s="228"/>
      <c r="K128" s="228"/>
      <c r="L128" s="228"/>
      <c r="M128" s="228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28"/>
      <c r="J129" s="228"/>
      <c r="K129" s="228"/>
      <c r="L129" s="228"/>
      <c r="M129" s="228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7" t="str">
        <f>A12</f>
        <v>Bouleau verruqueux</v>
      </c>
      <c r="B130" s="5"/>
      <c r="C130" s="5"/>
      <c r="D130" s="5"/>
      <c r="E130" s="5"/>
      <c r="F130" s="5"/>
      <c r="G130" s="5"/>
      <c r="H130" s="5"/>
      <c r="I130" s="228"/>
      <c r="J130" s="228"/>
      <c r="K130" s="228"/>
      <c r="L130" s="228"/>
      <c r="M130" s="228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28"/>
      <c r="J131" s="228"/>
      <c r="K131" s="228"/>
      <c r="L131" s="228"/>
      <c r="M131" s="228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28"/>
      <c r="J132" s="228"/>
      <c r="K132" s="228"/>
      <c r="L132" s="228"/>
      <c r="M132" s="228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28"/>
      <c r="J133" s="228"/>
      <c r="K133" s="228"/>
      <c r="L133" s="228"/>
      <c r="M133" s="228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28"/>
      <c r="J134" s="228"/>
      <c r="K134" s="228"/>
      <c r="L134" s="228"/>
      <c r="M134" s="228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28"/>
      <c r="J135" s="228"/>
      <c r="K135" s="228"/>
      <c r="L135" s="228"/>
      <c r="M135" s="228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28"/>
      <c r="J136" s="228"/>
      <c r="K136" s="228"/>
      <c r="L136" s="228"/>
      <c r="M136" s="228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28"/>
      <c r="J137" s="228"/>
      <c r="K137" s="228"/>
      <c r="L137" s="228"/>
      <c r="M137" s="228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28"/>
      <c r="J138" s="228"/>
      <c r="K138" s="228"/>
      <c r="L138" s="228"/>
      <c r="M138" s="228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28"/>
      <c r="J139" s="228"/>
      <c r="K139" s="228"/>
      <c r="L139" s="228"/>
      <c r="M139" s="228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28"/>
      <c r="J140" s="228"/>
      <c r="K140" s="228"/>
      <c r="L140" s="228"/>
      <c r="M140" s="228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28"/>
      <c r="J141" s="228"/>
      <c r="K141" s="228"/>
      <c r="L141" s="228"/>
      <c r="M141" s="228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28"/>
      <c r="J142" s="228"/>
      <c r="K142" s="228"/>
      <c r="L142" s="228"/>
      <c r="M142" s="228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28"/>
      <c r="J143" s="228"/>
      <c r="K143" s="228"/>
      <c r="L143" s="228"/>
      <c r="M143" s="228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28"/>
      <c r="J144" s="228"/>
      <c r="K144" s="228"/>
      <c r="L144" s="228"/>
      <c r="M144" s="228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28"/>
      <c r="J145" s="228"/>
      <c r="K145" s="228"/>
      <c r="L145" s="228"/>
      <c r="M145" s="228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28"/>
      <c r="J146" s="228"/>
      <c r="K146" s="228"/>
      <c r="L146" s="228"/>
      <c r="M146" s="228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28"/>
      <c r="J147" s="228"/>
      <c r="K147" s="228"/>
      <c r="L147" s="228"/>
      <c r="M147" s="228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7" t="str">
        <f>A13</f>
        <v>Alisier torminal</v>
      </c>
      <c r="B148" s="5"/>
      <c r="C148" s="5"/>
      <c r="D148" s="5"/>
      <c r="E148" s="5"/>
      <c r="F148" s="5"/>
      <c r="G148" s="5"/>
      <c r="H148" s="5"/>
      <c r="I148" s="228"/>
      <c r="J148" s="228"/>
      <c r="K148" s="228"/>
      <c r="L148" s="228"/>
      <c r="M148" s="228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28"/>
      <c r="J149" s="228"/>
      <c r="K149" s="228"/>
      <c r="L149" s="228"/>
      <c r="M149" s="228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28"/>
      <c r="J150" s="228"/>
      <c r="K150" s="228"/>
      <c r="L150" s="228"/>
      <c r="M150" s="228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28"/>
      <c r="J151" s="228"/>
      <c r="K151" s="228"/>
      <c r="L151" s="228"/>
      <c r="M151" s="228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28"/>
      <c r="J152" s="228"/>
      <c r="K152" s="228"/>
      <c r="L152" s="228"/>
      <c r="M152" s="228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28"/>
      <c r="J153" s="228"/>
      <c r="K153" s="228"/>
      <c r="L153" s="228"/>
      <c r="M153" s="228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28"/>
      <c r="J154" s="228"/>
      <c r="K154" s="228"/>
      <c r="L154" s="228"/>
      <c r="M154" s="228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28"/>
      <c r="J155" s="228"/>
      <c r="K155" s="228"/>
      <c r="L155" s="228"/>
      <c r="M155" s="228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28"/>
      <c r="J156" s="228"/>
      <c r="K156" s="228"/>
      <c r="L156" s="228"/>
      <c r="M156" s="228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28"/>
      <c r="J157" s="228"/>
      <c r="K157" s="228"/>
      <c r="L157" s="228"/>
      <c r="M157" s="228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28"/>
      <c r="J158" s="228"/>
      <c r="K158" s="228"/>
      <c r="L158" s="228"/>
      <c r="M158" s="228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28"/>
      <c r="J159" s="228"/>
      <c r="K159" s="228"/>
      <c r="L159" s="228"/>
      <c r="M159" s="228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28"/>
      <c r="J160" s="228"/>
      <c r="K160" s="228"/>
      <c r="L160" s="228"/>
      <c r="M160" s="228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28"/>
      <c r="J161" s="228"/>
      <c r="K161" s="228"/>
      <c r="L161" s="228"/>
      <c r="M161" s="228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28"/>
      <c r="J162" s="228"/>
      <c r="K162" s="228"/>
      <c r="L162" s="228"/>
      <c r="M162" s="228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28"/>
      <c r="J163" s="228"/>
      <c r="K163" s="228"/>
      <c r="L163" s="228"/>
      <c r="M163" s="228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28"/>
      <c r="J164" s="228"/>
      <c r="K164" s="228"/>
      <c r="L164" s="228"/>
      <c r="M164" s="228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28"/>
      <c r="J165" s="228"/>
      <c r="K165" s="228"/>
      <c r="L165" s="228"/>
      <c r="M165" s="228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7" t="str">
        <f>A14</f>
        <v/>
      </c>
      <c r="B166" s="5"/>
      <c r="C166" s="5"/>
      <c r="D166" s="5"/>
      <c r="E166" s="5"/>
      <c r="F166" s="5"/>
      <c r="G166" s="5"/>
      <c r="H166" s="5"/>
      <c r="I166" s="228"/>
      <c r="J166" s="228"/>
      <c r="K166" s="228"/>
      <c r="L166" s="228"/>
      <c r="M166" s="228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28"/>
      <c r="J167" s="228"/>
      <c r="K167" s="228"/>
      <c r="L167" s="228"/>
      <c r="M167" s="228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28"/>
      <c r="J168" s="228"/>
      <c r="K168" s="228"/>
      <c r="L168" s="228"/>
      <c r="M168" s="228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28"/>
      <c r="J169" s="228"/>
      <c r="K169" s="228"/>
      <c r="L169" s="228"/>
      <c r="M169" s="228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28"/>
      <c r="J170" s="228"/>
      <c r="K170" s="228"/>
      <c r="L170" s="228"/>
      <c r="M170" s="228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28"/>
      <c r="J171" s="228"/>
      <c r="K171" s="228"/>
      <c r="L171" s="228"/>
      <c r="M171" s="228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28"/>
      <c r="J172" s="228"/>
      <c r="K172" s="228"/>
      <c r="L172" s="228"/>
      <c r="M172" s="228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28"/>
      <c r="J173" s="228"/>
      <c r="K173" s="228"/>
      <c r="L173" s="228"/>
      <c r="M173" s="228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28"/>
      <c r="J174" s="228"/>
      <c r="K174" s="228"/>
      <c r="L174" s="228"/>
      <c r="M174" s="228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28"/>
      <c r="J175" s="228"/>
      <c r="K175" s="228"/>
      <c r="L175" s="228"/>
      <c r="M175" s="228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28"/>
      <c r="J176" s="228"/>
      <c r="K176" s="228"/>
      <c r="L176" s="228"/>
      <c r="M176" s="228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28"/>
      <c r="J177" s="228"/>
      <c r="K177" s="228"/>
      <c r="L177" s="228"/>
      <c r="M177" s="228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28"/>
      <c r="J178" s="228"/>
      <c r="K178" s="228"/>
      <c r="L178" s="228"/>
      <c r="M178" s="228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28"/>
      <c r="J179" s="228"/>
      <c r="K179" s="228"/>
      <c r="L179" s="228"/>
      <c r="M179" s="228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28"/>
      <c r="J180" s="228"/>
      <c r="K180" s="228"/>
      <c r="L180" s="228"/>
      <c r="M180" s="228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28"/>
      <c r="J181" s="228"/>
      <c r="K181" s="228"/>
      <c r="L181" s="228"/>
      <c r="M181" s="228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28"/>
      <c r="J182" s="228"/>
      <c r="K182" s="228"/>
      <c r="L182" s="228"/>
      <c r="M182" s="228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28"/>
      <c r="J183" s="228"/>
      <c r="K183" s="228"/>
      <c r="L183" s="228"/>
      <c r="M183" s="228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7" t="str">
        <f>A15</f>
        <v/>
      </c>
      <c r="B184" s="5"/>
      <c r="C184" s="5"/>
      <c r="D184" s="5"/>
      <c r="E184" s="5"/>
      <c r="F184" s="5"/>
      <c r="G184" s="5"/>
      <c r="H184" s="5"/>
      <c r="I184" s="228"/>
      <c r="J184" s="228"/>
      <c r="K184" s="228"/>
      <c r="L184" s="228"/>
      <c r="M184" s="228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28"/>
      <c r="J185" s="228"/>
      <c r="K185" s="228"/>
      <c r="L185" s="228"/>
      <c r="M185" s="228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28"/>
      <c r="J186" s="228"/>
      <c r="K186" s="228"/>
      <c r="L186" s="228"/>
      <c r="M186" s="228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28"/>
      <c r="J187" s="228"/>
      <c r="K187" s="228"/>
      <c r="L187" s="228"/>
      <c r="M187" s="228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28"/>
      <c r="J188" s="228"/>
      <c r="K188" s="228"/>
      <c r="L188" s="228"/>
      <c r="M188" s="228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28"/>
      <c r="J189" s="228"/>
      <c r="K189" s="228"/>
      <c r="L189" s="228"/>
      <c r="M189" s="228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28"/>
      <c r="J190" s="228"/>
      <c r="K190" s="228"/>
      <c r="L190" s="228"/>
      <c r="M190" s="228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28"/>
      <c r="J191" s="228"/>
      <c r="K191" s="228"/>
      <c r="L191" s="228"/>
      <c r="M191" s="228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28"/>
      <c r="J192" s="228"/>
      <c r="K192" s="228"/>
      <c r="L192" s="228"/>
      <c r="M192" s="228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28"/>
      <c r="J193" s="228"/>
      <c r="K193" s="228"/>
      <c r="L193" s="228"/>
      <c r="M193" s="228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28"/>
      <c r="J194" s="228"/>
      <c r="K194" s="228"/>
      <c r="L194" s="228"/>
      <c r="M194" s="228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28"/>
      <c r="J195" s="228"/>
      <c r="K195" s="228"/>
      <c r="L195" s="228"/>
      <c r="M195" s="228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28"/>
      <c r="J196" s="228"/>
      <c r="K196" s="228"/>
      <c r="L196" s="228"/>
      <c r="M196" s="228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28"/>
      <c r="J197" s="228"/>
      <c r="K197" s="228"/>
      <c r="L197" s="228"/>
      <c r="M197" s="228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28"/>
      <c r="J198" s="228"/>
      <c r="K198" s="228"/>
      <c r="L198" s="228"/>
      <c r="M198" s="228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28"/>
      <c r="J199" s="228"/>
      <c r="K199" s="228"/>
      <c r="L199" s="228"/>
      <c r="M199" s="228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28"/>
      <c r="J200" s="228"/>
      <c r="K200" s="228"/>
      <c r="L200" s="228"/>
      <c r="M200" s="228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28"/>
      <c r="J201" s="228"/>
      <c r="K201" s="228"/>
      <c r="L201" s="228"/>
      <c r="M201" s="228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28"/>
      <c r="J202" s="228"/>
      <c r="K202" s="228"/>
      <c r="L202" s="228"/>
      <c r="M202" s="228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69"/>
      <c r="J203" s="69"/>
      <c r="K203" s="69"/>
      <c r="L203" s="69"/>
      <c r="M203" s="228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69"/>
      <c r="J204" s="69"/>
      <c r="K204" s="69"/>
      <c r="L204" s="69"/>
      <c r="M204" s="69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69"/>
      <c r="J205" s="69"/>
      <c r="K205" s="69"/>
      <c r="L205" s="69"/>
      <c r="M205" s="69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69"/>
      <c r="J206" s="69"/>
      <c r="K206" s="69"/>
      <c r="L206" s="69"/>
      <c r="M206" s="69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69"/>
      <c r="J207" s="69"/>
      <c r="K207" s="69"/>
      <c r="L207" s="69"/>
      <c r="M207" s="69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69"/>
      <c r="J208" s="69"/>
      <c r="K208" s="69"/>
      <c r="L208" s="69"/>
      <c r="M208" s="69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69"/>
      <c r="J209" s="69"/>
      <c r="K209" s="69"/>
      <c r="L209" s="69"/>
      <c r="M209" s="69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69"/>
      <c r="J210" s="69"/>
      <c r="K210" s="69"/>
      <c r="L210" s="69"/>
      <c r="M210" s="69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69"/>
      <c r="J211" s="69"/>
      <c r="K211" s="69"/>
      <c r="L211" s="69"/>
      <c r="M211" s="69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69"/>
      <c r="J212" s="69"/>
      <c r="K212" s="69"/>
      <c r="L212" s="69"/>
      <c r="M212" s="69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69"/>
      <c r="J213" s="69"/>
      <c r="K213" s="69"/>
      <c r="L213" s="69"/>
      <c r="M213" s="69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69"/>
      <c r="J214" s="69"/>
      <c r="K214" s="69"/>
      <c r="L214" s="69"/>
      <c r="M214" s="69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69"/>
      <c r="J215" s="69"/>
      <c r="K215" s="69"/>
      <c r="L215" s="69"/>
      <c r="M215" s="69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69"/>
      <c r="J216" s="69"/>
      <c r="K216" s="69"/>
      <c r="L216" s="69"/>
      <c r="M216" s="69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69"/>
      <c r="J217" s="69"/>
      <c r="K217" s="69"/>
      <c r="L217" s="69"/>
      <c r="M217" s="69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69"/>
      <c r="J218" s="69"/>
      <c r="K218" s="69"/>
      <c r="L218" s="69"/>
      <c r="M218" s="69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69"/>
      <c r="J219" s="69"/>
      <c r="K219" s="69"/>
      <c r="L219" s="69"/>
      <c r="M219" s="69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69"/>
      <c r="J220" s="69"/>
      <c r="K220" s="69"/>
      <c r="L220" s="69"/>
      <c r="M220" s="69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69"/>
      <c r="J221" s="69"/>
      <c r="K221" s="69"/>
      <c r="L221" s="69"/>
      <c r="M221" s="69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69"/>
      <c r="J222" s="69"/>
      <c r="K222" s="69"/>
      <c r="L222" s="69"/>
      <c r="M222" s="69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69"/>
      <c r="J223" s="69"/>
      <c r="K223" s="69"/>
      <c r="L223" s="69"/>
      <c r="M223" s="69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69"/>
      <c r="J224" s="69"/>
      <c r="K224" s="69"/>
      <c r="L224" s="69"/>
      <c r="M224" s="69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69"/>
      <c r="J225" s="69"/>
      <c r="K225" s="69"/>
      <c r="L225" s="69"/>
      <c r="M225" s="69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69"/>
      <c r="J226" s="69"/>
      <c r="K226" s="69"/>
      <c r="L226" s="69"/>
      <c r="M226" s="69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69"/>
      <c r="J227" s="69"/>
      <c r="K227" s="69"/>
      <c r="L227" s="69"/>
      <c r="M227" s="69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69"/>
      <c r="J228" s="69"/>
      <c r="K228" s="69"/>
      <c r="L228" s="69"/>
      <c r="M228" s="69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69"/>
      <c r="J229" s="69"/>
      <c r="K229" s="69"/>
      <c r="L229" s="69"/>
      <c r="M229" s="69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69"/>
      <c r="J230" s="69"/>
      <c r="K230" s="69"/>
      <c r="L230" s="69"/>
      <c r="M230" s="69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69"/>
      <c r="J231" s="69"/>
      <c r="K231" s="69"/>
      <c r="L231" s="69"/>
      <c r="M231" s="69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69"/>
      <c r="J232" s="69"/>
      <c r="K232" s="69"/>
      <c r="L232" s="69"/>
      <c r="M232" s="69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69"/>
      <c r="J233" s="69"/>
      <c r="K233" s="69"/>
      <c r="L233" s="69"/>
      <c r="M233" s="69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69"/>
      <c r="J234" s="69"/>
      <c r="K234" s="69"/>
      <c r="L234" s="69"/>
      <c r="M234" s="69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69"/>
      <c r="J235" s="69"/>
      <c r="K235" s="69"/>
      <c r="L235" s="69"/>
      <c r="M235" s="69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69"/>
      <c r="J236" s="69"/>
      <c r="K236" s="69"/>
      <c r="L236" s="69"/>
      <c r="M236" s="69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69"/>
      <c r="J237" s="69"/>
      <c r="K237" s="69"/>
      <c r="L237" s="69"/>
      <c r="M237" s="69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69"/>
      <c r="J238" s="69"/>
      <c r="K238" s="69"/>
      <c r="L238" s="69"/>
      <c r="M238" s="69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69"/>
      <c r="J239" s="69"/>
      <c r="K239" s="69"/>
      <c r="L239" s="69"/>
      <c r="M239" s="69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69"/>
      <c r="J240" s="69"/>
      <c r="K240" s="69"/>
      <c r="L240" s="69"/>
      <c r="M240" s="69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69"/>
      <c r="J241" s="69"/>
      <c r="K241" s="69"/>
      <c r="L241" s="69"/>
      <c r="M241" s="69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69"/>
      <c r="J242" s="69"/>
      <c r="K242" s="69"/>
      <c r="L242" s="69"/>
      <c r="M242" s="69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69"/>
      <c r="J243" s="69"/>
      <c r="K243" s="69"/>
      <c r="L243" s="69"/>
      <c r="M243" s="69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69"/>
      <c r="J244" s="69"/>
      <c r="K244" s="69"/>
      <c r="L244" s="69"/>
      <c r="M244" s="69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69"/>
      <c r="J245" s="69"/>
      <c r="K245" s="69"/>
      <c r="L245" s="69"/>
      <c r="M245" s="69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69"/>
      <c r="J246" s="69"/>
      <c r="K246" s="69"/>
      <c r="L246" s="69"/>
      <c r="M246" s="69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69"/>
      <c r="J247" s="69"/>
      <c r="K247" s="69"/>
      <c r="L247" s="69"/>
      <c r="M247" s="69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69"/>
      <c r="J248" s="69"/>
      <c r="K248" s="69"/>
      <c r="L248" s="69"/>
      <c r="M248" s="69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69"/>
      <c r="J249" s="69"/>
      <c r="K249" s="69"/>
      <c r="L249" s="69"/>
      <c r="M249" s="69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69"/>
      <c r="J250" s="69"/>
      <c r="K250" s="69"/>
      <c r="L250" s="69"/>
      <c r="M250" s="69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69"/>
      <c r="J251" s="69"/>
      <c r="K251" s="69"/>
      <c r="L251" s="69"/>
      <c r="M251" s="69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69"/>
      <c r="J252" s="69"/>
      <c r="K252" s="69"/>
      <c r="L252" s="69"/>
      <c r="M252" s="69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69"/>
      <c r="J253" s="69"/>
      <c r="K253" s="69"/>
      <c r="L253" s="69"/>
      <c r="M253" s="69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69"/>
      <c r="J254" s="69"/>
      <c r="K254" s="69"/>
      <c r="L254" s="69"/>
      <c r="M254" s="69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69"/>
      <c r="J255" s="69"/>
      <c r="K255" s="69"/>
      <c r="L255" s="69"/>
      <c r="M255" s="69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69"/>
      <c r="J256" s="69"/>
      <c r="K256" s="69"/>
      <c r="L256" s="69"/>
      <c r="M256" s="69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69"/>
      <c r="J257" s="69"/>
      <c r="K257" s="69"/>
      <c r="L257" s="69"/>
      <c r="M257" s="69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69"/>
      <c r="J258" s="69"/>
      <c r="K258" s="69"/>
      <c r="L258" s="69"/>
      <c r="M258" s="69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69"/>
      <c r="J259" s="69"/>
      <c r="K259" s="69"/>
      <c r="L259" s="69"/>
      <c r="M259" s="69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69"/>
      <c r="J260" s="69"/>
      <c r="K260" s="69"/>
      <c r="L260" s="69"/>
      <c r="M260" s="69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69"/>
      <c r="J261" s="69"/>
      <c r="K261" s="69"/>
      <c r="L261" s="69"/>
      <c r="M261" s="69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69"/>
      <c r="J262" s="69"/>
      <c r="K262" s="69"/>
      <c r="L262" s="69"/>
      <c r="M262" s="69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69"/>
      <c r="J263" s="69"/>
      <c r="K263" s="69"/>
      <c r="L263" s="69"/>
      <c r="M263" s="69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69"/>
      <c r="J264" s="69"/>
      <c r="K264" s="69"/>
      <c r="L264" s="69"/>
      <c r="M264" s="69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69"/>
      <c r="J265" s="69"/>
      <c r="K265" s="69"/>
      <c r="L265" s="69"/>
      <c r="M265" s="69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69"/>
      <c r="J266" s="69"/>
      <c r="K266" s="69"/>
      <c r="L266" s="69"/>
      <c r="M266" s="69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69"/>
      <c r="J267" s="69"/>
      <c r="K267" s="69"/>
      <c r="L267" s="69"/>
      <c r="M267" s="69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69"/>
      <c r="J268" s="69"/>
      <c r="K268" s="69"/>
      <c r="L268" s="69"/>
      <c r="M268" s="69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69"/>
      <c r="J269" s="69"/>
      <c r="K269" s="69"/>
      <c r="L269" s="69"/>
      <c r="M269" s="69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69"/>
      <c r="J270" s="69"/>
      <c r="K270" s="69"/>
      <c r="L270" s="69"/>
      <c r="M270" s="69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69"/>
      <c r="J271" s="69"/>
      <c r="K271" s="69"/>
      <c r="L271" s="69"/>
      <c r="M271" s="69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69"/>
      <c r="J272" s="69"/>
      <c r="K272" s="69"/>
      <c r="L272" s="69"/>
      <c r="M272" s="69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69"/>
      <c r="J273" s="69"/>
      <c r="K273" s="69"/>
      <c r="L273" s="69"/>
      <c r="M273" s="69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69"/>
      <c r="J274" s="69"/>
      <c r="K274" s="69"/>
      <c r="L274" s="69"/>
      <c r="M274" s="6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69"/>
      <c r="J275" s="69"/>
      <c r="K275" s="69"/>
      <c r="L275" s="69"/>
      <c r="M275" s="6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69"/>
      <c r="J276" s="69"/>
      <c r="K276" s="69"/>
      <c r="L276" s="69"/>
      <c r="M276" s="6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69"/>
      <c r="J277" s="69"/>
      <c r="K277" s="69"/>
      <c r="L277" s="69"/>
      <c r="M277" s="69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69"/>
      <c r="J278" s="69"/>
      <c r="K278" s="69"/>
      <c r="L278" s="69"/>
      <c r="M278" s="69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69"/>
      <c r="J279" s="69"/>
      <c r="K279" s="69"/>
      <c r="L279" s="69"/>
      <c r="M279" s="69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69"/>
      <c r="J280" s="69"/>
      <c r="K280" s="69"/>
      <c r="L280" s="69"/>
      <c r="M280" s="69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69"/>
      <c r="J281" s="69"/>
      <c r="K281" s="69"/>
      <c r="L281" s="69"/>
      <c r="M281" s="69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69"/>
      <c r="J282" s="69"/>
      <c r="K282" s="69"/>
      <c r="L282" s="69"/>
      <c r="M282" s="69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69"/>
      <c r="J283" s="69"/>
      <c r="K283" s="69"/>
      <c r="L283" s="69"/>
      <c r="M283" s="69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69"/>
      <c r="J284" s="69"/>
      <c r="K284" s="69"/>
      <c r="L284" s="69"/>
      <c r="M284" s="69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69"/>
      <c r="J285" s="69"/>
      <c r="K285" s="69"/>
      <c r="L285" s="69"/>
      <c r="M285" s="69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69"/>
      <c r="J286" s="69"/>
      <c r="K286" s="69"/>
      <c r="L286" s="69"/>
      <c r="M286" s="69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69"/>
      <c r="J287" s="69"/>
      <c r="K287" s="69"/>
      <c r="L287" s="69"/>
      <c r="M287" s="69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69"/>
      <c r="J288" s="69"/>
      <c r="K288" s="69"/>
      <c r="L288" s="69"/>
      <c r="M288" s="69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69"/>
      <c r="J289" s="69"/>
      <c r="K289" s="69"/>
      <c r="L289" s="69"/>
      <c r="M289" s="69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69"/>
      <c r="J290" s="69"/>
      <c r="K290" s="69"/>
      <c r="L290" s="69"/>
      <c r="M290" s="69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69"/>
      <c r="J291" s="69"/>
      <c r="K291" s="69"/>
      <c r="L291" s="69"/>
      <c r="M291" s="69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69"/>
      <c r="J292" s="69"/>
      <c r="K292" s="69"/>
      <c r="L292" s="69"/>
      <c r="M292" s="69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69"/>
      <c r="J293" s="69"/>
      <c r="K293" s="69"/>
      <c r="L293" s="69"/>
      <c r="M293" s="69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69"/>
      <c r="J294" s="69"/>
      <c r="K294" s="69"/>
      <c r="L294" s="69"/>
      <c r="M294" s="69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69"/>
      <c r="J295" s="69"/>
      <c r="K295" s="69"/>
      <c r="L295" s="69"/>
      <c r="M295" s="69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69"/>
      <c r="J296" s="69"/>
      <c r="K296" s="69"/>
      <c r="L296" s="69"/>
      <c r="M296" s="69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69"/>
      <c r="J297" s="69"/>
      <c r="K297" s="69"/>
      <c r="L297" s="69"/>
      <c r="M297" s="69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69"/>
      <c r="J298" s="69"/>
      <c r="K298" s="69"/>
      <c r="L298" s="69"/>
      <c r="M298" s="69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69"/>
      <c r="J299" s="69"/>
      <c r="K299" s="69"/>
      <c r="L299" s="69"/>
      <c r="M299" s="69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69"/>
      <c r="J300" s="69"/>
      <c r="K300" s="69"/>
      <c r="L300" s="69"/>
      <c r="M300" s="69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69"/>
      <c r="J301" s="69"/>
      <c r="K301" s="69"/>
      <c r="L301" s="69"/>
      <c r="M301" s="69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69"/>
      <c r="J302" s="69"/>
      <c r="K302" s="69"/>
      <c r="L302" s="69"/>
      <c r="M302" s="69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69"/>
      <c r="J303" s="69"/>
      <c r="K303" s="69"/>
      <c r="L303" s="69"/>
      <c r="M303" s="69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69"/>
      <c r="J304" s="69"/>
      <c r="K304" s="69"/>
      <c r="L304" s="69"/>
      <c r="M304" s="69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69"/>
      <c r="J305" s="69"/>
      <c r="K305" s="69"/>
      <c r="L305" s="69"/>
      <c r="M305" s="69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69"/>
      <c r="J306" s="69"/>
      <c r="K306" s="69"/>
      <c r="L306" s="69"/>
      <c r="M306" s="69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69"/>
      <c r="J307" s="69"/>
      <c r="K307" s="69"/>
      <c r="L307" s="69"/>
      <c r="M307" s="69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69"/>
      <c r="J308" s="69"/>
      <c r="K308" s="69"/>
      <c r="L308" s="69"/>
      <c r="M308" s="69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69"/>
      <c r="J309" s="69"/>
      <c r="K309" s="69"/>
      <c r="L309" s="69"/>
      <c r="M309" s="69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69"/>
      <c r="J310" s="69"/>
      <c r="K310" s="69"/>
      <c r="L310" s="69"/>
      <c r="M310" s="69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69"/>
      <c r="J311" s="69"/>
      <c r="K311" s="69"/>
      <c r="L311" s="69"/>
      <c r="M311" s="69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69"/>
      <c r="J312" s="69"/>
      <c r="K312" s="69"/>
      <c r="L312" s="69"/>
      <c r="M312" s="69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69"/>
      <c r="J313" s="69"/>
      <c r="K313" s="69"/>
      <c r="L313" s="69"/>
      <c r="M313" s="69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69"/>
      <c r="J314" s="69"/>
      <c r="K314" s="69"/>
      <c r="L314" s="69"/>
      <c r="M314" s="69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69"/>
      <c r="J315" s="69"/>
      <c r="K315" s="69"/>
      <c r="L315" s="69"/>
      <c r="M315" s="69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69"/>
      <c r="J316" s="69"/>
      <c r="K316" s="69"/>
      <c r="L316" s="69"/>
      <c r="M316" s="69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69"/>
      <c r="J317" s="69"/>
      <c r="K317" s="69"/>
      <c r="L317" s="69"/>
      <c r="M317" s="69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69"/>
      <c r="J318" s="69"/>
      <c r="K318" s="69"/>
      <c r="L318" s="69"/>
      <c r="M318" s="69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69"/>
      <c r="J319" s="69"/>
      <c r="K319" s="69"/>
      <c r="L319" s="69"/>
      <c r="M319" s="69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69"/>
      <c r="J320" s="69"/>
      <c r="K320" s="69"/>
      <c r="L320" s="69"/>
      <c r="M320" s="69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69"/>
      <c r="J321" s="69"/>
      <c r="K321" s="69"/>
      <c r="L321" s="69"/>
      <c r="M321" s="69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69"/>
      <c r="J322" s="69"/>
      <c r="K322" s="69"/>
      <c r="L322" s="69"/>
      <c r="M322" s="69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69"/>
      <c r="J323" s="69"/>
      <c r="K323" s="69"/>
      <c r="L323" s="69"/>
      <c r="M323" s="69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69"/>
      <c r="J324" s="69"/>
      <c r="K324" s="69"/>
      <c r="L324" s="69"/>
      <c r="M324" s="69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69"/>
      <c r="J325" s="69"/>
      <c r="K325" s="69"/>
      <c r="L325" s="69"/>
      <c r="M325" s="69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69"/>
      <c r="J326" s="69"/>
      <c r="K326" s="69"/>
      <c r="L326" s="69"/>
      <c r="M326" s="69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69"/>
      <c r="J327" s="69"/>
      <c r="K327" s="69"/>
      <c r="L327" s="69"/>
      <c r="M327" s="69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69"/>
      <c r="J328" s="69"/>
      <c r="K328" s="69"/>
      <c r="L328" s="69"/>
      <c r="M328" s="69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69"/>
      <c r="J329" s="69"/>
      <c r="K329" s="69"/>
      <c r="L329" s="69"/>
      <c r="M329" s="69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69"/>
      <c r="J330" s="69"/>
      <c r="K330" s="69"/>
      <c r="L330" s="69"/>
      <c r="M330" s="69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69"/>
      <c r="J331" s="69"/>
      <c r="K331" s="69"/>
      <c r="L331" s="69"/>
      <c r="M331" s="69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69"/>
      <c r="J332" s="69"/>
      <c r="K332" s="69"/>
      <c r="L332" s="69"/>
      <c r="M332" s="69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69"/>
      <c r="J333" s="69"/>
      <c r="K333" s="69"/>
      <c r="L333" s="69"/>
      <c r="M333" s="69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69"/>
      <c r="J334" s="69"/>
      <c r="K334" s="69"/>
      <c r="L334" s="69"/>
      <c r="M334" s="69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69"/>
      <c r="J335" s="69"/>
      <c r="K335" s="69"/>
      <c r="L335" s="69"/>
      <c r="M335" s="69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69"/>
      <c r="J336" s="69"/>
      <c r="K336" s="69"/>
      <c r="L336" s="69"/>
      <c r="M336" s="69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69"/>
      <c r="J337" s="69"/>
      <c r="K337" s="69"/>
      <c r="L337" s="69"/>
      <c r="M337" s="69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69"/>
      <c r="J338" s="69"/>
      <c r="K338" s="69"/>
      <c r="L338" s="69"/>
      <c r="M338" s="69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69"/>
      <c r="J339" s="69"/>
      <c r="K339" s="69"/>
      <c r="L339" s="69"/>
      <c r="M339" s="69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69"/>
      <c r="J340" s="69"/>
      <c r="K340" s="69"/>
      <c r="L340" s="69"/>
      <c r="M340" s="69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69"/>
      <c r="J341" s="69"/>
      <c r="K341" s="69"/>
      <c r="L341" s="69"/>
      <c r="M341" s="69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69"/>
      <c r="J342" s="69"/>
      <c r="K342" s="69"/>
      <c r="L342" s="69"/>
      <c r="M342" s="69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69"/>
      <c r="J343" s="69"/>
      <c r="K343" s="69"/>
      <c r="L343" s="69"/>
      <c r="M343" s="69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69"/>
      <c r="J344" s="69"/>
      <c r="K344" s="69"/>
      <c r="L344" s="69"/>
      <c r="M344" s="69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69"/>
      <c r="J345" s="69"/>
      <c r="K345" s="69"/>
      <c r="L345" s="69"/>
      <c r="M345" s="69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69"/>
      <c r="J346" s="69"/>
      <c r="K346" s="69"/>
      <c r="L346" s="69"/>
      <c r="M346" s="69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69"/>
      <c r="J347" s="69"/>
      <c r="K347" s="69"/>
      <c r="L347" s="69"/>
      <c r="M347" s="69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69"/>
      <c r="J348" s="69"/>
      <c r="K348" s="69"/>
      <c r="L348" s="69"/>
      <c r="M348" s="69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69"/>
      <c r="J349" s="69"/>
      <c r="K349" s="69"/>
      <c r="L349" s="69"/>
      <c r="M349" s="69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69"/>
      <c r="J350" s="69"/>
      <c r="K350" s="69"/>
      <c r="L350" s="69"/>
      <c r="M350" s="69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69"/>
      <c r="J351" s="69"/>
      <c r="K351" s="69"/>
      <c r="L351" s="69"/>
      <c r="M351" s="69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69"/>
      <c r="J352" s="69"/>
      <c r="K352" s="69"/>
      <c r="L352" s="69"/>
      <c r="M352" s="69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69"/>
      <c r="J353" s="69"/>
      <c r="K353" s="69"/>
      <c r="L353" s="69"/>
      <c r="M353" s="69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69"/>
      <c r="J354" s="69"/>
      <c r="K354" s="69"/>
      <c r="L354" s="69"/>
      <c r="M354" s="69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69"/>
      <c r="J355" s="69"/>
      <c r="K355" s="69"/>
      <c r="L355" s="69"/>
      <c r="M355" s="69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69"/>
      <c r="J356" s="69"/>
      <c r="K356" s="69"/>
      <c r="L356" s="69"/>
      <c r="M356" s="69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topLeftCell="A4" zoomScale="85" zoomScaleNormal="85" workbookViewId="0">
      <selection activeCell="A30" sqref="A30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69"/>
      <c r="G1" s="69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5" t="s">
        <v>272</v>
      </c>
      <c r="C2" s="306"/>
      <c r="D2" s="306"/>
      <c r="E2" s="306"/>
      <c r="F2" s="306"/>
      <c r="G2" s="306"/>
      <c r="H2" s="306"/>
      <c r="I2" s="306"/>
      <c r="J2" s="306"/>
      <c r="K2" s="306"/>
      <c r="L2" s="306"/>
      <c r="M2" s="306"/>
      <c r="N2" s="306"/>
      <c r="O2" s="306"/>
      <c r="P2" s="307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0" customFormat="1" x14ac:dyDescent="0.3">
      <c r="A3" s="97"/>
      <c r="B3" s="97"/>
      <c r="C3" s="97"/>
      <c r="D3" s="97"/>
      <c r="E3" s="97"/>
      <c r="F3" s="178"/>
      <c r="G3" s="178"/>
      <c r="H3" s="179"/>
      <c r="I3" s="97"/>
      <c r="J3" s="97"/>
      <c r="K3" s="97"/>
      <c r="L3" s="97"/>
      <c r="M3" s="97"/>
      <c r="N3" s="97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</row>
    <row r="4" spans="1:42" s="200" customFormat="1" x14ac:dyDescent="0.3">
      <c r="A4" s="97"/>
      <c r="B4" s="97"/>
      <c r="C4" s="97"/>
      <c r="D4" s="97"/>
      <c r="E4" s="97"/>
      <c r="G4" s="178"/>
      <c r="H4" s="323" t="s">
        <v>315</v>
      </c>
      <c r="I4" s="323"/>
      <c r="K4" s="320" t="s">
        <v>253</v>
      </c>
      <c r="L4" s="321"/>
      <c r="M4" s="265">
        <v>4.4999999999999998E-2</v>
      </c>
      <c r="N4" s="97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</row>
    <row r="5" spans="1:42" s="200" customFormat="1" x14ac:dyDescent="0.3">
      <c r="A5" s="97"/>
      <c r="B5" s="97"/>
      <c r="C5" s="97"/>
      <c r="D5" s="97"/>
      <c r="E5" s="97"/>
      <c r="G5" s="178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</row>
    <row r="6" spans="1:42" s="200" customFormat="1" ht="15" thickBot="1" x14ac:dyDescent="0.35">
      <c r="A6" s="97"/>
      <c r="B6" s="97"/>
      <c r="C6" s="97"/>
      <c r="D6" s="97"/>
      <c r="E6" s="97"/>
      <c r="F6" s="226"/>
      <c r="G6" s="178"/>
      <c r="H6" s="180"/>
      <c r="I6" s="180"/>
      <c r="J6" s="180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</row>
    <row r="7" spans="1:42" s="200" customFormat="1" ht="27.75" customHeight="1" thickBot="1" x14ac:dyDescent="0.55000000000000004">
      <c r="A7" s="272"/>
      <c r="B7" s="273"/>
      <c r="C7" s="273"/>
      <c r="D7" s="273"/>
      <c r="E7" s="274"/>
      <c r="F7" s="274" t="s">
        <v>192</v>
      </c>
      <c r="G7" s="275"/>
      <c r="H7" s="273"/>
      <c r="I7" s="273"/>
      <c r="J7" s="276"/>
      <c r="K7" s="270"/>
      <c r="L7" s="271"/>
      <c r="M7" s="271"/>
      <c r="N7" s="277" t="s">
        <v>191</v>
      </c>
      <c r="O7" s="277"/>
      <c r="P7" s="278"/>
      <c r="Q7" s="279"/>
      <c r="R7" s="331" t="s">
        <v>310</v>
      </c>
      <c r="S7" s="332"/>
      <c r="T7" s="332"/>
      <c r="U7" s="332"/>
      <c r="V7" s="333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  <c r="AM7" s="97"/>
      <c r="AN7" s="97"/>
      <c r="AO7" s="97"/>
      <c r="AP7" s="97"/>
    </row>
    <row r="8" spans="1:42" x14ac:dyDescent="0.3">
      <c r="A8" s="25"/>
      <c r="C8" s="25"/>
      <c r="D8" s="25"/>
      <c r="E8" s="25"/>
      <c r="F8" s="218"/>
      <c r="G8" s="218"/>
      <c r="H8" s="5"/>
      <c r="I8" s="5"/>
      <c r="J8" s="211"/>
      <c r="K8" s="222"/>
      <c r="L8" s="25"/>
      <c r="M8" s="25"/>
      <c r="N8" s="25"/>
      <c r="O8" s="25"/>
      <c r="P8" s="25"/>
      <c r="Q8" s="262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57" t="s">
        <v>311</v>
      </c>
      <c r="C9" s="25"/>
      <c r="D9" s="25"/>
      <c r="E9" s="25"/>
      <c r="F9" s="258"/>
      <c r="G9" s="257" t="s">
        <v>314</v>
      </c>
      <c r="J9" s="211"/>
      <c r="K9" s="222"/>
      <c r="O9" s="25"/>
      <c r="P9" s="25"/>
      <c r="Q9" s="262"/>
      <c r="R9" s="25"/>
      <c r="S9" s="5"/>
      <c r="T9" s="183" t="s">
        <v>262</v>
      </c>
      <c r="U9" s="186" t="s">
        <v>249</v>
      </c>
      <c r="V9" s="183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57" t="s">
        <v>317</v>
      </c>
      <c r="C10" s="25"/>
      <c r="D10" s="25"/>
      <c r="E10" s="25"/>
      <c r="F10" s="258"/>
      <c r="G10" s="257" t="s">
        <v>316</v>
      </c>
      <c r="J10" s="211"/>
      <c r="K10" s="222"/>
      <c r="O10" s="25"/>
      <c r="P10" s="25"/>
      <c r="Q10" s="262"/>
      <c r="R10" s="25"/>
      <c r="S10" s="183" t="str">
        <f>B14</f>
        <v>Peuplier Koster</v>
      </c>
      <c r="T10" s="18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3984.4338030435019</v>
      </c>
      <c r="U10" s="188">
        <f>'Données projet'!D9</f>
        <v>2.97</v>
      </c>
      <c r="V10" s="187">
        <f>U10*T10</f>
        <v>11833.768395039202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57" t="s">
        <v>312</v>
      </c>
      <c r="B11" s="25"/>
      <c r="C11" s="25"/>
      <c r="D11" s="25"/>
      <c r="E11" s="25"/>
      <c r="F11" s="258"/>
      <c r="G11" s="257" t="s">
        <v>313</v>
      </c>
      <c r="J11" s="211"/>
      <c r="K11" s="222"/>
      <c r="M11" s="5"/>
      <c r="N11" s="5"/>
      <c r="O11" s="25"/>
      <c r="P11" s="25"/>
      <c r="Q11" s="262"/>
      <c r="R11" s="25"/>
      <c r="S11" s="183" t="str">
        <f>B45</f>
        <v>Chêne pubescent</v>
      </c>
      <c r="T11" s="26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795.9366756344125</v>
      </c>
      <c r="U11" s="188">
        <f>'Données projet'!D10</f>
        <v>2.5300000000000002</v>
      </c>
      <c r="V11" s="187">
        <f t="shared" ref="V11" si="0">U11*T11</f>
        <v>2013.7197893550638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58"/>
      <c r="G12" s="1"/>
      <c r="J12" s="211"/>
      <c r="K12" s="222"/>
      <c r="L12" s="214"/>
      <c r="M12" s="25"/>
      <c r="N12" s="25"/>
      <c r="O12" s="25"/>
      <c r="P12" s="25"/>
      <c r="Q12" s="262"/>
      <c r="R12" s="25"/>
      <c r="S12" s="183" t="str">
        <f>B76</f>
        <v>Pin maritime</v>
      </c>
      <c r="T12" s="26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4249.5802673374865</v>
      </c>
      <c r="U12" s="188">
        <f>'Données projet'!D11</f>
        <v>1.87</v>
      </c>
      <c r="V12" s="187">
        <f t="shared" ref="V12:V19" si="1">U12*T12</f>
        <v>7946.7150999210999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58"/>
      <c r="J13" s="25"/>
      <c r="K13" s="222"/>
      <c r="L13" s="182" t="s">
        <v>257</v>
      </c>
      <c r="M13" s="25"/>
      <c r="N13" s="25"/>
      <c r="O13" s="25"/>
      <c r="P13" s="25"/>
      <c r="Q13" s="262"/>
      <c r="R13" s="25"/>
      <c r="S13" s="183" t="str">
        <f>B107</f>
        <v>Cèdre de l'Atlas</v>
      </c>
      <c r="T13" s="26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1446.5862535901422</v>
      </c>
      <c r="U13" s="188">
        <f>'Données projet'!D12</f>
        <v>0.99</v>
      </c>
      <c r="V13" s="187">
        <f t="shared" si="1"/>
        <v>1432.1203910542408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4" t="str">
        <f>IF('Données projet'!$B$9="","",'Données projet'!$B$9)</f>
        <v>Peuplier Koster</v>
      </c>
      <c r="C14" s="5"/>
      <c r="D14" s="5"/>
      <c r="E14" s="5"/>
      <c r="F14" s="258"/>
      <c r="G14" s="218"/>
      <c r="H14" s="183" t="s">
        <v>178</v>
      </c>
      <c r="I14" s="183" t="s">
        <v>290</v>
      </c>
      <c r="J14" s="212"/>
      <c r="K14" s="181"/>
      <c r="L14" s="214"/>
      <c r="M14" s="25"/>
      <c r="N14" s="25"/>
      <c r="O14" s="5"/>
      <c r="P14" s="5"/>
      <c r="Q14" s="263"/>
      <c r="R14" s="5"/>
      <c r="S14" s="183" t="str">
        <f>B138</f>
        <v>Chêne sessile</v>
      </c>
      <c r="T14" s="26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795.9366756344125</v>
      </c>
      <c r="U14" s="188">
        <f>'Données projet'!D13</f>
        <v>0.99</v>
      </c>
      <c r="V14" s="187">
        <f t="shared" si="1"/>
        <v>787.97730887806836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58"/>
      <c r="G15" s="324" t="s">
        <v>318</v>
      </c>
      <c r="H15" s="201">
        <v>0</v>
      </c>
      <c r="I15" s="202">
        <v>0</v>
      </c>
      <c r="J15" s="213"/>
      <c r="K15" s="222"/>
      <c r="L15" s="214"/>
      <c r="M15" s="25"/>
      <c r="N15" s="25"/>
      <c r="O15" s="25"/>
      <c r="P15" s="25"/>
      <c r="Q15" s="262"/>
      <c r="R15" s="25"/>
      <c r="S15" s="183" t="str">
        <f>B169</f>
        <v>Chêne chevelu</v>
      </c>
      <c r="T15" s="26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1002.1462173839316</v>
      </c>
      <c r="U15" s="188">
        <f>'Données projet'!D14</f>
        <v>0.77</v>
      </c>
      <c r="V15" s="187">
        <f t="shared" si="1"/>
        <v>771.65258738562727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4" t="s">
        <v>180</v>
      </c>
      <c r="B16" s="51" t="s">
        <v>256</v>
      </c>
      <c r="C16" s="51" t="s">
        <v>255</v>
      </c>
      <c r="D16" s="254" t="s">
        <v>252</v>
      </c>
      <c r="E16" s="254" t="s">
        <v>320</v>
      </c>
      <c r="F16" s="258"/>
      <c r="G16" s="324"/>
      <c r="H16" s="201"/>
      <c r="I16" s="202"/>
      <c r="J16" s="213"/>
      <c r="K16" s="222"/>
      <c r="L16" s="320" t="s">
        <v>254</v>
      </c>
      <c r="M16" s="321"/>
      <c r="N16" s="2"/>
      <c r="O16" s="25"/>
      <c r="P16" s="25"/>
      <c r="Q16" s="262"/>
      <c r="R16" s="25"/>
      <c r="S16" s="183" t="str">
        <f>B200</f>
        <v>Bouleau verruqueux</v>
      </c>
      <c r="T16" s="26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361.45714868811785</v>
      </c>
      <c r="U16" s="188">
        <f>'Données projet'!D15</f>
        <v>0.44</v>
      </c>
      <c r="V16" s="187">
        <f t="shared" si="1"/>
        <v>159.04114542277185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07">
        <v>0</v>
      </c>
      <c r="B17" s="210" t="s">
        <v>132</v>
      </c>
      <c r="C17" s="209" t="s">
        <v>132</v>
      </c>
      <c r="D17" s="208" t="s">
        <v>132</v>
      </c>
      <c r="E17" s="204"/>
      <c r="F17" s="258"/>
      <c r="G17" s="324"/>
      <c r="J17" s="213"/>
      <c r="K17" s="222"/>
      <c r="L17" s="291" t="s">
        <v>289</v>
      </c>
      <c r="M17" s="293"/>
      <c r="N17" s="185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2"/>
      <c r="R17" s="25"/>
      <c r="S17" s="183" t="str">
        <f>B231</f>
        <v>Alisier torminal</v>
      </c>
      <c r="T17" s="26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393.07683026443067</v>
      </c>
      <c r="U17" s="188">
        <f>'Données projet'!D16</f>
        <v>0.22</v>
      </c>
      <c r="V17" s="187">
        <f t="shared" si="1"/>
        <v>86.476902658174751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07">
        <v>1</v>
      </c>
      <c r="B18" s="210" t="s">
        <v>132</v>
      </c>
      <c r="C18" s="209" t="s">
        <v>132</v>
      </c>
      <c r="D18" s="208" t="s">
        <v>132</v>
      </c>
      <c r="E18" s="204"/>
      <c r="F18" s="258"/>
      <c r="G18" s="324"/>
      <c r="J18" s="213"/>
      <c r="K18" s="222"/>
      <c r="L18" s="291" t="s">
        <v>255</v>
      </c>
      <c r="M18" s="293"/>
      <c r="N18" s="203"/>
      <c r="O18" s="25"/>
      <c r="P18" s="25"/>
      <c r="Q18" s="262"/>
      <c r="R18" s="25"/>
      <c r="S18" s="183" t="str">
        <f>B262</f>
        <v/>
      </c>
      <c r="T18" s="26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8">
        <f>'Données projet'!D17</f>
        <v>0</v>
      </c>
      <c r="V18" s="187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07">
        <v>2</v>
      </c>
      <c r="B19" s="210" t="s">
        <v>132</v>
      </c>
      <c r="C19" s="209" t="s">
        <v>132</v>
      </c>
      <c r="D19" s="208" t="s">
        <v>132</v>
      </c>
      <c r="E19" s="204"/>
      <c r="F19" s="258"/>
      <c r="G19" s="324"/>
      <c r="H19" s="229" t="s">
        <v>178</v>
      </c>
      <c r="I19" s="229" t="s">
        <v>287</v>
      </c>
      <c r="J19" s="257"/>
      <c r="K19" s="181"/>
      <c r="L19" s="320" t="s">
        <v>288</v>
      </c>
      <c r="M19" s="321"/>
      <c r="N19" s="189">
        <f>N17*N18</f>
        <v>0</v>
      </c>
      <c r="O19" s="25"/>
      <c r="P19" s="5"/>
      <c r="Q19" s="263"/>
      <c r="R19" s="5"/>
      <c r="S19" s="183" t="str">
        <f>B293</f>
        <v/>
      </c>
      <c r="T19" s="26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8">
        <f>'Données projet'!D18</f>
        <v>0</v>
      </c>
      <c r="V19" s="187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07">
        <v>3</v>
      </c>
      <c r="B20" s="210" t="s">
        <v>132</v>
      </c>
      <c r="C20" s="209" t="s">
        <v>132</v>
      </c>
      <c r="D20" s="208" t="s">
        <v>132</v>
      </c>
      <c r="E20" s="204"/>
      <c r="F20" s="258"/>
      <c r="G20" s="324"/>
      <c r="H20" s="201">
        <v>0</v>
      </c>
      <c r="I20" s="202">
        <v>8200</v>
      </c>
      <c r="J20" s="5"/>
      <c r="K20" s="181"/>
      <c r="O20" s="25"/>
      <c r="P20" s="5"/>
      <c r="Q20" s="263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07">
        <v>4</v>
      </c>
      <c r="B21" s="210" t="s">
        <v>132</v>
      </c>
      <c r="C21" s="209" t="s">
        <v>132</v>
      </c>
      <c r="D21" s="208" t="s">
        <v>132</v>
      </c>
      <c r="E21" s="204"/>
      <c r="F21" s="258"/>
      <c r="H21" s="201"/>
      <c r="I21" s="202"/>
      <c r="K21" s="181"/>
      <c r="O21" s="25"/>
      <c r="P21" s="5"/>
      <c r="Q21" s="263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07">
        <v>5</v>
      </c>
      <c r="B22" s="210" t="s">
        <v>132</v>
      </c>
      <c r="C22" s="209" t="s">
        <v>132</v>
      </c>
      <c r="D22" s="208" t="s">
        <v>132</v>
      </c>
      <c r="E22" s="204"/>
      <c r="F22" s="258"/>
      <c r="H22" s="201"/>
      <c r="I22" s="202"/>
      <c r="K22" s="181"/>
      <c r="O22" s="25"/>
      <c r="P22" s="5"/>
      <c r="Q22" s="263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0">
        <f>'Données projet'!A36</f>
        <v>8</v>
      </c>
      <c r="B23" s="191">
        <f>'Données projet'!D36</f>
        <v>0</v>
      </c>
      <c r="C23" s="202">
        <v>0</v>
      </c>
      <c r="D23" s="192">
        <f>B23*C23</f>
        <v>0</v>
      </c>
      <c r="E23" s="204"/>
      <c r="F23" s="258"/>
      <c r="H23" s="201"/>
      <c r="I23" s="202"/>
      <c r="K23" s="222"/>
      <c r="L23" s="322" t="s">
        <v>260</v>
      </c>
      <c r="M23" s="322"/>
      <c r="N23" s="322"/>
      <c r="O23" s="25"/>
      <c r="P23" s="25"/>
      <c r="Q23" s="262"/>
      <c r="R23" s="25"/>
      <c r="S23" s="183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-65168.528380285759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0">
        <f>'Données projet'!A37</f>
        <v>9</v>
      </c>
      <c r="B24" s="191">
        <f>'Données projet'!D37</f>
        <v>0</v>
      </c>
      <c r="C24" s="204">
        <v>0</v>
      </c>
      <c r="D24" s="192">
        <f t="shared" ref="D24:D42" si="2">B24*C24</f>
        <v>0</v>
      </c>
      <c r="E24" s="204"/>
      <c r="F24" s="261"/>
      <c r="H24" s="201"/>
      <c r="I24" s="202"/>
      <c r="K24" s="222"/>
      <c r="O24" s="25"/>
      <c r="P24" s="25"/>
      <c r="Q24" s="262"/>
      <c r="R24" s="25"/>
      <c r="S24" s="183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0">
        <f>'Données projet'!A38</f>
        <v>10</v>
      </c>
      <c r="B25" s="191">
        <f>'Données projet'!D38</f>
        <v>0</v>
      </c>
      <c r="C25" s="204">
        <v>0</v>
      </c>
      <c r="D25" s="192">
        <f t="shared" si="2"/>
        <v>0</v>
      </c>
      <c r="E25" s="204"/>
      <c r="F25" s="261"/>
      <c r="G25" s="1"/>
      <c r="H25" s="201"/>
      <c r="I25" s="202"/>
      <c r="K25" s="222"/>
      <c r="L25" s="268" t="s">
        <v>285</v>
      </c>
      <c r="M25" s="268"/>
      <c r="N25" s="268"/>
      <c r="O25" s="268"/>
      <c r="P25" s="203">
        <v>0</v>
      </c>
      <c r="Q25" s="262"/>
      <c r="R25" s="25"/>
      <c r="S25" s="196" t="s">
        <v>266</v>
      </c>
      <c r="T25" s="338">
        <f ca="1">T23-T24</f>
        <v>-65168.528380285759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0">
        <f>'Données projet'!A39</f>
        <v>11</v>
      </c>
      <c r="B26" s="191">
        <f>'Données projet'!D39</f>
        <v>0</v>
      </c>
      <c r="C26" s="204">
        <v>0</v>
      </c>
      <c r="D26" s="192">
        <f t="shared" si="2"/>
        <v>0</v>
      </c>
      <c r="E26" s="204"/>
      <c r="F26" s="261"/>
      <c r="G26" s="256"/>
      <c r="H26" s="201"/>
      <c r="I26" s="202"/>
      <c r="K26" s="222"/>
      <c r="L26" s="325" t="s">
        <v>258</v>
      </c>
      <c r="M26" s="326"/>
      <c r="N26" s="326"/>
      <c r="O26" s="326"/>
      <c r="P26" s="327"/>
      <c r="Q26" s="262"/>
      <c r="R26" s="25"/>
      <c r="S26" s="196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0">
        <f>'Données projet'!A40</f>
        <v>12</v>
      </c>
      <c r="B27" s="191">
        <f>'Données projet'!D40</f>
        <v>0</v>
      </c>
      <c r="C27" s="204">
        <v>0</v>
      </c>
      <c r="D27" s="192">
        <f t="shared" si="2"/>
        <v>0</v>
      </c>
      <c r="E27" s="204"/>
      <c r="F27" s="261"/>
      <c r="G27" s="256"/>
      <c r="H27" s="201"/>
      <c r="I27" s="202"/>
      <c r="K27" s="222"/>
      <c r="L27" s="328"/>
      <c r="M27" s="329"/>
      <c r="N27" s="329"/>
      <c r="O27" s="329"/>
      <c r="P27" s="330"/>
      <c r="Q27" s="262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0">
        <f>'Données projet'!A41</f>
        <v>13</v>
      </c>
      <c r="B28" s="191">
        <f>'Données projet'!D41</f>
        <v>0</v>
      </c>
      <c r="C28" s="204">
        <v>0</v>
      </c>
      <c r="D28" s="192">
        <f t="shared" si="2"/>
        <v>0</v>
      </c>
      <c r="E28" s="204"/>
      <c r="F28" s="261"/>
      <c r="G28" s="219"/>
      <c r="H28" s="201"/>
      <c r="I28" s="202"/>
      <c r="K28" s="222"/>
      <c r="Q28" s="262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0">
        <f>'Données projet'!A42</f>
        <v>14</v>
      </c>
      <c r="B29" s="191">
        <f>'Données projet'!D42</f>
        <v>0</v>
      </c>
      <c r="C29" s="204">
        <v>0</v>
      </c>
      <c r="D29" s="192">
        <f t="shared" si="2"/>
        <v>0</v>
      </c>
      <c r="E29" s="204"/>
      <c r="F29" s="261"/>
      <c r="G29" s="215"/>
      <c r="H29" s="201"/>
      <c r="I29" s="202"/>
      <c r="K29" s="222"/>
      <c r="O29" s="25"/>
      <c r="P29" s="25"/>
      <c r="Q29" s="262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0">
        <f>'Données projet'!A43</f>
        <v>15</v>
      </c>
      <c r="B30" s="191">
        <f>'Données projet'!D43</f>
        <v>0</v>
      </c>
      <c r="C30" s="204">
        <v>0</v>
      </c>
      <c r="D30" s="192">
        <f t="shared" si="2"/>
        <v>0</v>
      </c>
      <c r="E30" s="204"/>
      <c r="F30" s="261"/>
      <c r="G30" s="215"/>
      <c r="H30" s="201"/>
      <c r="I30" s="202"/>
      <c r="K30" s="193"/>
      <c r="L30" s="183" t="s">
        <v>259</v>
      </c>
      <c r="M30" s="194">
        <f ca="1">SUM(OFFSET($P$33,0,0,MIN('Données projet'!$E$9:$E$18)+1,1))</f>
        <v>0</v>
      </c>
      <c r="O30" s="5"/>
      <c r="P30" s="5"/>
      <c r="Q30" s="263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0">
        <f>'Données projet'!A44</f>
        <v>16</v>
      </c>
      <c r="B31" s="191">
        <f>'Données projet'!D44</f>
        <v>161.16</v>
      </c>
      <c r="C31" s="204">
        <v>50</v>
      </c>
      <c r="D31" s="192">
        <f t="shared" si="2"/>
        <v>8058</v>
      </c>
      <c r="E31" s="204"/>
      <c r="F31" s="261"/>
      <c r="G31" s="215"/>
      <c r="H31" s="201"/>
      <c r="I31" s="202"/>
      <c r="K31" s="181"/>
      <c r="Q31" s="262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0">
        <f>'Données projet'!A45</f>
        <v>0</v>
      </c>
      <c r="B32" s="191">
        <f>'Données projet'!D45</f>
        <v>0</v>
      </c>
      <c r="C32" s="204">
        <v>0</v>
      </c>
      <c r="D32" s="192">
        <f t="shared" si="2"/>
        <v>0</v>
      </c>
      <c r="E32" s="204"/>
      <c r="F32" s="261"/>
      <c r="G32" s="215"/>
      <c r="H32" s="201"/>
      <c r="I32" s="202"/>
      <c r="K32" s="181"/>
      <c r="N32" s="5"/>
      <c r="O32" s="267" t="s">
        <v>178</v>
      </c>
      <c r="P32" s="267" t="s">
        <v>252</v>
      </c>
      <c r="Q32" s="262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0">
        <f>'Données projet'!A46</f>
        <v>0</v>
      </c>
      <c r="B33" s="191">
        <f>'Données projet'!D46</f>
        <v>0</v>
      </c>
      <c r="C33" s="204">
        <v>0</v>
      </c>
      <c r="D33" s="192">
        <f t="shared" si="2"/>
        <v>0</v>
      </c>
      <c r="E33" s="204"/>
      <c r="F33" s="261"/>
      <c r="G33" s="215"/>
      <c r="H33" s="201"/>
      <c r="I33" s="202"/>
      <c r="K33" s="181"/>
      <c r="L33" s="5"/>
      <c r="M33" s="5"/>
      <c r="N33" s="5"/>
      <c r="O33" s="205">
        <v>0</v>
      </c>
      <c r="P33" s="195">
        <f t="shared" ref="P33:P64" si="3">$P$25/(1+$M$4)^O33</f>
        <v>0</v>
      </c>
      <c r="Q33" s="262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0">
        <f>'Données projet'!A47</f>
        <v>0</v>
      </c>
      <c r="B34" s="191">
        <f>'Données projet'!D47</f>
        <v>0</v>
      </c>
      <c r="C34" s="204">
        <v>0</v>
      </c>
      <c r="D34" s="192">
        <f t="shared" si="2"/>
        <v>0</v>
      </c>
      <c r="E34" s="204"/>
      <c r="F34" s="261"/>
      <c r="G34" s="215"/>
      <c r="H34" s="201"/>
      <c r="I34" s="202"/>
      <c r="K34" s="181"/>
      <c r="L34" s="281"/>
      <c r="M34" s="281"/>
      <c r="N34" s="282"/>
      <c r="O34" s="205">
        <f>IF(O33+1&lt;=MIN('Données projet'!$E$9:$E$18),O33+1,"STOP")</f>
        <v>1</v>
      </c>
      <c r="P34" s="195">
        <f t="shared" si="3"/>
        <v>0</v>
      </c>
      <c r="Q34" s="262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0">
        <f>'Données projet'!A48</f>
        <v>0</v>
      </c>
      <c r="B35" s="191">
        <f>'Données projet'!D48</f>
        <v>0</v>
      </c>
      <c r="C35" s="204">
        <v>0</v>
      </c>
      <c r="D35" s="192">
        <f t="shared" si="2"/>
        <v>0</v>
      </c>
      <c r="E35" s="204"/>
      <c r="F35" s="261"/>
      <c r="G35" s="215"/>
      <c r="H35" s="201"/>
      <c r="I35" s="202"/>
      <c r="K35" s="181"/>
      <c r="L35" s="281"/>
      <c r="M35" s="281"/>
      <c r="N35" s="282"/>
      <c r="O35" s="205">
        <f>IF(O34+1&lt;=MIN('Données projet'!$E$9:$E$18),O34+1,"STOP")</f>
        <v>2</v>
      </c>
      <c r="P35" s="195">
        <f t="shared" si="3"/>
        <v>0</v>
      </c>
      <c r="Q35" s="262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0">
        <f>'Données projet'!A49</f>
        <v>0</v>
      </c>
      <c r="B36" s="191">
        <f>'Données projet'!D49</f>
        <v>0</v>
      </c>
      <c r="C36" s="204">
        <v>0</v>
      </c>
      <c r="D36" s="192">
        <f t="shared" si="2"/>
        <v>0</v>
      </c>
      <c r="E36" s="204"/>
      <c r="F36" s="261"/>
      <c r="G36" s="215"/>
      <c r="H36" s="201"/>
      <c r="I36" s="202"/>
      <c r="K36" s="181"/>
      <c r="L36" s="25"/>
      <c r="M36" s="25"/>
      <c r="N36" s="25"/>
      <c r="O36" s="205">
        <f>IF(O35+1&lt;=MIN('Données projet'!$E$9:$E$18),O35+1,"STOP")</f>
        <v>3</v>
      </c>
      <c r="P36" s="195">
        <f t="shared" si="3"/>
        <v>0</v>
      </c>
      <c r="Q36" s="262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0">
        <f>'Données projet'!A50</f>
        <v>0</v>
      </c>
      <c r="B37" s="191">
        <f>'Données projet'!D50</f>
        <v>0</v>
      </c>
      <c r="C37" s="204">
        <v>0</v>
      </c>
      <c r="D37" s="192">
        <f t="shared" si="2"/>
        <v>0</v>
      </c>
      <c r="E37" s="204"/>
      <c r="F37" s="261"/>
      <c r="G37" s="215"/>
      <c r="H37" s="201"/>
      <c r="I37" s="202"/>
      <c r="K37" s="181"/>
      <c r="L37" s="25"/>
      <c r="M37" s="25"/>
      <c r="N37" s="25"/>
      <c r="O37" s="205">
        <f>IF(O36+1&lt;=MIN('Données projet'!$E$9:$E$18),O36+1,"STOP")</f>
        <v>4</v>
      </c>
      <c r="P37" s="195">
        <f t="shared" si="3"/>
        <v>0</v>
      </c>
      <c r="Q37" s="262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0">
        <f>'Données projet'!A51</f>
        <v>0</v>
      </c>
      <c r="B38" s="191">
        <f>'Données projet'!D51</f>
        <v>0</v>
      </c>
      <c r="C38" s="204">
        <v>0</v>
      </c>
      <c r="D38" s="192">
        <f t="shared" si="2"/>
        <v>0</v>
      </c>
      <c r="E38" s="204"/>
      <c r="F38" s="261"/>
      <c r="G38" s="215"/>
      <c r="H38" s="201"/>
      <c r="I38" s="202"/>
      <c r="K38" s="181"/>
      <c r="L38" s="25"/>
      <c r="M38" s="25"/>
      <c r="N38" s="25"/>
      <c r="O38" s="205">
        <f>IF(O37+1&lt;=MIN('Données projet'!$E$9:$E$18),O37+1,"STOP")</f>
        <v>5</v>
      </c>
      <c r="P38" s="195">
        <f t="shared" si="3"/>
        <v>0</v>
      </c>
      <c r="Q38" s="262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0">
        <f>'Données projet'!A52</f>
        <v>0</v>
      </c>
      <c r="B39" s="191">
        <f>'Données projet'!D52</f>
        <v>0</v>
      </c>
      <c r="C39" s="204">
        <v>0</v>
      </c>
      <c r="D39" s="192">
        <f t="shared" si="2"/>
        <v>0</v>
      </c>
      <c r="E39" s="204"/>
      <c r="F39" s="261"/>
      <c r="G39" s="215"/>
      <c r="H39" s="201"/>
      <c r="I39" s="202"/>
      <c r="K39" s="222"/>
      <c r="L39" s="25"/>
      <c r="M39" s="25"/>
      <c r="N39" s="25"/>
      <c r="O39" s="205">
        <f>IF(O38+1&lt;=MIN('Données projet'!$E$9:$E$18),O38+1,"STOP")</f>
        <v>6</v>
      </c>
      <c r="P39" s="195">
        <f t="shared" si="3"/>
        <v>0</v>
      </c>
      <c r="Q39" s="262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0">
        <f>'Données projet'!A53</f>
        <v>0</v>
      </c>
      <c r="B40" s="191">
        <f>'Données projet'!D53</f>
        <v>0</v>
      </c>
      <c r="C40" s="204">
        <v>0</v>
      </c>
      <c r="D40" s="192">
        <f t="shared" si="2"/>
        <v>0</v>
      </c>
      <c r="E40" s="204"/>
      <c r="F40" s="261"/>
      <c r="G40" s="215"/>
      <c r="H40" s="201"/>
      <c r="I40" s="202"/>
      <c r="K40" s="222"/>
      <c r="L40" s="25"/>
      <c r="M40" s="25"/>
      <c r="N40" s="25"/>
      <c r="O40" s="205">
        <f>IF(O39+1&lt;=MIN('Données projet'!$E$9:$E$18),O39+1,"STOP")</f>
        <v>7</v>
      </c>
      <c r="P40" s="195">
        <f t="shared" si="3"/>
        <v>0</v>
      </c>
      <c r="Q40" s="262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0">
        <f>'Données projet'!A54</f>
        <v>0</v>
      </c>
      <c r="B41" s="191">
        <f>'Données projet'!D54</f>
        <v>0</v>
      </c>
      <c r="C41" s="204">
        <v>0</v>
      </c>
      <c r="D41" s="192">
        <f t="shared" si="2"/>
        <v>0</v>
      </c>
      <c r="E41" s="204"/>
      <c r="F41" s="261"/>
      <c r="G41" s="215"/>
      <c r="H41" s="201"/>
      <c r="I41" s="202"/>
      <c r="K41" s="222"/>
      <c r="L41" s="25"/>
      <c r="M41" s="25"/>
      <c r="N41" s="25"/>
      <c r="O41" s="205">
        <f>IF(O40+1&lt;=MIN('Données projet'!$E$9:$E$18),O40+1,"STOP")</f>
        <v>8</v>
      </c>
      <c r="P41" s="195">
        <f t="shared" si="3"/>
        <v>0</v>
      </c>
      <c r="Q41" s="262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0">
        <f>'Données projet'!A55</f>
        <v>0</v>
      </c>
      <c r="B42" s="191">
        <f>'Données projet'!D55</f>
        <v>0</v>
      </c>
      <c r="C42" s="204">
        <v>0</v>
      </c>
      <c r="D42" s="192">
        <f t="shared" si="2"/>
        <v>0</v>
      </c>
      <c r="E42" s="204"/>
      <c r="F42" s="261"/>
      <c r="G42" s="215"/>
      <c r="H42" s="201"/>
      <c r="I42" s="202"/>
      <c r="K42" s="222"/>
      <c r="L42" s="25"/>
      <c r="M42" s="25"/>
      <c r="N42" s="25"/>
      <c r="O42" s="205">
        <f>IF(O41+1&lt;=MIN('Données projet'!$E$9:$E$18),O41+1,"STOP")</f>
        <v>9</v>
      </c>
      <c r="P42" s="195">
        <f t="shared" si="3"/>
        <v>0</v>
      </c>
      <c r="Q42" s="262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7"/>
      <c r="B43" s="197"/>
      <c r="C43" s="197"/>
      <c r="D43" s="253"/>
      <c r="E43" s="253"/>
      <c r="F43" s="266"/>
      <c r="G43" s="215"/>
      <c r="H43" s="201"/>
      <c r="I43" s="202"/>
      <c r="K43" s="222"/>
      <c r="L43" s="25"/>
      <c r="M43" s="25"/>
      <c r="N43" s="25"/>
      <c r="O43" s="205">
        <f>IF(O42+1&lt;=MIN('Données projet'!$E$9:$E$18),O42+1,"STOP")</f>
        <v>10</v>
      </c>
      <c r="P43" s="195">
        <f t="shared" si="3"/>
        <v>0</v>
      </c>
      <c r="Q43" s="263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58"/>
      <c r="G44" s="215"/>
      <c r="H44" s="201"/>
      <c r="I44" s="202"/>
      <c r="K44" s="222"/>
      <c r="L44" s="25"/>
      <c r="M44" s="25"/>
      <c r="N44" s="25"/>
      <c r="O44" s="205">
        <f>IF(O43+1&lt;=MIN('Données projet'!$E$9:$E$18),O43+1,"STOP")</f>
        <v>11</v>
      </c>
      <c r="P44" s="195">
        <f t="shared" si="3"/>
        <v>0</v>
      </c>
      <c r="Q44" s="263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4" t="str">
        <f>IF('Données projet'!$B$10="","",'Données projet'!$B$10)</f>
        <v>Chêne pubescent</v>
      </c>
      <c r="C45" s="5"/>
      <c r="D45" s="5"/>
      <c r="E45" s="5"/>
      <c r="F45" s="258"/>
      <c r="G45" s="215"/>
      <c r="H45" s="201"/>
      <c r="I45" s="202"/>
      <c r="J45" s="25"/>
      <c r="K45" s="222"/>
      <c r="L45" s="25"/>
      <c r="M45" s="25"/>
      <c r="N45" s="25"/>
      <c r="O45" s="205">
        <f>IF(O44+1&lt;=MIN('Données projet'!$E$9:$E$18),O44+1,"STOP")</f>
        <v>12</v>
      </c>
      <c r="P45" s="195">
        <f t="shared" si="3"/>
        <v>0</v>
      </c>
      <c r="Q45" s="263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58"/>
      <c r="G46" s="215"/>
      <c r="H46" s="201"/>
      <c r="I46" s="202"/>
      <c r="J46" s="25"/>
      <c r="K46" s="222"/>
      <c r="L46" s="217"/>
      <c r="M46" s="217"/>
      <c r="N46" s="217"/>
      <c r="O46" s="205">
        <f>IF(O45+1&lt;=MIN('Données projet'!$E$9:$E$18),O45+1,"STOP")</f>
        <v>13</v>
      </c>
      <c r="P46" s="198">
        <f t="shared" si="3"/>
        <v>0</v>
      </c>
      <c r="Q46" s="263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4" t="s">
        <v>180</v>
      </c>
      <c r="B47" s="51" t="s">
        <v>256</v>
      </c>
      <c r="C47" s="51" t="s">
        <v>255</v>
      </c>
      <c r="D47" s="254" t="s">
        <v>252</v>
      </c>
      <c r="E47" s="254" t="s">
        <v>320</v>
      </c>
      <c r="F47" s="259"/>
      <c r="G47" s="215"/>
      <c r="H47" s="201"/>
      <c r="I47" s="202"/>
      <c r="J47" s="25"/>
      <c r="K47" s="222"/>
      <c r="L47" s="5"/>
      <c r="M47" s="5"/>
      <c r="N47" s="5"/>
      <c r="O47" s="205">
        <f>IF(O46+1&lt;=MIN('Données projet'!$E$9:$E$18),O46+1,"STOP")</f>
        <v>14</v>
      </c>
      <c r="P47" s="195">
        <f t="shared" si="3"/>
        <v>0</v>
      </c>
      <c r="Q47" s="263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07">
        <v>0</v>
      </c>
      <c r="B48" s="210" t="s">
        <v>132</v>
      </c>
      <c r="C48" s="209" t="s">
        <v>132</v>
      </c>
      <c r="D48" s="208" t="s">
        <v>132</v>
      </c>
      <c r="E48" s="204"/>
      <c r="F48" s="259"/>
      <c r="G48" s="215"/>
      <c r="H48" s="201"/>
      <c r="I48" s="202"/>
      <c r="J48" s="25"/>
      <c r="K48" s="222"/>
      <c r="L48" s="5"/>
      <c r="M48" s="5"/>
      <c r="N48" s="5"/>
      <c r="O48" s="205">
        <f>IF(O47+1&lt;=MIN('Données projet'!$E$9:$E$18),O47+1,"STOP")</f>
        <v>15</v>
      </c>
      <c r="P48" s="195">
        <f t="shared" si="3"/>
        <v>0</v>
      </c>
      <c r="Q48" s="263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6" customFormat="1" ht="17.25" customHeight="1" x14ac:dyDescent="0.3">
      <c r="A49" s="207">
        <v>1</v>
      </c>
      <c r="B49" s="210" t="s">
        <v>132</v>
      </c>
      <c r="C49" s="209" t="s">
        <v>132</v>
      </c>
      <c r="D49" s="208" t="s">
        <v>132</v>
      </c>
      <c r="E49" s="204"/>
      <c r="F49" s="259"/>
      <c r="G49" s="216"/>
      <c r="H49" s="201"/>
      <c r="I49" s="202"/>
      <c r="J49" s="217"/>
      <c r="K49" s="224"/>
      <c r="L49" s="5"/>
      <c r="M49" s="5"/>
      <c r="N49" s="5"/>
      <c r="O49" s="205">
        <f>IF(O48+1&lt;=MIN('Données projet'!$E$9:$E$18),O48+1,"STOP")</f>
        <v>16</v>
      </c>
      <c r="P49" s="195">
        <f t="shared" si="3"/>
        <v>0</v>
      </c>
      <c r="Q49" s="264"/>
      <c r="R49" s="197"/>
      <c r="S49" s="197"/>
      <c r="T49" s="197"/>
      <c r="U49" s="197"/>
      <c r="V49" s="197"/>
      <c r="W49" s="197"/>
      <c r="X49" s="197"/>
      <c r="Y49" s="197"/>
      <c r="Z49" s="197"/>
      <c r="AA49" s="197"/>
      <c r="AB49" s="197"/>
      <c r="AC49" s="197"/>
      <c r="AD49" s="197"/>
      <c r="AE49" s="197"/>
      <c r="AF49" s="197"/>
      <c r="AG49" s="197"/>
      <c r="AH49" s="197"/>
      <c r="AI49" s="197"/>
      <c r="AJ49" s="197"/>
      <c r="AK49" s="197"/>
      <c r="AL49" s="197"/>
      <c r="AM49" s="197"/>
      <c r="AN49" s="197"/>
      <c r="AO49" s="197"/>
      <c r="AP49" s="197"/>
      <c r="AQ49" s="197"/>
      <c r="AR49" s="197"/>
      <c r="AS49" s="197"/>
      <c r="AT49" s="197"/>
      <c r="AU49" s="197"/>
      <c r="AV49" s="197"/>
      <c r="AW49" s="197"/>
      <c r="AX49" s="197"/>
      <c r="AY49" s="197"/>
      <c r="AZ49" s="197"/>
      <c r="BA49" s="197"/>
      <c r="BB49" s="197"/>
      <c r="BC49" s="197"/>
      <c r="BD49" s="197"/>
    </row>
    <row r="50" spans="1:56" x14ac:dyDescent="0.3">
      <c r="A50" s="207">
        <v>2</v>
      </c>
      <c r="B50" s="210" t="s">
        <v>132</v>
      </c>
      <c r="C50" s="209" t="s">
        <v>132</v>
      </c>
      <c r="D50" s="208" t="s">
        <v>132</v>
      </c>
      <c r="E50" s="204"/>
      <c r="F50" s="259"/>
      <c r="G50" s="218"/>
      <c r="H50" s="201"/>
      <c r="I50" s="202"/>
      <c r="J50" s="25"/>
      <c r="K50" s="181"/>
      <c r="L50" s="5"/>
      <c r="M50" s="5"/>
      <c r="N50" s="5"/>
      <c r="O50" s="205" t="str">
        <f>IF(O49+1&lt;=MIN('Données projet'!$E$9:$E$18),O49+1,"STOP")</f>
        <v>STOP</v>
      </c>
      <c r="P50" s="195" t="e">
        <f t="shared" si="3"/>
        <v>#VALUE!</v>
      </c>
      <c r="Q50" s="263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07">
        <v>3</v>
      </c>
      <c r="B51" s="210" t="s">
        <v>132</v>
      </c>
      <c r="C51" s="209" t="s">
        <v>132</v>
      </c>
      <c r="D51" s="208" t="s">
        <v>132</v>
      </c>
      <c r="E51" s="204"/>
      <c r="F51" s="259"/>
      <c r="G51" s="218"/>
      <c r="H51" s="201"/>
      <c r="I51" s="202"/>
      <c r="J51" s="25"/>
      <c r="K51" s="181"/>
      <c r="L51" s="5"/>
      <c r="M51" s="5"/>
      <c r="N51" s="5"/>
      <c r="O51" s="205" t="e">
        <f>IF(O50+1&lt;=MIN('Données projet'!$E$9:$E$18),O50+1,"STOP")</f>
        <v>#VALUE!</v>
      </c>
      <c r="P51" s="195" t="e">
        <f t="shared" si="3"/>
        <v>#VALUE!</v>
      </c>
      <c r="Q51" s="263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07">
        <v>4</v>
      </c>
      <c r="B52" s="210" t="s">
        <v>132</v>
      </c>
      <c r="C52" s="209" t="s">
        <v>132</v>
      </c>
      <c r="D52" s="208" t="s">
        <v>132</v>
      </c>
      <c r="E52" s="204"/>
      <c r="F52" s="259"/>
      <c r="G52" s="218"/>
      <c r="H52" s="201"/>
      <c r="I52" s="202"/>
      <c r="J52" s="25"/>
      <c r="K52" s="181"/>
      <c r="L52" s="5"/>
      <c r="M52" s="5"/>
      <c r="N52" s="5"/>
      <c r="O52" s="205" t="e">
        <f>IF(O51+1&lt;=MIN('Données projet'!$E$9:$E$18),O51+1,"STOP")</f>
        <v>#VALUE!</v>
      </c>
      <c r="P52" s="195" t="e">
        <f t="shared" si="3"/>
        <v>#VALUE!</v>
      </c>
      <c r="Q52" s="263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07">
        <v>5</v>
      </c>
      <c r="B53" s="210" t="s">
        <v>132</v>
      </c>
      <c r="C53" s="209" t="s">
        <v>132</v>
      </c>
      <c r="D53" s="208" t="s">
        <v>132</v>
      </c>
      <c r="E53" s="204"/>
      <c r="F53" s="259"/>
      <c r="G53" s="219"/>
      <c r="H53" s="201"/>
      <c r="I53" s="202"/>
      <c r="J53" s="25"/>
      <c r="K53" s="181"/>
      <c r="L53" s="5"/>
      <c r="M53" s="5"/>
      <c r="N53" s="5"/>
      <c r="O53" s="205" t="e">
        <f>IF(O52+1&lt;=MIN('Données projet'!$E$9:$E$18),O52+1,"STOP")</f>
        <v>#VALUE!</v>
      </c>
      <c r="P53" s="195" t="e">
        <f t="shared" si="3"/>
        <v>#VALUE!</v>
      </c>
      <c r="Q53" s="263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0">
        <f>'Données projet'!A62</f>
        <v>20</v>
      </c>
      <c r="B54" s="191">
        <f>'Données projet'!D62</f>
        <v>0</v>
      </c>
      <c r="C54" s="202">
        <v>0</v>
      </c>
      <c r="D54" s="189">
        <f>B54*C54</f>
        <v>0</v>
      </c>
      <c r="E54" s="204"/>
      <c r="F54" s="260"/>
      <c r="G54" s="219"/>
      <c r="H54" s="201"/>
      <c r="I54" s="202"/>
      <c r="J54" s="25"/>
      <c r="K54" s="181"/>
      <c r="L54" s="5"/>
      <c r="M54" s="5"/>
      <c r="N54" s="5"/>
      <c r="O54" s="205" t="e">
        <f>IF(O53+1&lt;=MIN('Données projet'!$E$9:$E$18),O53+1,"STOP")</f>
        <v>#VALUE!</v>
      </c>
      <c r="P54" s="195" t="e">
        <f t="shared" si="3"/>
        <v>#VALUE!</v>
      </c>
      <c r="Q54" s="263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0">
        <f>'Données projet'!A63</f>
        <v>25</v>
      </c>
      <c r="B55" s="191">
        <f>'Données projet'!D63</f>
        <v>0</v>
      </c>
      <c r="C55" s="204">
        <v>0</v>
      </c>
      <c r="D55" s="189">
        <f t="shared" ref="D55:D73" si="4">B55*C55</f>
        <v>0</v>
      </c>
      <c r="E55" s="204"/>
      <c r="F55" s="260"/>
      <c r="G55" s="219"/>
      <c r="H55" s="201"/>
      <c r="I55" s="202"/>
      <c r="J55" s="25"/>
      <c r="K55" s="181"/>
      <c r="L55" s="5"/>
      <c r="M55" s="5"/>
      <c r="N55" s="5"/>
      <c r="O55" s="205" t="e">
        <f>IF(O54+1&lt;=MIN('Données projet'!$E$9:$E$18),O54+1,"STOP")</f>
        <v>#VALUE!</v>
      </c>
      <c r="P55" s="195" t="e">
        <f t="shared" si="3"/>
        <v>#VALUE!</v>
      </c>
      <c r="Q55" s="263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0">
        <f>'Données projet'!A64</f>
        <v>30</v>
      </c>
      <c r="B56" s="191">
        <f>'Données projet'!D64</f>
        <v>29</v>
      </c>
      <c r="C56" s="204">
        <v>10</v>
      </c>
      <c r="D56" s="189">
        <f t="shared" si="4"/>
        <v>290</v>
      </c>
      <c r="E56" s="204"/>
      <c r="F56" s="260"/>
      <c r="G56" s="219"/>
      <c r="H56" s="201"/>
      <c r="I56" s="202"/>
      <c r="J56" s="25"/>
      <c r="K56" s="181"/>
      <c r="L56" s="5"/>
      <c r="M56" s="5"/>
      <c r="N56" s="5"/>
      <c r="O56" s="205" t="e">
        <f>IF(O55+1&lt;=MIN('Données projet'!$E$9:$E$18),O55+1,"STOP")</f>
        <v>#VALUE!</v>
      </c>
      <c r="P56" s="195" t="e">
        <f t="shared" si="3"/>
        <v>#VALUE!</v>
      </c>
      <c r="Q56" s="263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0">
        <f>'Données projet'!A65</f>
        <v>35</v>
      </c>
      <c r="B57" s="191">
        <f>'Données projet'!D65</f>
        <v>0</v>
      </c>
      <c r="C57" s="204">
        <v>0</v>
      </c>
      <c r="D57" s="189">
        <f t="shared" si="4"/>
        <v>0</v>
      </c>
      <c r="E57" s="204"/>
      <c r="F57" s="260"/>
      <c r="G57" s="219"/>
      <c r="H57" s="201"/>
      <c r="I57" s="202"/>
      <c r="J57" s="25"/>
      <c r="K57" s="181"/>
      <c r="L57" s="5"/>
      <c r="M57" s="5"/>
      <c r="N57" s="5"/>
      <c r="O57" s="205" t="e">
        <f>IF(O56+1&lt;=MIN('Données projet'!$E$9:$E$18),O56+1,"STOP")</f>
        <v>#VALUE!</v>
      </c>
      <c r="P57" s="195" t="e">
        <f t="shared" si="3"/>
        <v>#VALUE!</v>
      </c>
      <c r="Q57" s="263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0">
        <f>'Données projet'!A66</f>
        <v>40</v>
      </c>
      <c r="B58" s="191">
        <f>'Données projet'!D66</f>
        <v>42</v>
      </c>
      <c r="C58" s="204">
        <v>10</v>
      </c>
      <c r="D58" s="189">
        <f t="shared" si="4"/>
        <v>420</v>
      </c>
      <c r="E58" s="204"/>
      <c r="F58" s="260"/>
      <c r="G58" s="219"/>
      <c r="H58" s="201"/>
      <c r="I58" s="202"/>
      <c r="J58" s="25"/>
      <c r="K58" s="181"/>
      <c r="L58" s="5"/>
      <c r="M58" s="5"/>
      <c r="N58" s="5"/>
      <c r="O58" s="205" t="e">
        <f>IF(O57+1&lt;=MIN('Données projet'!$E$9:$E$18),O57+1,"STOP")</f>
        <v>#VALUE!</v>
      </c>
      <c r="P58" s="195" t="e">
        <f t="shared" si="3"/>
        <v>#VALUE!</v>
      </c>
      <c r="Q58" s="263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0">
        <f>'Données projet'!A67</f>
        <v>45</v>
      </c>
      <c r="B59" s="191">
        <f>'Données projet'!D67</f>
        <v>0</v>
      </c>
      <c r="C59" s="204">
        <v>0</v>
      </c>
      <c r="D59" s="189">
        <f t="shared" si="4"/>
        <v>0</v>
      </c>
      <c r="E59" s="204"/>
      <c r="F59" s="260"/>
      <c r="G59" s="219"/>
      <c r="H59" s="201"/>
      <c r="I59" s="202"/>
      <c r="J59" s="25"/>
      <c r="K59" s="181"/>
      <c r="L59" s="5"/>
      <c r="M59" s="5"/>
      <c r="N59" s="5"/>
      <c r="O59" s="205" t="e">
        <f>IF(O58+1&lt;=MIN('Données projet'!$E$9:$E$18),O58+1,"STOP")</f>
        <v>#VALUE!</v>
      </c>
      <c r="P59" s="195" t="e">
        <f t="shared" si="3"/>
        <v>#VALUE!</v>
      </c>
      <c r="Q59" s="263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0">
        <f>'Données projet'!A68</f>
        <v>50</v>
      </c>
      <c r="B60" s="191">
        <f>'Données projet'!D68</f>
        <v>42</v>
      </c>
      <c r="C60" s="204">
        <v>20</v>
      </c>
      <c r="D60" s="189">
        <f t="shared" si="4"/>
        <v>840</v>
      </c>
      <c r="E60" s="204"/>
      <c r="F60" s="260"/>
      <c r="G60" s="220"/>
      <c r="H60" s="201"/>
      <c r="I60" s="202"/>
      <c r="J60" s="25"/>
      <c r="K60" s="181"/>
      <c r="L60" s="5"/>
      <c r="M60" s="5"/>
      <c r="N60" s="5"/>
      <c r="O60" s="205" t="e">
        <f>IF(O59+1&lt;=MIN('Données projet'!$E$9:$E$18),O59+1,"STOP")</f>
        <v>#VALUE!</v>
      </c>
      <c r="P60" s="195" t="e">
        <f t="shared" si="3"/>
        <v>#VALUE!</v>
      </c>
      <c r="Q60" s="263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0">
        <f>'Données projet'!A69</f>
        <v>55</v>
      </c>
      <c r="B61" s="191">
        <f>'Données projet'!D69</f>
        <v>0</v>
      </c>
      <c r="C61" s="204">
        <v>0</v>
      </c>
      <c r="D61" s="189">
        <f t="shared" si="4"/>
        <v>0</v>
      </c>
      <c r="E61" s="204"/>
      <c r="F61" s="260"/>
      <c r="G61" s="220"/>
      <c r="H61" s="201"/>
      <c r="I61" s="202"/>
      <c r="J61" s="25"/>
      <c r="K61" s="181"/>
      <c r="L61" s="5"/>
      <c r="M61" s="5"/>
      <c r="N61" s="5"/>
      <c r="O61" s="205" t="e">
        <f>IF(O60+1&lt;=MIN('Données projet'!$E$9:$E$18),O60+1,"STOP")</f>
        <v>#VALUE!</v>
      </c>
      <c r="P61" s="195" t="e">
        <f t="shared" si="3"/>
        <v>#VALUE!</v>
      </c>
      <c r="Q61" s="263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0">
        <f>'Données projet'!A70</f>
        <v>60</v>
      </c>
      <c r="B62" s="191">
        <f>'Données projet'!D70</f>
        <v>42</v>
      </c>
      <c r="C62" s="204">
        <v>30</v>
      </c>
      <c r="D62" s="189">
        <f t="shared" si="4"/>
        <v>1260</v>
      </c>
      <c r="E62" s="204"/>
      <c r="F62" s="260"/>
      <c r="G62" s="220"/>
      <c r="H62" s="201"/>
      <c r="I62" s="202"/>
      <c r="J62" s="25"/>
      <c r="K62" s="181"/>
      <c r="L62" s="5"/>
      <c r="M62" s="5"/>
      <c r="N62" s="5"/>
      <c r="O62" s="205" t="e">
        <f>IF(O61+1&lt;=MIN('Données projet'!$E$9:$E$18),O61+1,"STOP")</f>
        <v>#VALUE!</v>
      </c>
      <c r="P62" s="195" t="e">
        <f t="shared" si="3"/>
        <v>#VALUE!</v>
      </c>
      <c r="Q62" s="263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0">
        <f>'Données projet'!A71</f>
        <v>65</v>
      </c>
      <c r="B63" s="191">
        <f>'Données projet'!D71</f>
        <v>0</v>
      </c>
      <c r="C63" s="204">
        <v>0</v>
      </c>
      <c r="D63" s="189">
        <f t="shared" si="4"/>
        <v>0</v>
      </c>
      <c r="E63" s="204"/>
      <c r="F63" s="260"/>
      <c r="G63" s="220"/>
      <c r="H63" s="201"/>
      <c r="I63" s="202"/>
      <c r="J63" s="25"/>
      <c r="K63" s="181"/>
      <c r="L63" s="5"/>
      <c r="M63" s="5"/>
      <c r="N63" s="5"/>
      <c r="O63" s="205" t="e">
        <f>IF(O62+1&lt;=MIN('Données projet'!$E$9:$E$18),O62+1,"STOP")</f>
        <v>#VALUE!</v>
      </c>
      <c r="P63" s="195" t="e">
        <f t="shared" si="3"/>
        <v>#VALUE!</v>
      </c>
      <c r="Q63" s="263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0">
        <f>'Données projet'!A72</f>
        <v>70</v>
      </c>
      <c r="B64" s="191">
        <f>'Données projet'!D72</f>
        <v>42</v>
      </c>
      <c r="C64" s="204">
        <v>40</v>
      </c>
      <c r="D64" s="189">
        <f t="shared" si="4"/>
        <v>1680</v>
      </c>
      <c r="E64" s="204"/>
      <c r="F64" s="260"/>
      <c r="G64" s="220"/>
      <c r="H64" s="201"/>
      <c r="I64" s="202"/>
      <c r="J64" s="221"/>
      <c r="K64" s="181"/>
      <c r="L64" s="5"/>
      <c r="M64" s="5"/>
      <c r="N64" s="5"/>
      <c r="O64" s="205" t="e">
        <f>IF(O63+1&lt;=MIN('Données projet'!$E$9:$E$18),O63+1,"STOP")</f>
        <v>#VALUE!</v>
      </c>
      <c r="P64" s="195" t="e">
        <f t="shared" si="3"/>
        <v>#VALUE!</v>
      </c>
      <c r="Q64" s="263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0">
        <f>'Données projet'!A73</f>
        <v>75</v>
      </c>
      <c r="B65" s="191">
        <f>'Données projet'!D73</f>
        <v>0</v>
      </c>
      <c r="C65" s="204">
        <v>0</v>
      </c>
      <c r="D65" s="189">
        <f t="shared" si="4"/>
        <v>0</v>
      </c>
      <c r="E65" s="204"/>
      <c r="F65" s="260"/>
      <c r="G65" s="220"/>
      <c r="H65" s="201"/>
      <c r="I65" s="202"/>
      <c r="J65" s="199"/>
      <c r="K65" s="181"/>
      <c r="L65" s="5"/>
      <c r="M65" s="5"/>
      <c r="N65" s="5"/>
      <c r="O65" s="205" t="e">
        <f>IF(O64+1&lt;=MIN('Données projet'!$E$9:$E$18),O64+1,"STOP")</f>
        <v>#VALUE!</v>
      </c>
      <c r="P65" s="195" t="e">
        <f t="shared" ref="P65:P96" si="5">$P$25/(1+$M$4)^O65</f>
        <v>#VALUE!</v>
      </c>
      <c r="Q65" s="263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0">
        <f>'Données projet'!A74</f>
        <v>80</v>
      </c>
      <c r="B66" s="191">
        <f>'Données projet'!D74</f>
        <v>42</v>
      </c>
      <c r="C66" s="204">
        <v>70</v>
      </c>
      <c r="D66" s="189">
        <f t="shared" si="4"/>
        <v>2940</v>
      </c>
      <c r="E66" s="204"/>
      <c r="F66" s="260"/>
      <c r="G66" s="220"/>
      <c r="H66" s="201"/>
      <c r="I66" s="202"/>
      <c r="J66" s="199"/>
      <c r="K66" s="181"/>
      <c r="L66" s="5"/>
      <c r="M66" s="5"/>
      <c r="N66" s="5"/>
      <c r="O66" s="205" t="e">
        <f>IF(O65+1&lt;=MIN('Données projet'!$E$9:$E$18),O65+1,"STOP")</f>
        <v>#VALUE!</v>
      </c>
      <c r="P66" s="195" t="e">
        <f t="shared" si="5"/>
        <v>#VALUE!</v>
      </c>
      <c r="Q66" s="263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0">
        <f>'Données projet'!A75</f>
        <v>90</v>
      </c>
      <c r="B67" s="191">
        <f>'Données projet'!D75</f>
        <v>42</v>
      </c>
      <c r="C67" s="204">
        <v>100</v>
      </c>
      <c r="D67" s="189">
        <f t="shared" si="4"/>
        <v>4200</v>
      </c>
      <c r="E67" s="204"/>
      <c r="F67" s="260"/>
      <c r="G67" s="220"/>
      <c r="H67" s="201"/>
      <c r="I67" s="202"/>
      <c r="J67" s="199"/>
      <c r="K67" s="181"/>
      <c r="L67" s="5"/>
      <c r="M67" s="5"/>
      <c r="N67" s="5"/>
      <c r="O67" s="205" t="e">
        <f>IF(O66+1&lt;=MIN('Données projet'!$E$9:$E$18),O66+1,"STOP")</f>
        <v>#VALUE!</v>
      </c>
      <c r="P67" s="195" t="e">
        <f t="shared" si="5"/>
        <v>#VALUE!</v>
      </c>
      <c r="Q67" s="263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0">
        <f>'Données projet'!A76</f>
        <v>100</v>
      </c>
      <c r="B68" s="191">
        <f>'Données projet'!D76</f>
        <v>42</v>
      </c>
      <c r="C68" s="204">
        <v>110</v>
      </c>
      <c r="D68" s="189">
        <f t="shared" si="4"/>
        <v>4620</v>
      </c>
      <c r="E68" s="204"/>
      <c r="F68" s="260"/>
      <c r="G68" s="220"/>
      <c r="H68" s="201"/>
      <c r="I68" s="202"/>
      <c r="J68" s="199"/>
      <c r="K68" s="181"/>
      <c r="L68" s="5"/>
      <c r="M68" s="5"/>
      <c r="N68" s="5"/>
      <c r="O68" s="205" t="e">
        <f>IF(O67+1&lt;=MIN('Données projet'!$E$9:$E$18),O67+1,"STOP")</f>
        <v>#VALUE!</v>
      </c>
      <c r="P68" s="195" t="e">
        <f t="shared" si="5"/>
        <v>#VALUE!</v>
      </c>
      <c r="Q68" s="263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0">
        <f>'Données projet'!A77</f>
        <v>110</v>
      </c>
      <c r="B69" s="191">
        <f>'Données projet'!D77</f>
        <v>39</v>
      </c>
      <c r="C69" s="204">
        <v>120</v>
      </c>
      <c r="D69" s="189">
        <f t="shared" si="4"/>
        <v>4680</v>
      </c>
      <c r="E69" s="204"/>
      <c r="F69" s="260"/>
      <c r="G69" s="220"/>
      <c r="H69" s="201"/>
      <c r="I69" s="202"/>
      <c r="J69" s="199"/>
      <c r="K69" s="181"/>
      <c r="L69" s="5"/>
      <c r="M69" s="5"/>
      <c r="N69" s="5"/>
      <c r="O69" s="205" t="e">
        <f>IF(O68+1&lt;=MIN('Données projet'!$E$9:$E$18),O68+1,"STOP")</f>
        <v>#VALUE!</v>
      </c>
      <c r="P69" s="195" t="e">
        <f t="shared" si="5"/>
        <v>#VALUE!</v>
      </c>
      <c r="Q69" s="263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0">
        <f>'Données projet'!A78</f>
        <v>120</v>
      </c>
      <c r="B70" s="191">
        <f>'Données projet'!D78</f>
        <v>35</v>
      </c>
      <c r="C70" s="204">
        <v>130</v>
      </c>
      <c r="D70" s="189">
        <f t="shared" si="4"/>
        <v>4550</v>
      </c>
      <c r="E70" s="204"/>
      <c r="F70" s="260"/>
      <c r="G70" s="220"/>
      <c r="H70" s="201"/>
      <c r="I70" s="202"/>
      <c r="J70" s="199"/>
      <c r="K70" s="181"/>
      <c r="L70" s="5"/>
      <c r="M70" s="5"/>
      <c r="N70" s="5"/>
      <c r="O70" s="205" t="e">
        <f>IF(O69+1&lt;=MIN('Données projet'!$E$9:$E$18),O69+1,"STOP")</f>
        <v>#VALUE!</v>
      </c>
      <c r="P70" s="195" t="e">
        <f t="shared" si="5"/>
        <v>#VALUE!</v>
      </c>
      <c r="Q70" s="263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0">
        <f>'Données projet'!A79</f>
        <v>130</v>
      </c>
      <c r="B71" s="191">
        <f>'Données projet'!D79</f>
        <v>31</v>
      </c>
      <c r="C71" s="204">
        <v>140</v>
      </c>
      <c r="D71" s="189">
        <f t="shared" si="4"/>
        <v>4340</v>
      </c>
      <c r="E71" s="204"/>
      <c r="F71" s="260"/>
      <c r="G71" s="220"/>
      <c r="H71" s="201"/>
      <c r="I71" s="202"/>
      <c r="J71" s="199"/>
      <c r="K71" s="181"/>
      <c r="L71" s="5"/>
      <c r="M71" s="5"/>
      <c r="N71" s="5"/>
      <c r="O71" s="205" t="e">
        <f>IF(O70+1&lt;=MIN('Données projet'!$E$9:$E$18),O70+1,"STOP")</f>
        <v>#VALUE!</v>
      </c>
      <c r="P71" s="195" t="e">
        <f t="shared" si="5"/>
        <v>#VALUE!</v>
      </c>
      <c r="Q71" s="263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0">
        <f>'Données projet'!A80</f>
        <v>140</v>
      </c>
      <c r="B72" s="191">
        <f>'Données projet'!D80</f>
        <v>27</v>
      </c>
      <c r="C72" s="204">
        <v>160</v>
      </c>
      <c r="D72" s="189">
        <f t="shared" si="4"/>
        <v>4320</v>
      </c>
      <c r="E72" s="204"/>
      <c r="F72" s="260"/>
      <c r="G72" s="220"/>
      <c r="H72" s="201"/>
      <c r="I72" s="202"/>
      <c r="J72" s="5"/>
      <c r="K72" s="181"/>
      <c r="L72" s="5"/>
      <c r="M72" s="5"/>
      <c r="N72" s="5"/>
      <c r="O72" s="205" t="e">
        <f>IF(O71+1&lt;=MIN('Données projet'!$E$9:$E$18),O71+1,"STOP")</f>
        <v>#VALUE!</v>
      </c>
      <c r="P72" s="195" t="e">
        <f t="shared" si="5"/>
        <v>#VALUE!</v>
      </c>
      <c r="Q72" s="263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0">
        <f>'Données projet'!A81</f>
        <v>150</v>
      </c>
      <c r="B73" s="191">
        <f>'Données projet'!D81</f>
        <v>293</v>
      </c>
      <c r="C73" s="204">
        <v>200</v>
      </c>
      <c r="D73" s="189">
        <f t="shared" si="4"/>
        <v>58600</v>
      </c>
      <c r="E73" s="204"/>
      <c r="F73" s="260"/>
      <c r="G73" s="220"/>
      <c r="H73" s="201"/>
      <c r="I73" s="202"/>
      <c r="J73" s="5"/>
      <c r="K73" s="181"/>
      <c r="L73" s="5"/>
      <c r="M73" s="5"/>
      <c r="N73" s="5"/>
      <c r="O73" s="205" t="e">
        <f>IF(O72+1&lt;=MIN('Données projet'!$E$9:$E$18),O72+1,"STOP")</f>
        <v>#VALUE!</v>
      </c>
      <c r="P73" s="195" t="e">
        <f t="shared" si="5"/>
        <v>#VALUE!</v>
      </c>
      <c r="Q73" s="263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58"/>
      <c r="G74" s="220"/>
      <c r="H74" s="201"/>
      <c r="I74" s="202"/>
      <c r="J74" s="5"/>
      <c r="K74" s="181"/>
      <c r="L74" s="5"/>
      <c r="M74" s="5"/>
      <c r="N74" s="5"/>
      <c r="O74" s="205" t="e">
        <f>IF(O73+1&lt;=MIN('Données projet'!$E$9:$E$18),O73+1,"STOP")</f>
        <v>#VALUE!</v>
      </c>
      <c r="P74" s="195" t="e">
        <f t="shared" si="5"/>
        <v>#VALUE!</v>
      </c>
      <c r="Q74" s="263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58"/>
      <c r="G75" s="220"/>
      <c r="H75" s="201"/>
      <c r="I75" s="202"/>
      <c r="J75" s="5"/>
      <c r="K75" s="181"/>
      <c r="L75" s="5"/>
      <c r="M75" s="5"/>
      <c r="N75" s="5"/>
      <c r="O75" s="205" t="e">
        <f>IF(O74+1&lt;=MIN('Données projet'!$E$9:$E$18),O74+1,"STOP")</f>
        <v>#VALUE!</v>
      </c>
      <c r="P75" s="195" t="e">
        <f t="shared" si="5"/>
        <v>#VALUE!</v>
      </c>
      <c r="Q75" s="263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4" t="str">
        <f>IF('Données projet'!B11="","",'Données projet'!B11)</f>
        <v>Pin maritime</v>
      </c>
      <c r="C76" s="5"/>
      <c r="D76" s="5"/>
      <c r="E76" s="5"/>
      <c r="F76" s="258"/>
      <c r="G76" s="220"/>
      <c r="H76" s="201"/>
      <c r="I76" s="202"/>
      <c r="J76" s="5"/>
      <c r="K76" s="181"/>
      <c r="L76" s="5"/>
      <c r="M76" s="5"/>
      <c r="N76" s="5"/>
      <c r="O76" s="205" t="e">
        <f>IF(O75+1&lt;=MIN('Données projet'!$E$9:$E$18),O75+1,"STOP")</f>
        <v>#VALUE!</v>
      </c>
      <c r="P76" s="195" t="e">
        <f t="shared" si="5"/>
        <v>#VALUE!</v>
      </c>
      <c r="Q76" s="263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58"/>
      <c r="G77" s="220"/>
      <c r="H77" s="201"/>
      <c r="I77" s="202"/>
      <c r="J77" s="5"/>
      <c r="K77" s="181"/>
      <c r="L77" s="5"/>
      <c r="M77" s="5"/>
      <c r="N77" s="5"/>
      <c r="O77" s="205" t="e">
        <f>IF(O76+1&lt;=MIN('Données projet'!$E$9:$E$18),O76+1,"STOP")</f>
        <v>#VALUE!</v>
      </c>
      <c r="P77" s="195" t="e">
        <f t="shared" si="5"/>
        <v>#VALUE!</v>
      </c>
      <c r="Q77" s="263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4" t="s">
        <v>180</v>
      </c>
      <c r="B78" s="51" t="s">
        <v>256</v>
      </c>
      <c r="C78" s="51" t="s">
        <v>255</v>
      </c>
      <c r="D78" s="254" t="s">
        <v>252</v>
      </c>
      <c r="E78" s="254" t="s">
        <v>320</v>
      </c>
      <c r="F78" s="259"/>
      <c r="G78" s="220"/>
      <c r="H78" s="201"/>
      <c r="I78" s="202"/>
      <c r="J78" s="5"/>
      <c r="K78" s="181"/>
      <c r="L78" s="5"/>
      <c r="M78" s="5"/>
      <c r="N78" s="5"/>
      <c r="O78" s="205" t="e">
        <f>IF(O77+1&lt;=MIN('Données projet'!$E$9:$E$18),O77+1,"STOP")</f>
        <v>#VALUE!</v>
      </c>
      <c r="P78" s="195" t="e">
        <f t="shared" si="5"/>
        <v>#VALUE!</v>
      </c>
      <c r="Q78" s="263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07">
        <v>0</v>
      </c>
      <c r="B79" s="210" t="s">
        <v>132</v>
      </c>
      <c r="C79" s="209" t="s">
        <v>132</v>
      </c>
      <c r="D79" s="208" t="s">
        <v>132</v>
      </c>
      <c r="E79" s="204"/>
      <c r="F79" s="259"/>
      <c r="G79" s="220"/>
      <c r="H79" s="201"/>
      <c r="I79" s="202"/>
      <c r="J79" s="5"/>
      <c r="K79" s="181"/>
      <c r="L79" s="5"/>
      <c r="M79" s="5"/>
      <c r="N79" s="5"/>
      <c r="O79" s="205" t="e">
        <f>IF(O78+1&lt;=MIN('Données projet'!$E$9:$E$18),O78+1,"STOP")</f>
        <v>#VALUE!</v>
      </c>
      <c r="P79" s="195" t="e">
        <f t="shared" si="5"/>
        <v>#VALUE!</v>
      </c>
      <c r="Q79" s="263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07">
        <v>1</v>
      </c>
      <c r="B80" s="210" t="s">
        <v>132</v>
      </c>
      <c r="C80" s="209" t="s">
        <v>132</v>
      </c>
      <c r="D80" s="208" t="s">
        <v>132</v>
      </c>
      <c r="E80" s="204"/>
      <c r="F80" s="259"/>
      <c r="G80" s="218"/>
      <c r="H80" s="201"/>
      <c r="I80" s="202"/>
      <c r="J80" s="5"/>
      <c r="K80" s="181"/>
      <c r="L80" s="5"/>
      <c r="M80" s="5"/>
      <c r="N80" s="5"/>
      <c r="O80" s="205" t="e">
        <f>IF(O79+1&lt;=MIN('Données projet'!$E$9:$E$18),O79+1,"STOP")</f>
        <v>#VALUE!</v>
      </c>
      <c r="P80" s="195" t="e">
        <f t="shared" si="5"/>
        <v>#VALUE!</v>
      </c>
      <c r="Q80" s="263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07">
        <v>2</v>
      </c>
      <c r="B81" s="210" t="s">
        <v>132</v>
      </c>
      <c r="C81" s="209" t="s">
        <v>132</v>
      </c>
      <c r="D81" s="208" t="s">
        <v>132</v>
      </c>
      <c r="E81" s="204"/>
      <c r="F81" s="259"/>
      <c r="G81" s="218"/>
      <c r="H81" s="201"/>
      <c r="I81" s="202"/>
      <c r="J81" s="5"/>
      <c r="K81" s="181"/>
      <c r="L81" s="5"/>
      <c r="M81" s="5"/>
      <c r="N81" s="5"/>
      <c r="O81" s="205" t="e">
        <f>IF(O80+1&lt;=MIN('Données projet'!$E$9:$E$18),O80+1,"STOP")</f>
        <v>#VALUE!</v>
      </c>
      <c r="P81" s="195" t="e">
        <f t="shared" si="5"/>
        <v>#VALUE!</v>
      </c>
      <c r="Q81" s="263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07">
        <v>3</v>
      </c>
      <c r="B82" s="210" t="s">
        <v>132</v>
      </c>
      <c r="C82" s="209" t="s">
        <v>132</v>
      </c>
      <c r="D82" s="208" t="s">
        <v>132</v>
      </c>
      <c r="E82" s="204"/>
      <c r="F82" s="259"/>
      <c r="G82" s="218"/>
      <c r="H82" s="201"/>
      <c r="I82" s="202"/>
      <c r="J82" s="5"/>
      <c r="K82" s="181"/>
      <c r="L82" s="5"/>
      <c r="M82" s="5"/>
      <c r="N82" s="5"/>
      <c r="O82" s="205" t="e">
        <f>IF(O81+1&lt;=MIN('Données projet'!$E$9:$E$18),O81+1,"STOP")</f>
        <v>#VALUE!</v>
      </c>
      <c r="P82" s="195" t="e">
        <f t="shared" si="5"/>
        <v>#VALUE!</v>
      </c>
      <c r="Q82" s="263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07">
        <v>4</v>
      </c>
      <c r="B83" s="210" t="s">
        <v>132</v>
      </c>
      <c r="C83" s="209" t="s">
        <v>132</v>
      </c>
      <c r="D83" s="208" t="s">
        <v>132</v>
      </c>
      <c r="E83" s="204"/>
      <c r="F83" s="259"/>
      <c r="G83" s="218"/>
      <c r="H83" s="201"/>
      <c r="I83" s="202"/>
      <c r="J83" s="5"/>
      <c r="K83" s="181"/>
      <c r="L83" s="5"/>
      <c r="M83" s="5"/>
      <c r="N83" s="5"/>
      <c r="O83" s="205" t="e">
        <f>IF(O82+1&lt;=MIN('Données projet'!$E$9:$E$18),O82+1,"STOP")</f>
        <v>#VALUE!</v>
      </c>
      <c r="P83" s="195" t="e">
        <f t="shared" si="5"/>
        <v>#VALUE!</v>
      </c>
      <c r="Q83" s="263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07">
        <v>5</v>
      </c>
      <c r="B84" s="210" t="s">
        <v>132</v>
      </c>
      <c r="C84" s="209" t="s">
        <v>132</v>
      </c>
      <c r="D84" s="208" t="s">
        <v>132</v>
      </c>
      <c r="E84" s="204"/>
      <c r="F84" s="259"/>
      <c r="G84" s="219"/>
      <c r="H84" s="201"/>
      <c r="I84" s="202"/>
      <c r="J84" s="5"/>
      <c r="K84" s="181"/>
      <c r="L84" s="5"/>
      <c r="M84" s="5"/>
      <c r="N84" s="5"/>
      <c r="O84" s="205" t="e">
        <f>IF(O83+1&lt;=MIN('Données projet'!$E$9:$E$18),O83+1,"STOP")</f>
        <v>#VALUE!</v>
      </c>
      <c r="P84" s="195" t="e">
        <f t="shared" si="5"/>
        <v>#VALUE!</v>
      </c>
      <c r="Q84" s="263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0">
        <f>'Données projet'!A88</f>
        <v>17</v>
      </c>
      <c r="B85" s="191">
        <f>'Données projet'!D88</f>
        <v>42.084615384615375</v>
      </c>
      <c r="C85" s="202">
        <v>10</v>
      </c>
      <c r="D85" s="189">
        <f>B85*C85</f>
        <v>420.84615384615375</v>
      </c>
      <c r="E85" s="204"/>
      <c r="F85" s="260"/>
      <c r="G85" s="219"/>
      <c r="H85" s="201"/>
      <c r="I85" s="202"/>
      <c r="J85" s="5"/>
      <c r="K85" s="181"/>
      <c r="L85" s="5"/>
      <c r="M85" s="5"/>
      <c r="N85" s="5"/>
      <c r="O85" s="205" t="e">
        <f>IF(O84+1&lt;=MIN('Données projet'!$E$9:$E$18),O84+1,"STOP")</f>
        <v>#VALUE!</v>
      </c>
      <c r="P85" s="195" t="e">
        <f t="shared" si="5"/>
        <v>#VALUE!</v>
      </c>
      <c r="Q85" s="263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0">
        <f>'Données projet'!A89</f>
        <v>23</v>
      </c>
      <c r="B86" s="191">
        <f>'Données projet'!D89</f>
        <v>54.099999999999987</v>
      </c>
      <c r="C86" s="204">
        <v>20</v>
      </c>
      <c r="D86" s="189">
        <f t="shared" ref="D86:D104" si="6">B86*C86</f>
        <v>1081.9999999999998</v>
      </c>
      <c r="E86" s="204"/>
      <c r="F86" s="260"/>
      <c r="G86" s="219"/>
      <c r="H86" s="201"/>
      <c r="I86" s="202"/>
      <c r="J86" s="5"/>
      <c r="K86" s="181"/>
      <c r="L86" s="5"/>
      <c r="M86" s="5"/>
      <c r="N86" s="5"/>
      <c r="O86" s="205" t="e">
        <f>IF(O85+1&lt;=MIN('Données projet'!$E$9:$E$18),O85+1,"STOP")</f>
        <v>#VALUE!</v>
      </c>
      <c r="P86" s="195" t="e">
        <f t="shared" si="5"/>
        <v>#VALUE!</v>
      </c>
      <c r="Q86" s="263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0">
        <f>'Données projet'!A90</f>
        <v>29</v>
      </c>
      <c r="B87" s="191">
        <f>'Données projet'!D90</f>
        <v>47.661538461538463</v>
      </c>
      <c r="C87" s="204">
        <v>30</v>
      </c>
      <c r="D87" s="189">
        <f t="shared" si="6"/>
        <v>1429.8461538461538</v>
      </c>
      <c r="E87" s="204"/>
      <c r="F87" s="260"/>
      <c r="G87" s="219"/>
      <c r="H87" s="201"/>
      <c r="I87" s="202"/>
      <c r="J87" s="5"/>
      <c r="K87" s="181"/>
      <c r="L87" s="5"/>
      <c r="M87" s="5"/>
      <c r="N87" s="5"/>
      <c r="O87" s="205" t="e">
        <f>IF(O86+1&lt;=MIN('Données projet'!$E$9:$E$18),O86+1,"STOP")</f>
        <v>#VALUE!</v>
      </c>
      <c r="P87" s="195" t="e">
        <f t="shared" si="5"/>
        <v>#VALUE!</v>
      </c>
      <c r="Q87" s="263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0">
        <f>'Données projet'!A91</f>
        <v>36</v>
      </c>
      <c r="B88" s="191">
        <f>'Données projet'!D91</f>
        <v>64.553846153846166</v>
      </c>
      <c r="C88" s="204">
        <v>40</v>
      </c>
      <c r="D88" s="189">
        <f t="shared" si="6"/>
        <v>2582.1538461538466</v>
      </c>
      <c r="E88" s="204"/>
      <c r="F88" s="260"/>
      <c r="G88" s="219"/>
      <c r="H88" s="201"/>
      <c r="I88" s="202"/>
      <c r="J88" s="5"/>
      <c r="K88" s="181"/>
      <c r="L88" s="5"/>
      <c r="M88" s="5"/>
      <c r="N88" s="5"/>
      <c r="O88" s="205" t="e">
        <f>IF(O87+1&lt;=MIN('Données projet'!$E$9:$E$18),O87+1,"STOP")</f>
        <v>#VALUE!</v>
      </c>
      <c r="P88" s="195" t="e">
        <f t="shared" si="5"/>
        <v>#VALUE!</v>
      </c>
      <c r="Q88" s="263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0">
        <f>'Données projet'!A92</f>
        <v>44</v>
      </c>
      <c r="B89" s="191">
        <f>'Données projet'!D92</f>
        <v>64.476923076923114</v>
      </c>
      <c r="C89" s="204">
        <v>60</v>
      </c>
      <c r="D89" s="189">
        <f t="shared" si="6"/>
        <v>3868.615384615387</v>
      </c>
      <c r="E89" s="204"/>
      <c r="F89" s="260"/>
      <c r="G89" s="219"/>
      <c r="H89" s="201"/>
      <c r="I89" s="202"/>
      <c r="J89" s="5"/>
      <c r="K89" s="181"/>
      <c r="L89" s="5"/>
      <c r="M89" s="5"/>
      <c r="N89" s="5"/>
      <c r="O89" s="205" t="e">
        <f>IF(O88+1&lt;=MIN('Données projet'!$E$9:$E$18),O88+1,"STOP")</f>
        <v>#VALUE!</v>
      </c>
      <c r="P89" s="195" t="e">
        <f t="shared" si="5"/>
        <v>#VALUE!</v>
      </c>
      <c r="Q89" s="263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0">
        <f>'Données projet'!A93</f>
        <v>52</v>
      </c>
      <c r="B90" s="191">
        <f>'Données projet'!D93</f>
        <v>61.784615384615378</v>
      </c>
      <c r="C90" s="204">
        <v>65</v>
      </c>
      <c r="D90" s="189">
        <f t="shared" si="6"/>
        <v>4015.9999999999995</v>
      </c>
      <c r="E90" s="204"/>
      <c r="F90" s="260"/>
      <c r="G90" s="219"/>
      <c r="H90" s="201"/>
      <c r="I90" s="202"/>
      <c r="J90" s="5"/>
      <c r="K90" s="181"/>
      <c r="L90" s="5"/>
      <c r="M90" s="5"/>
      <c r="N90" s="5"/>
      <c r="O90" s="205" t="e">
        <f>IF(O89+1&lt;=MIN('Données projet'!$E$9:$E$18),O89+1,"STOP")</f>
        <v>#VALUE!</v>
      </c>
      <c r="P90" s="195" t="e">
        <f t="shared" si="5"/>
        <v>#VALUE!</v>
      </c>
      <c r="Q90" s="263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0">
        <f>'Données projet'!A94</f>
        <v>60</v>
      </c>
      <c r="B91" s="191">
        <f>'Données projet'!D94</f>
        <v>353.5</v>
      </c>
      <c r="C91" s="204">
        <v>70</v>
      </c>
      <c r="D91" s="189">
        <f t="shared" si="6"/>
        <v>24745</v>
      </c>
      <c r="E91" s="204"/>
      <c r="F91" s="260"/>
      <c r="G91" s="220"/>
      <c r="H91" s="201"/>
      <c r="I91" s="202"/>
      <c r="J91" s="5"/>
      <c r="K91" s="181"/>
      <c r="L91" s="5"/>
      <c r="M91" s="5"/>
      <c r="N91" s="5"/>
      <c r="O91" s="205" t="e">
        <f>IF(O90+1&lt;=MIN('Données projet'!$E$9:$E$18),O90+1,"STOP")</f>
        <v>#VALUE!</v>
      </c>
      <c r="P91" s="195" t="e">
        <f t="shared" si="5"/>
        <v>#VALUE!</v>
      </c>
      <c r="Q91" s="263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0">
        <f>'Données projet'!A95</f>
        <v>0</v>
      </c>
      <c r="B92" s="191">
        <f>'Données projet'!D95</f>
        <v>0</v>
      </c>
      <c r="C92" s="204">
        <v>0</v>
      </c>
      <c r="D92" s="189">
        <f t="shared" si="6"/>
        <v>0</v>
      </c>
      <c r="E92" s="204"/>
      <c r="F92" s="260"/>
      <c r="G92" s="220"/>
      <c r="H92" s="201"/>
      <c r="I92" s="202"/>
      <c r="J92" s="5"/>
      <c r="K92" s="181"/>
      <c r="L92" s="5"/>
      <c r="M92" s="5"/>
      <c r="N92" s="5"/>
      <c r="O92" s="205" t="e">
        <f>IF(O91+1&lt;=MIN('Données projet'!$E$9:$E$18),O91+1,"STOP")</f>
        <v>#VALUE!</v>
      </c>
      <c r="P92" s="195" t="e">
        <f t="shared" si="5"/>
        <v>#VALUE!</v>
      </c>
      <c r="Q92" s="263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0">
        <f>'Données projet'!A96</f>
        <v>0</v>
      </c>
      <c r="B93" s="191">
        <f>'Données projet'!D96</f>
        <v>0</v>
      </c>
      <c r="C93" s="204">
        <v>0</v>
      </c>
      <c r="D93" s="189">
        <f t="shared" si="6"/>
        <v>0</v>
      </c>
      <c r="E93" s="204"/>
      <c r="F93" s="260"/>
      <c r="G93" s="220"/>
      <c r="H93" s="201"/>
      <c r="I93" s="202"/>
      <c r="J93" s="5"/>
      <c r="K93" s="181"/>
      <c r="L93" s="5"/>
      <c r="M93" s="5"/>
      <c r="N93" s="5"/>
      <c r="O93" s="205" t="e">
        <f>IF(O92+1&lt;=MIN('Données projet'!$E$9:$E$18),O92+1,"STOP")</f>
        <v>#VALUE!</v>
      </c>
      <c r="P93" s="195" t="e">
        <f t="shared" si="5"/>
        <v>#VALUE!</v>
      </c>
      <c r="Q93" s="263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0">
        <f>'Données projet'!A97</f>
        <v>0</v>
      </c>
      <c r="B94" s="191">
        <f>'Données projet'!D97</f>
        <v>0</v>
      </c>
      <c r="C94" s="204">
        <v>0</v>
      </c>
      <c r="D94" s="189">
        <f t="shared" si="6"/>
        <v>0</v>
      </c>
      <c r="E94" s="204"/>
      <c r="F94" s="260"/>
      <c r="G94" s="220"/>
      <c r="H94" s="201"/>
      <c r="I94" s="202"/>
      <c r="J94" s="5"/>
      <c r="K94" s="181"/>
      <c r="L94" s="5"/>
      <c r="M94" s="5"/>
      <c r="N94" s="5"/>
      <c r="O94" s="205" t="e">
        <f>IF(O93+1&lt;=MIN('Données projet'!$E$9:$E$18),O93+1,"STOP")</f>
        <v>#VALUE!</v>
      </c>
      <c r="P94" s="195" t="e">
        <f t="shared" si="5"/>
        <v>#VALUE!</v>
      </c>
      <c r="Q94" s="263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0">
        <f>'Données projet'!A98</f>
        <v>0</v>
      </c>
      <c r="B95" s="191">
        <f>'Données projet'!D98</f>
        <v>0</v>
      </c>
      <c r="C95" s="204">
        <v>0</v>
      </c>
      <c r="D95" s="189">
        <f t="shared" si="6"/>
        <v>0</v>
      </c>
      <c r="E95" s="204"/>
      <c r="F95" s="260"/>
      <c r="G95" s="220"/>
      <c r="H95" s="201"/>
      <c r="I95" s="202"/>
      <c r="J95" s="5"/>
      <c r="K95" s="181"/>
      <c r="L95" s="5"/>
      <c r="M95" s="5"/>
      <c r="N95" s="5"/>
      <c r="O95" s="205" t="e">
        <f>IF(O94+1&lt;=MIN('Données projet'!$E$9:$E$18),O94+1,"STOP")</f>
        <v>#VALUE!</v>
      </c>
      <c r="P95" s="195" t="e">
        <f t="shared" si="5"/>
        <v>#VALUE!</v>
      </c>
      <c r="Q95" s="263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0">
        <f>'Données projet'!A99</f>
        <v>0</v>
      </c>
      <c r="B96" s="191">
        <f>'Données projet'!D99</f>
        <v>0</v>
      </c>
      <c r="C96" s="204">
        <v>0</v>
      </c>
      <c r="D96" s="189">
        <f t="shared" si="6"/>
        <v>0</v>
      </c>
      <c r="E96" s="204"/>
      <c r="F96" s="260"/>
      <c r="G96" s="220"/>
      <c r="H96" s="201"/>
      <c r="I96" s="202"/>
      <c r="J96" s="5"/>
      <c r="K96" s="181"/>
      <c r="L96" s="5"/>
      <c r="M96" s="5"/>
      <c r="N96" s="5"/>
      <c r="O96" s="205" t="e">
        <f>IF(O95+1&lt;=MIN('Données projet'!$E$9:$E$18),O95+1,"STOP")</f>
        <v>#VALUE!</v>
      </c>
      <c r="P96" s="195" t="e">
        <f t="shared" si="5"/>
        <v>#VALUE!</v>
      </c>
      <c r="Q96" s="263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0">
        <f>'Données projet'!A100</f>
        <v>0</v>
      </c>
      <c r="B97" s="191">
        <f>'Données projet'!D100</f>
        <v>0</v>
      </c>
      <c r="C97" s="204">
        <v>0</v>
      </c>
      <c r="D97" s="189">
        <f t="shared" si="6"/>
        <v>0</v>
      </c>
      <c r="E97" s="204"/>
      <c r="F97" s="260"/>
      <c r="G97" s="220"/>
      <c r="H97" s="201"/>
      <c r="I97" s="202"/>
      <c r="J97" s="5"/>
      <c r="K97" s="181"/>
      <c r="L97" s="5"/>
      <c r="M97" s="5"/>
      <c r="N97" s="5"/>
      <c r="O97" s="205" t="e">
        <f>IF(O96+1&lt;=MIN('Données projet'!$E$9:$E$18),O96+1,"STOP")</f>
        <v>#VALUE!</v>
      </c>
      <c r="P97" s="195" t="e">
        <f t="shared" ref="P97:P128" si="7">$P$25/(1+$M$4)^O97</f>
        <v>#VALUE!</v>
      </c>
      <c r="Q97" s="263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0">
        <f>'Données projet'!A101</f>
        <v>0</v>
      </c>
      <c r="B98" s="191">
        <f>'Données projet'!D101</f>
        <v>0</v>
      </c>
      <c r="C98" s="204">
        <v>0</v>
      </c>
      <c r="D98" s="189">
        <f t="shared" si="6"/>
        <v>0</v>
      </c>
      <c r="E98" s="204"/>
      <c r="F98" s="260"/>
      <c r="G98" s="220"/>
      <c r="H98" s="201"/>
      <c r="I98" s="202"/>
      <c r="J98" s="5"/>
      <c r="K98" s="181"/>
      <c r="L98" s="5"/>
      <c r="M98" s="5"/>
      <c r="N98" s="5"/>
      <c r="O98" s="205" t="e">
        <f>IF(O97+1&lt;=MIN('Données projet'!$E$9:$E$18),O97+1,"STOP")</f>
        <v>#VALUE!</v>
      </c>
      <c r="P98" s="195" t="e">
        <f t="shared" si="7"/>
        <v>#VALUE!</v>
      </c>
      <c r="Q98" s="263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0">
        <f>'Données projet'!A102</f>
        <v>0</v>
      </c>
      <c r="B99" s="191">
        <f>'Données projet'!D102</f>
        <v>0</v>
      </c>
      <c r="C99" s="204">
        <v>0</v>
      </c>
      <c r="D99" s="189">
        <f t="shared" si="6"/>
        <v>0</v>
      </c>
      <c r="E99" s="204"/>
      <c r="F99" s="260"/>
      <c r="G99" s="220"/>
      <c r="H99" s="201"/>
      <c r="I99" s="202"/>
      <c r="J99" s="5"/>
      <c r="K99" s="181"/>
      <c r="L99" s="5"/>
      <c r="M99" s="5"/>
      <c r="N99" s="5"/>
      <c r="O99" s="205" t="e">
        <f>IF(O98+1&lt;=MIN('Données projet'!$E$9:$E$18),O98+1,"STOP")</f>
        <v>#VALUE!</v>
      </c>
      <c r="P99" s="195" t="e">
        <f t="shared" si="7"/>
        <v>#VALUE!</v>
      </c>
      <c r="Q99" s="263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0">
        <f>'Données projet'!A103</f>
        <v>0</v>
      </c>
      <c r="B100" s="191">
        <f>'Données projet'!D103</f>
        <v>0</v>
      </c>
      <c r="C100" s="204">
        <v>0</v>
      </c>
      <c r="D100" s="189">
        <f t="shared" si="6"/>
        <v>0</v>
      </c>
      <c r="E100" s="204"/>
      <c r="F100" s="260"/>
      <c r="G100" s="220"/>
      <c r="H100" s="201"/>
      <c r="I100" s="202"/>
      <c r="J100" s="5"/>
      <c r="K100" s="181"/>
      <c r="L100" s="5"/>
      <c r="M100" s="5"/>
      <c r="N100" s="5"/>
      <c r="O100" s="205" t="e">
        <f>IF(O99+1&lt;=MIN('Données projet'!$E$9:$E$18),O99+1,"STOP")</f>
        <v>#VALUE!</v>
      </c>
      <c r="P100" s="195" t="e">
        <f t="shared" si="7"/>
        <v>#VALUE!</v>
      </c>
      <c r="Q100" s="263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0">
        <f>'Données projet'!A104</f>
        <v>0</v>
      </c>
      <c r="B101" s="191">
        <f>'Données projet'!D104</f>
        <v>0</v>
      </c>
      <c r="C101" s="204">
        <v>0</v>
      </c>
      <c r="D101" s="189">
        <f t="shared" si="6"/>
        <v>0</v>
      </c>
      <c r="E101" s="204"/>
      <c r="F101" s="260"/>
      <c r="G101" s="220"/>
      <c r="H101" s="201"/>
      <c r="I101" s="202"/>
      <c r="J101" s="5"/>
      <c r="K101" s="181"/>
      <c r="L101" s="5"/>
      <c r="M101" s="5"/>
      <c r="N101" s="5"/>
      <c r="O101" s="205" t="e">
        <f>IF(O100+1&lt;=MIN('Données projet'!$E$9:$E$18),O100+1,"STOP")</f>
        <v>#VALUE!</v>
      </c>
      <c r="P101" s="195" t="e">
        <f t="shared" si="7"/>
        <v>#VALUE!</v>
      </c>
      <c r="Q101" s="263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0">
        <f>'Données projet'!A105</f>
        <v>0</v>
      </c>
      <c r="B102" s="191">
        <f>'Données projet'!D105</f>
        <v>0</v>
      </c>
      <c r="C102" s="204">
        <v>0</v>
      </c>
      <c r="D102" s="189">
        <f t="shared" si="6"/>
        <v>0</v>
      </c>
      <c r="E102" s="204"/>
      <c r="F102" s="260"/>
      <c r="G102" s="220"/>
      <c r="H102" s="201"/>
      <c r="I102" s="202"/>
      <c r="J102" s="5"/>
      <c r="K102" s="181"/>
      <c r="L102" s="5"/>
      <c r="M102" s="5"/>
      <c r="N102" s="5"/>
      <c r="O102" s="205" t="e">
        <f>IF(O101+1&lt;=MIN('Données projet'!$E$9:$E$18),O101+1,"STOP")</f>
        <v>#VALUE!</v>
      </c>
      <c r="P102" s="195" t="e">
        <f t="shared" si="7"/>
        <v>#VALUE!</v>
      </c>
      <c r="Q102" s="263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0">
        <f>'Données projet'!A106</f>
        <v>0</v>
      </c>
      <c r="B103" s="191">
        <f>'Données projet'!D106</f>
        <v>0</v>
      </c>
      <c r="C103" s="204">
        <v>0</v>
      </c>
      <c r="D103" s="189">
        <f t="shared" si="6"/>
        <v>0</v>
      </c>
      <c r="E103" s="204"/>
      <c r="F103" s="260"/>
      <c r="G103" s="220"/>
      <c r="H103" s="201"/>
      <c r="I103" s="202"/>
      <c r="J103" s="5"/>
      <c r="K103" s="181"/>
      <c r="L103" s="5"/>
      <c r="M103" s="5"/>
      <c r="N103" s="5"/>
      <c r="O103" s="205" t="e">
        <f>IF(O102+1&lt;=MIN('Données projet'!$E$9:$E$18),O102+1,"STOP")</f>
        <v>#VALUE!</v>
      </c>
      <c r="P103" s="195" t="e">
        <f t="shared" si="7"/>
        <v>#VALUE!</v>
      </c>
      <c r="Q103" s="263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0">
        <f>'Données projet'!A107</f>
        <v>0</v>
      </c>
      <c r="B104" s="191">
        <f>'Données projet'!D107</f>
        <v>0</v>
      </c>
      <c r="C104" s="204">
        <v>0</v>
      </c>
      <c r="D104" s="189">
        <f t="shared" si="6"/>
        <v>0</v>
      </c>
      <c r="E104" s="204"/>
      <c r="F104" s="260"/>
      <c r="G104" s="220"/>
      <c r="H104" s="201"/>
      <c r="I104" s="202"/>
      <c r="J104" s="5"/>
      <c r="K104" s="181"/>
      <c r="L104" s="5"/>
      <c r="M104" s="5"/>
      <c r="N104" s="5"/>
      <c r="O104" s="205" t="e">
        <f>IF(O103+1&lt;=MIN('Données projet'!$E$9:$E$18),O103+1,"STOP")</f>
        <v>#VALUE!</v>
      </c>
      <c r="P104" s="195" t="e">
        <f t="shared" si="7"/>
        <v>#VALUE!</v>
      </c>
      <c r="Q104" s="263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58"/>
      <c r="G105" s="220"/>
      <c r="H105" s="201"/>
      <c r="I105" s="202"/>
      <c r="J105" s="5"/>
      <c r="K105" s="181"/>
      <c r="L105" s="5"/>
      <c r="M105" s="5"/>
      <c r="N105" s="5"/>
      <c r="O105" s="205" t="e">
        <f>IF(O104+1&lt;=MIN('Données projet'!$E$9:$E$18),O104+1,"STOP")</f>
        <v>#VALUE!</v>
      </c>
      <c r="P105" s="195" t="e">
        <f t="shared" si="7"/>
        <v>#VALUE!</v>
      </c>
      <c r="Q105" s="263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58"/>
      <c r="G106" s="220"/>
      <c r="H106" s="201"/>
      <c r="I106" s="202"/>
      <c r="J106" s="5"/>
      <c r="K106" s="181"/>
      <c r="L106" s="5"/>
      <c r="M106" s="5"/>
      <c r="N106" s="5"/>
      <c r="O106" s="205" t="e">
        <f>IF(O105+1&lt;=MIN('Données projet'!$E$9:$E$18),O105+1,"STOP")</f>
        <v>#VALUE!</v>
      </c>
      <c r="P106" s="195" t="e">
        <f t="shared" si="7"/>
        <v>#VALUE!</v>
      </c>
      <c r="Q106" s="263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4" t="str">
        <f>IF('Données projet'!B12="","",'Données projet'!B12)</f>
        <v>Cèdre de l'Atlas</v>
      </c>
      <c r="C107" s="5"/>
      <c r="D107" s="5"/>
      <c r="E107" s="5"/>
      <c r="F107" s="258"/>
      <c r="G107" s="220"/>
      <c r="H107" s="201"/>
      <c r="I107" s="202"/>
      <c r="J107" s="5"/>
      <c r="K107" s="181"/>
      <c r="L107" s="5"/>
      <c r="M107" s="5"/>
      <c r="N107" s="5"/>
      <c r="O107" s="205" t="e">
        <f>IF(O106+1&lt;=MIN('Données projet'!$E$9:$E$18),O106+1,"STOP")</f>
        <v>#VALUE!</v>
      </c>
      <c r="P107" s="195" t="e">
        <f t="shared" si="7"/>
        <v>#VALUE!</v>
      </c>
      <c r="Q107" s="263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58"/>
      <c r="G108" s="220"/>
      <c r="H108" s="201"/>
      <c r="I108" s="202"/>
      <c r="J108" s="5"/>
      <c r="K108" s="181"/>
      <c r="L108" s="5"/>
      <c r="M108" s="5"/>
      <c r="N108" s="5"/>
      <c r="O108" s="205" t="e">
        <f>IF(O107+1&lt;=MIN('Données projet'!$E$9:$E$18),O107+1,"STOP")</f>
        <v>#VALUE!</v>
      </c>
      <c r="P108" s="195" t="e">
        <f t="shared" si="7"/>
        <v>#VALUE!</v>
      </c>
      <c r="Q108" s="26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4" t="s">
        <v>180</v>
      </c>
      <c r="B109" s="51" t="s">
        <v>256</v>
      </c>
      <c r="C109" s="51" t="s">
        <v>255</v>
      </c>
      <c r="D109" s="254" t="s">
        <v>252</v>
      </c>
      <c r="E109" s="254" t="s">
        <v>320</v>
      </c>
      <c r="F109" s="259"/>
      <c r="G109" s="220"/>
      <c r="H109" s="201"/>
      <c r="I109" s="202"/>
      <c r="J109" s="5"/>
      <c r="K109" s="181"/>
      <c r="L109" s="5"/>
      <c r="M109" s="5"/>
      <c r="N109" s="5"/>
      <c r="O109" s="205" t="e">
        <f>IF(O108+1&lt;=MIN('Données projet'!$E$9:$E$18),O108+1,"STOP")</f>
        <v>#VALUE!</v>
      </c>
      <c r="P109" s="195" t="e">
        <f t="shared" si="7"/>
        <v>#VALUE!</v>
      </c>
      <c r="Q109" s="263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07">
        <v>0</v>
      </c>
      <c r="B110" s="210" t="s">
        <v>132</v>
      </c>
      <c r="C110" s="209" t="s">
        <v>132</v>
      </c>
      <c r="D110" s="208" t="s">
        <v>132</v>
      </c>
      <c r="E110" s="204"/>
      <c r="F110" s="259"/>
      <c r="G110" s="220"/>
      <c r="H110" s="201"/>
      <c r="I110" s="202"/>
      <c r="J110" s="5"/>
      <c r="K110" s="181"/>
      <c r="L110" s="5"/>
      <c r="M110" s="5"/>
      <c r="N110" s="5"/>
      <c r="O110" s="205" t="e">
        <f>IF(O109+1&lt;=MIN('Données projet'!$E$9:$E$18),O109+1,"STOP")</f>
        <v>#VALUE!</v>
      </c>
      <c r="P110" s="195" t="e">
        <f t="shared" si="7"/>
        <v>#VALUE!</v>
      </c>
      <c r="Q110" s="263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07">
        <v>1</v>
      </c>
      <c r="B111" s="210" t="s">
        <v>132</v>
      </c>
      <c r="C111" s="209" t="s">
        <v>132</v>
      </c>
      <c r="D111" s="208" t="s">
        <v>132</v>
      </c>
      <c r="E111" s="204"/>
      <c r="F111" s="259"/>
      <c r="G111" s="218"/>
      <c r="H111" s="201"/>
      <c r="I111" s="202"/>
      <c r="J111" s="5"/>
      <c r="K111" s="181"/>
      <c r="L111" s="5"/>
      <c r="M111" s="5"/>
      <c r="N111" s="5"/>
      <c r="O111" s="205" t="e">
        <f>IF(O110+1&lt;=MIN('Données projet'!$E$9:$E$18),O110+1,"STOP")</f>
        <v>#VALUE!</v>
      </c>
      <c r="P111" s="195" t="e">
        <f t="shared" si="7"/>
        <v>#VALUE!</v>
      </c>
      <c r="Q111" s="263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07">
        <v>2</v>
      </c>
      <c r="B112" s="210" t="s">
        <v>132</v>
      </c>
      <c r="C112" s="209" t="s">
        <v>132</v>
      </c>
      <c r="D112" s="208" t="s">
        <v>132</v>
      </c>
      <c r="E112" s="204"/>
      <c r="F112" s="259"/>
      <c r="G112" s="218"/>
      <c r="H112" s="201"/>
      <c r="I112" s="202"/>
      <c r="J112" s="5"/>
      <c r="K112" s="181"/>
      <c r="L112" s="5"/>
      <c r="M112" s="5"/>
      <c r="N112" s="5"/>
      <c r="O112" s="205" t="e">
        <f>IF(O111+1&lt;=MIN('Données projet'!$E$9:$E$18),O111+1,"STOP")</f>
        <v>#VALUE!</v>
      </c>
      <c r="P112" s="195" t="e">
        <f t="shared" si="7"/>
        <v>#VALUE!</v>
      </c>
      <c r="Q112" s="263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07">
        <v>3</v>
      </c>
      <c r="B113" s="210" t="s">
        <v>132</v>
      </c>
      <c r="C113" s="209" t="s">
        <v>132</v>
      </c>
      <c r="D113" s="208" t="s">
        <v>132</v>
      </c>
      <c r="E113" s="204"/>
      <c r="F113" s="259"/>
      <c r="G113" s="218"/>
      <c r="H113" s="201"/>
      <c r="I113" s="202"/>
      <c r="J113" s="5"/>
      <c r="K113" s="181"/>
      <c r="L113" s="5"/>
      <c r="M113" s="5"/>
      <c r="N113" s="5"/>
      <c r="O113" s="205" t="e">
        <f>IF(O112+1&lt;=MIN('Données projet'!$E$9:$E$18),O112+1,"STOP")</f>
        <v>#VALUE!</v>
      </c>
      <c r="P113" s="195" t="e">
        <f t="shared" si="7"/>
        <v>#VALUE!</v>
      </c>
      <c r="Q113" s="263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07">
        <v>4</v>
      </c>
      <c r="B114" s="210" t="s">
        <v>132</v>
      </c>
      <c r="C114" s="209" t="s">
        <v>132</v>
      </c>
      <c r="D114" s="208" t="s">
        <v>132</v>
      </c>
      <c r="E114" s="204"/>
      <c r="F114" s="259"/>
      <c r="G114" s="218"/>
      <c r="H114" s="201"/>
      <c r="I114" s="202"/>
      <c r="J114" s="5"/>
      <c r="K114" s="181"/>
      <c r="L114" s="5"/>
      <c r="M114" s="5"/>
      <c r="N114" s="5"/>
      <c r="O114" s="205" t="e">
        <f>IF(O113+1&lt;=MIN('Données projet'!$E$9:$E$18),O113+1,"STOP")</f>
        <v>#VALUE!</v>
      </c>
      <c r="P114" s="195" t="e">
        <f t="shared" si="7"/>
        <v>#VALUE!</v>
      </c>
      <c r="Q114" s="263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07">
        <v>5</v>
      </c>
      <c r="B115" s="210" t="s">
        <v>132</v>
      </c>
      <c r="C115" s="209" t="s">
        <v>132</v>
      </c>
      <c r="D115" s="208" t="s">
        <v>132</v>
      </c>
      <c r="E115" s="204"/>
      <c r="F115" s="259"/>
      <c r="G115" s="219"/>
      <c r="H115" s="201"/>
      <c r="I115" s="202"/>
      <c r="J115" s="5"/>
      <c r="K115" s="181"/>
      <c r="L115" s="5"/>
      <c r="M115" s="5"/>
      <c r="N115" s="5"/>
      <c r="O115" s="205" t="e">
        <f>IF(O114+1&lt;=MIN('Données projet'!$E$9:$E$18),O114+1,"STOP")</f>
        <v>#VALUE!</v>
      </c>
      <c r="P115" s="195" t="e">
        <f t="shared" si="7"/>
        <v>#VALUE!</v>
      </c>
      <c r="Q115" s="263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0">
        <f>'Données projet'!A114</f>
        <v>30</v>
      </c>
      <c r="B116" s="191">
        <f>'Données projet'!D114</f>
        <v>0</v>
      </c>
      <c r="C116" s="202">
        <v>0</v>
      </c>
      <c r="D116" s="189">
        <f>B116*C116</f>
        <v>0</v>
      </c>
      <c r="E116" s="204"/>
      <c r="F116" s="260"/>
      <c r="G116" s="219"/>
      <c r="H116" s="201"/>
      <c r="I116" s="202"/>
      <c r="J116" s="5"/>
      <c r="K116" s="181"/>
      <c r="L116" s="5"/>
      <c r="M116" s="5"/>
      <c r="N116" s="5"/>
      <c r="O116" s="205" t="e">
        <f>IF(O115+1&lt;=MIN('Données projet'!$E$9:$E$18),O115+1,"STOP")</f>
        <v>#VALUE!</v>
      </c>
      <c r="P116" s="195" t="e">
        <f t="shared" si="7"/>
        <v>#VALUE!</v>
      </c>
      <c r="Q116" s="263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0">
        <f>'Données projet'!A115</f>
        <v>51</v>
      </c>
      <c r="B117" s="191">
        <f>'Données projet'!D115</f>
        <v>100.30769230769231</v>
      </c>
      <c r="C117" s="202">
        <v>45</v>
      </c>
      <c r="D117" s="189">
        <f t="shared" ref="D117:D135" si="8">B117*C117</f>
        <v>4513.8461538461534</v>
      </c>
      <c r="E117" s="204"/>
      <c r="F117" s="260"/>
      <c r="G117" s="219"/>
      <c r="H117" s="201"/>
      <c r="I117" s="202"/>
      <c r="J117" s="5"/>
      <c r="K117" s="181"/>
      <c r="L117" s="5"/>
      <c r="M117" s="5"/>
      <c r="N117" s="5"/>
      <c r="O117" s="205" t="e">
        <f>IF(O116+1&lt;=MIN('Données projet'!$E$9:$E$18),O116+1,"STOP")</f>
        <v>#VALUE!</v>
      </c>
      <c r="P117" s="195" t="e">
        <f t="shared" si="7"/>
        <v>#VALUE!</v>
      </c>
      <c r="Q117" s="263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0">
        <f>'Données projet'!A116</f>
        <v>63</v>
      </c>
      <c r="B118" s="191">
        <f>'Données projet'!D116</f>
        <v>108.08461538461538</v>
      </c>
      <c r="C118" s="202">
        <v>55</v>
      </c>
      <c r="D118" s="189">
        <f t="shared" si="8"/>
        <v>5944.6538461538457</v>
      </c>
      <c r="E118" s="204"/>
      <c r="F118" s="260"/>
      <c r="G118" s="219"/>
      <c r="H118" s="201"/>
      <c r="I118" s="202"/>
      <c r="J118" s="5"/>
      <c r="K118" s="181"/>
      <c r="L118" s="5"/>
      <c r="M118" s="5"/>
      <c r="N118" s="5"/>
      <c r="O118" s="205" t="e">
        <f>IF(O117+1&lt;=MIN('Données projet'!$E$9:$E$18),O117+1,"STOP")</f>
        <v>#VALUE!</v>
      </c>
      <c r="P118" s="195" t="e">
        <f t="shared" si="7"/>
        <v>#VALUE!</v>
      </c>
      <c r="Q118" s="263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0">
        <f>'Données projet'!A117</f>
        <v>75</v>
      </c>
      <c r="B119" s="191">
        <f>'Données projet'!D117</f>
        <v>85.361538461538458</v>
      </c>
      <c r="C119" s="202">
        <v>60</v>
      </c>
      <c r="D119" s="189">
        <f t="shared" si="8"/>
        <v>5121.6923076923076</v>
      </c>
      <c r="E119" s="204"/>
      <c r="F119" s="260"/>
      <c r="G119" s="219"/>
      <c r="H119" s="201"/>
      <c r="I119" s="202"/>
      <c r="J119" s="5"/>
      <c r="K119" s="181"/>
      <c r="L119" s="5"/>
      <c r="M119" s="5"/>
      <c r="N119" s="5"/>
      <c r="O119" s="205" t="e">
        <f>IF(O118+1&lt;=MIN('Données projet'!$E$9:$E$18),O118+1,"STOP")</f>
        <v>#VALUE!</v>
      </c>
      <c r="P119" s="195" t="e">
        <f t="shared" si="7"/>
        <v>#VALUE!</v>
      </c>
      <c r="Q119" s="263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0">
        <f>'Données projet'!A118</f>
        <v>87</v>
      </c>
      <c r="B120" s="191">
        <f>'Données projet'!D118</f>
        <v>82.938461538461524</v>
      </c>
      <c r="C120" s="202">
        <v>60</v>
      </c>
      <c r="D120" s="189">
        <f t="shared" si="8"/>
        <v>4976.3076923076915</v>
      </c>
      <c r="E120" s="204"/>
      <c r="F120" s="260"/>
      <c r="G120" s="219"/>
      <c r="H120" s="201"/>
      <c r="I120" s="202"/>
      <c r="J120" s="5"/>
      <c r="K120" s="181"/>
      <c r="L120" s="5"/>
      <c r="M120" s="5"/>
      <c r="N120" s="5"/>
      <c r="O120" s="205" t="e">
        <f>IF(O119+1&lt;=MIN('Données projet'!$E$9:$E$18),O119+1,"STOP")</f>
        <v>#VALUE!</v>
      </c>
      <c r="P120" s="195" t="e">
        <f t="shared" si="7"/>
        <v>#VALUE!</v>
      </c>
      <c r="Q120" s="263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0">
        <f>'Données projet'!A119</f>
        <v>99</v>
      </c>
      <c r="B121" s="191">
        <f>'Données projet'!D119</f>
        <v>198.32307692307691</v>
      </c>
      <c r="C121" s="202">
        <v>60</v>
      </c>
      <c r="D121" s="189">
        <f t="shared" si="8"/>
        <v>11899.384615384615</v>
      </c>
      <c r="E121" s="204"/>
      <c r="F121" s="260"/>
      <c r="G121" s="219"/>
      <c r="H121" s="201"/>
      <c r="I121" s="202"/>
      <c r="J121" s="5"/>
      <c r="K121" s="181"/>
      <c r="L121" s="5"/>
      <c r="M121" s="5"/>
      <c r="N121" s="5"/>
      <c r="O121" s="205" t="e">
        <f>IF(O120+1&lt;=MIN('Données projet'!$E$9:$E$18),O120+1,"STOP")</f>
        <v>#VALUE!</v>
      </c>
      <c r="P121" s="195" t="e">
        <f t="shared" si="7"/>
        <v>#VALUE!</v>
      </c>
      <c r="Q121" s="263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0">
        <f>'Données projet'!A120</f>
        <v>109</v>
      </c>
      <c r="B122" s="191">
        <f>'Données projet'!D120</f>
        <v>256.09230769230771</v>
      </c>
      <c r="C122" s="202">
        <v>70</v>
      </c>
      <c r="D122" s="189">
        <f t="shared" si="8"/>
        <v>17926.461538461539</v>
      </c>
      <c r="E122" s="204"/>
      <c r="F122" s="260"/>
      <c r="G122" s="220"/>
      <c r="H122" s="201"/>
      <c r="I122" s="202"/>
      <c r="J122" s="5"/>
      <c r="K122" s="181"/>
      <c r="L122" s="5"/>
      <c r="M122" s="5"/>
      <c r="N122" s="5"/>
      <c r="O122" s="205" t="e">
        <f>IF(O121+1&lt;=MIN('Données projet'!$E$9:$E$18),O121+1,"STOP")</f>
        <v>#VALUE!</v>
      </c>
      <c r="P122" s="195" t="e">
        <f t="shared" si="7"/>
        <v>#VALUE!</v>
      </c>
      <c r="Q122" s="263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0">
        <f>'Données projet'!A121</f>
        <v>0</v>
      </c>
      <c r="B123" s="191">
        <f>'Données projet'!D121</f>
        <v>0</v>
      </c>
      <c r="C123" s="202">
        <v>80</v>
      </c>
      <c r="D123" s="189">
        <f t="shared" si="8"/>
        <v>0</v>
      </c>
      <c r="E123" s="204"/>
      <c r="F123" s="260"/>
      <c r="G123" s="220"/>
      <c r="H123" s="201"/>
      <c r="I123" s="202"/>
      <c r="J123" s="5"/>
      <c r="K123" s="181"/>
      <c r="L123" s="5"/>
      <c r="M123" s="5"/>
      <c r="N123" s="5"/>
      <c r="O123" s="205" t="e">
        <f>IF(O122+1&lt;=MIN('Données projet'!$E$9:$E$18),O122+1,"STOP")</f>
        <v>#VALUE!</v>
      </c>
      <c r="P123" s="195" t="e">
        <f t="shared" si="7"/>
        <v>#VALUE!</v>
      </c>
      <c r="Q123" s="263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0">
        <f>'Données projet'!A122</f>
        <v>0</v>
      </c>
      <c r="B124" s="191">
        <f>'Données projet'!D122</f>
        <v>0</v>
      </c>
      <c r="C124" s="202">
        <v>90</v>
      </c>
      <c r="D124" s="189">
        <f t="shared" si="8"/>
        <v>0</v>
      </c>
      <c r="E124" s="204"/>
      <c r="F124" s="260"/>
      <c r="G124" s="220"/>
      <c r="H124" s="201"/>
      <c r="I124" s="202"/>
      <c r="J124" s="5"/>
      <c r="K124" s="181"/>
      <c r="L124" s="5"/>
      <c r="M124" s="5"/>
      <c r="N124" s="5"/>
      <c r="O124" s="205" t="e">
        <f>IF(O123+1&lt;=MIN('Données projet'!$E$9:$E$18),O123+1,"STOP")</f>
        <v>#VALUE!</v>
      </c>
      <c r="P124" s="195" t="e">
        <f t="shared" si="7"/>
        <v>#VALUE!</v>
      </c>
      <c r="Q124" s="263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0">
        <f>'Données projet'!A123</f>
        <v>0</v>
      </c>
      <c r="B125" s="191">
        <f>'Données projet'!D123</f>
        <v>0</v>
      </c>
      <c r="C125" s="202">
        <v>0</v>
      </c>
      <c r="D125" s="189">
        <f t="shared" si="8"/>
        <v>0</v>
      </c>
      <c r="E125" s="204"/>
      <c r="F125" s="260"/>
      <c r="G125" s="220"/>
      <c r="H125" s="201"/>
      <c r="I125" s="202"/>
      <c r="J125" s="5"/>
      <c r="K125" s="181"/>
      <c r="L125" s="5"/>
      <c r="M125" s="5"/>
      <c r="N125" s="5"/>
      <c r="O125" s="205" t="e">
        <f>IF(O124+1&lt;=MIN('Données projet'!$E$9:$E$18),O124+1,"STOP")</f>
        <v>#VALUE!</v>
      </c>
      <c r="P125" s="195" t="e">
        <f t="shared" si="7"/>
        <v>#VALUE!</v>
      </c>
      <c r="Q125" s="263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0">
        <f>'Données projet'!A124</f>
        <v>0</v>
      </c>
      <c r="B126" s="191">
        <f>'Données projet'!D124</f>
        <v>0</v>
      </c>
      <c r="C126" s="202">
        <v>0</v>
      </c>
      <c r="D126" s="189">
        <f t="shared" si="8"/>
        <v>0</v>
      </c>
      <c r="E126" s="204"/>
      <c r="F126" s="260"/>
      <c r="G126" s="220"/>
      <c r="H126" s="201"/>
      <c r="I126" s="202"/>
      <c r="J126" s="5"/>
      <c r="K126" s="181"/>
      <c r="L126" s="5"/>
      <c r="M126" s="5"/>
      <c r="N126" s="5"/>
      <c r="O126" s="205" t="e">
        <f>IF(O125+1&lt;=MIN('Données projet'!$E$9:$E$18),O125+1,"STOP")</f>
        <v>#VALUE!</v>
      </c>
      <c r="P126" s="195" t="e">
        <f t="shared" si="7"/>
        <v>#VALUE!</v>
      </c>
      <c r="Q126" s="263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0">
        <f>'Données projet'!A125</f>
        <v>0</v>
      </c>
      <c r="B127" s="191">
        <f>'Données projet'!D125</f>
        <v>0</v>
      </c>
      <c r="C127" s="202">
        <v>0</v>
      </c>
      <c r="D127" s="189">
        <f t="shared" si="8"/>
        <v>0</v>
      </c>
      <c r="E127" s="204"/>
      <c r="F127" s="260"/>
      <c r="G127" s="220"/>
      <c r="H127" s="201"/>
      <c r="I127" s="202"/>
      <c r="J127" s="5"/>
      <c r="K127" s="181"/>
      <c r="L127" s="5"/>
      <c r="M127" s="5"/>
      <c r="N127" s="5"/>
      <c r="O127" s="205" t="e">
        <f>IF(O126+1&lt;=MIN('Données projet'!$E$9:$E$18),O126+1,"STOP")</f>
        <v>#VALUE!</v>
      </c>
      <c r="P127" s="195" t="e">
        <f t="shared" si="7"/>
        <v>#VALUE!</v>
      </c>
      <c r="Q127" s="263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0">
        <f>'Données projet'!A126</f>
        <v>0</v>
      </c>
      <c r="B128" s="191">
        <f>'Données projet'!D126</f>
        <v>0</v>
      </c>
      <c r="C128" s="202">
        <v>0</v>
      </c>
      <c r="D128" s="189">
        <f t="shared" si="8"/>
        <v>0</v>
      </c>
      <c r="E128" s="204"/>
      <c r="F128" s="260"/>
      <c r="G128" s="220"/>
      <c r="H128" s="201"/>
      <c r="I128" s="202"/>
      <c r="J128" s="5"/>
      <c r="K128" s="181"/>
      <c r="L128" s="5"/>
      <c r="M128" s="5"/>
      <c r="N128" s="5"/>
      <c r="O128" s="205" t="e">
        <f>IF(O127+1&lt;=MIN('Données projet'!$E$9:$E$18),O127+1,"STOP")</f>
        <v>#VALUE!</v>
      </c>
      <c r="P128" s="195" t="e">
        <f t="shared" si="7"/>
        <v>#VALUE!</v>
      </c>
      <c r="Q128" s="263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0">
        <f>'Données projet'!A127</f>
        <v>0</v>
      </c>
      <c r="B129" s="191">
        <f>'Données projet'!D127</f>
        <v>0</v>
      </c>
      <c r="C129" s="202">
        <v>0</v>
      </c>
      <c r="D129" s="189">
        <f t="shared" si="8"/>
        <v>0</v>
      </c>
      <c r="E129" s="204"/>
      <c r="F129" s="260"/>
      <c r="G129" s="220"/>
      <c r="H129" s="201"/>
      <c r="I129" s="202"/>
      <c r="J129" s="5"/>
      <c r="K129" s="181"/>
      <c r="L129" s="5"/>
      <c r="M129" s="5"/>
      <c r="N129" s="5"/>
      <c r="O129" s="205" t="e">
        <f>IF(O128+1&lt;=MIN('Données projet'!$E$9:$E$18),O128+1,"STOP")</f>
        <v>#VALUE!</v>
      </c>
      <c r="P129" s="195" t="e">
        <f t="shared" ref="P129:P132" si="9">$P$25/(1+$M$4)^O129</f>
        <v>#VALUE!</v>
      </c>
      <c r="Q129" s="263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0">
        <f>'Données projet'!A128</f>
        <v>0</v>
      </c>
      <c r="B130" s="191">
        <f>'Données projet'!D128</f>
        <v>0</v>
      </c>
      <c r="C130" s="202">
        <v>0</v>
      </c>
      <c r="D130" s="189">
        <f t="shared" si="8"/>
        <v>0</v>
      </c>
      <c r="E130" s="204"/>
      <c r="F130" s="260"/>
      <c r="G130" s="220"/>
      <c r="H130" s="201"/>
      <c r="I130" s="202"/>
      <c r="J130" s="5"/>
      <c r="K130" s="181"/>
      <c r="L130" s="5"/>
      <c r="M130" s="5"/>
      <c r="N130" s="5"/>
      <c r="O130" s="205" t="e">
        <f>IF(O129+1&lt;=MIN('Données projet'!$E$9:$E$18),O129+1,"STOP")</f>
        <v>#VALUE!</v>
      </c>
      <c r="P130" s="195" t="e">
        <f t="shared" si="9"/>
        <v>#VALUE!</v>
      </c>
      <c r="Q130" s="263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0">
        <f>'Données projet'!A129</f>
        <v>0</v>
      </c>
      <c r="B131" s="191">
        <f>'Données projet'!D129</f>
        <v>0</v>
      </c>
      <c r="C131" s="204">
        <v>0</v>
      </c>
      <c r="D131" s="189">
        <f t="shared" si="8"/>
        <v>0</v>
      </c>
      <c r="E131" s="204"/>
      <c r="F131" s="260"/>
      <c r="G131" s="220"/>
      <c r="H131" s="201"/>
      <c r="I131" s="202"/>
      <c r="J131" s="5"/>
      <c r="K131" s="181"/>
      <c r="L131" s="5"/>
      <c r="M131" s="5"/>
      <c r="N131" s="5"/>
      <c r="O131" s="205" t="e">
        <f>IF(O130+1&lt;=MIN('Données projet'!$E$9:$E$18),O130+1,"STOP")</f>
        <v>#VALUE!</v>
      </c>
      <c r="P131" s="195" t="e">
        <f t="shared" si="9"/>
        <v>#VALUE!</v>
      </c>
      <c r="Q131" s="263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0">
        <f>'Données projet'!A130</f>
        <v>0</v>
      </c>
      <c r="B132" s="191">
        <f>'Données projet'!D130</f>
        <v>0</v>
      </c>
      <c r="C132" s="204">
        <v>0</v>
      </c>
      <c r="D132" s="189">
        <f t="shared" si="8"/>
        <v>0</v>
      </c>
      <c r="E132" s="204"/>
      <c r="F132" s="260"/>
      <c r="G132" s="220"/>
      <c r="H132" s="201"/>
      <c r="I132" s="202"/>
      <c r="J132" s="5"/>
      <c r="K132" s="181"/>
      <c r="L132" s="5"/>
      <c r="M132" s="5"/>
      <c r="N132" s="5"/>
      <c r="O132" s="205" t="e">
        <f>IF(O131+1&lt;=MIN('Données projet'!$E$9:$E$18),O131+1,"STOP")</f>
        <v>#VALUE!</v>
      </c>
      <c r="P132" s="195" t="e">
        <f t="shared" si="9"/>
        <v>#VALUE!</v>
      </c>
      <c r="Q132" s="263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0">
        <f>'Données projet'!A131</f>
        <v>0</v>
      </c>
      <c r="B133" s="191">
        <f>'Données projet'!D131</f>
        <v>0</v>
      </c>
      <c r="C133" s="204">
        <v>0</v>
      </c>
      <c r="D133" s="189">
        <f t="shared" si="8"/>
        <v>0</v>
      </c>
      <c r="E133" s="204"/>
      <c r="F133" s="260"/>
      <c r="G133" s="220"/>
      <c r="H133" s="201"/>
      <c r="I133" s="202"/>
      <c r="J133" s="5"/>
      <c r="K133" s="181"/>
      <c r="Q133" s="263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0">
        <f>'Données projet'!A132</f>
        <v>0</v>
      </c>
      <c r="B134" s="191">
        <f>'Données projet'!D132</f>
        <v>0</v>
      </c>
      <c r="C134" s="204">
        <v>0</v>
      </c>
      <c r="D134" s="189">
        <f t="shared" si="8"/>
        <v>0</v>
      </c>
      <c r="E134" s="204"/>
      <c r="F134" s="260"/>
      <c r="G134" s="220"/>
      <c r="H134" s="201"/>
      <c r="I134" s="202"/>
      <c r="J134" s="5"/>
      <c r="K134" s="181"/>
      <c r="Q134" s="263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0">
        <f>'Données projet'!A133</f>
        <v>0</v>
      </c>
      <c r="B135" s="191">
        <f>'Données projet'!D133</f>
        <v>0</v>
      </c>
      <c r="C135" s="204">
        <v>0</v>
      </c>
      <c r="D135" s="189">
        <f t="shared" si="8"/>
        <v>0</v>
      </c>
      <c r="E135" s="204"/>
      <c r="F135" s="260"/>
      <c r="G135" s="220"/>
      <c r="H135" s="201"/>
      <c r="I135" s="202"/>
      <c r="J135" s="5"/>
      <c r="K135" s="181"/>
      <c r="Q135" s="263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58"/>
      <c r="G136" s="220"/>
      <c r="H136" s="201"/>
      <c r="I136" s="202"/>
      <c r="J136" s="5"/>
      <c r="K136" s="181"/>
      <c r="L136" s="5"/>
      <c r="M136" s="5"/>
      <c r="N136" s="5"/>
      <c r="Q136" s="263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58"/>
      <c r="G137" s="220"/>
      <c r="H137" s="201"/>
      <c r="I137" s="202"/>
      <c r="J137" s="5"/>
      <c r="K137" s="181"/>
      <c r="L137" s="5"/>
      <c r="M137" s="5"/>
      <c r="N137" s="5"/>
      <c r="Q137" s="263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4" t="str">
        <f>IF('Données projet'!B13="","",'Données projet'!B13)</f>
        <v>Chêne sessile</v>
      </c>
      <c r="C138" s="5"/>
      <c r="D138" s="5"/>
      <c r="E138" s="5"/>
      <c r="F138" s="258"/>
      <c r="G138" s="220"/>
      <c r="H138" s="201"/>
      <c r="I138" s="202"/>
      <c r="J138" s="5"/>
      <c r="K138" s="181"/>
      <c r="L138" s="5"/>
      <c r="M138" s="5"/>
      <c r="N138" s="5"/>
      <c r="Q138" s="263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58"/>
      <c r="G139" s="220"/>
      <c r="H139" s="201"/>
      <c r="I139" s="202"/>
      <c r="J139" s="5"/>
      <c r="K139" s="181"/>
      <c r="L139" s="5"/>
      <c r="M139" s="5"/>
      <c r="N139" s="5"/>
      <c r="Q139" s="263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4" t="s">
        <v>180</v>
      </c>
      <c r="B140" s="51" t="s">
        <v>256</v>
      </c>
      <c r="C140" s="51" t="s">
        <v>255</v>
      </c>
      <c r="D140" s="254" t="s">
        <v>252</v>
      </c>
      <c r="E140" s="254" t="s">
        <v>320</v>
      </c>
      <c r="F140" s="259"/>
      <c r="G140" s="220"/>
      <c r="H140" s="201"/>
      <c r="I140" s="202"/>
      <c r="J140" s="5"/>
      <c r="K140" s="181"/>
      <c r="L140" s="5"/>
      <c r="M140" s="5"/>
      <c r="N140" s="5"/>
      <c r="Q140" s="263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07">
        <v>0</v>
      </c>
      <c r="B141" s="210" t="s">
        <v>132</v>
      </c>
      <c r="C141" s="209" t="s">
        <v>132</v>
      </c>
      <c r="D141" s="208" t="s">
        <v>132</v>
      </c>
      <c r="E141" s="204"/>
      <c r="F141" s="259"/>
      <c r="G141" s="220"/>
      <c r="H141" s="201"/>
      <c r="I141" s="202"/>
      <c r="J141" s="5"/>
      <c r="K141" s="181"/>
      <c r="L141" s="5"/>
      <c r="M141" s="5"/>
      <c r="N141" s="5"/>
      <c r="Q141" s="263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07">
        <v>1</v>
      </c>
      <c r="B142" s="210" t="s">
        <v>132</v>
      </c>
      <c r="C142" s="209" t="s">
        <v>132</v>
      </c>
      <c r="D142" s="208" t="s">
        <v>132</v>
      </c>
      <c r="E142" s="204"/>
      <c r="F142" s="259"/>
      <c r="G142" s="218"/>
      <c r="H142" s="201"/>
      <c r="I142" s="202"/>
      <c r="J142" s="5"/>
      <c r="K142" s="181"/>
      <c r="L142" s="5"/>
      <c r="M142" s="5"/>
      <c r="N142" s="5"/>
      <c r="Q142" s="263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07">
        <v>2</v>
      </c>
      <c r="B143" s="210" t="s">
        <v>132</v>
      </c>
      <c r="C143" s="209" t="s">
        <v>132</v>
      </c>
      <c r="D143" s="208" t="s">
        <v>132</v>
      </c>
      <c r="E143" s="204"/>
      <c r="F143" s="259"/>
      <c r="G143" s="218"/>
      <c r="H143" s="201"/>
      <c r="I143" s="202"/>
      <c r="J143" s="5"/>
      <c r="K143" s="181"/>
      <c r="L143" s="5"/>
      <c r="M143" s="5"/>
      <c r="N143" s="5"/>
      <c r="Q143" s="263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07">
        <v>3</v>
      </c>
      <c r="B144" s="210" t="s">
        <v>132</v>
      </c>
      <c r="C144" s="209" t="s">
        <v>132</v>
      </c>
      <c r="D144" s="208" t="s">
        <v>132</v>
      </c>
      <c r="E144" s="204"/>
      <c r="F144" s="259"/>
      <c r="G144" s="218"/>
      <c r="H144" s="201"/>
      <c r="I144" s="202"/>
      <c r="J144" s="5"/>
      <c r="K144" s="181"/>
      <c r="L144" s="5"/>
      <c r="M144" s="5"/>
      <c r="N144" s="5"/>
      <c r="Q144" s="263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07">
        <v>4</v>
      </c>
      <c r="B145" s="210" t="s">
        <v>132</v>
      </c>
      <c r="C145" s="209" t="s">
        <v>132</v>
      </c>
      <c r="D145" s="208" t="s">
        <v>132</v>
      </c>
      <c r="E145" s="204"/>
      <c r="F145" s="259"/>
      <c r="G145" s="218"/>
      <c r="H145" s="201"/>
      <c r="I145" s="202"/>
      <c r="J145" s="5"/>
      <c r="K145" s="181"/>
      <c r="L145" s="5"/>
      <c r="M145" s="5"/>
      <c r="N145" s="5"/>
      <c r="Q145" s="263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07">
        <v>5</v>
      </c>
      <c r="B146" s="210" t="s">
        <v>132</v>
      </c>
      <c r="C146" s="209" t="s">
        <v>132</v>
      </c>
      <c r="D146" s="208" t="s">
        <v>132</v>
      </c>
      <c r="E146" s="204"/>
      <c r="F146" s="259"/>
      <c r="G146" s="219"/>
      <c r="H146" s="201"/>
      <c r="I146" s="202"/>
      <c r="J146" s="5"/>
      <c r="K146" s="181"/>
      <c r="L146" s="5"/>
      <c r="M146" s="5"/>
      <c r="N146" s="5"/>
      <c r="Q146" s="263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20</v>
      </c>
      <c r="B147" s="185">
        <f>'Données projet'!D140</f>
        <v>0</v>
      </c>
      <c r="C147" s="202">
        <v>0</v>
      </c>
      <c r="D147" s="192">
        <f>B147*C147</f>
        <v>0</v>
      </c>
      <c r="E147" s="204"/>
      <c r="F147" s="261"/>
      <c r="G147" s="219"/>
      <c r="H147" s="201"/>
      <c r="I147" s="202"/>
      <c r="J147" s="5"/>
      <c r="K147" s="181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25</v>
      </c>
      <c r="B148" s="185">
        <f>'Données projet'!D141</f>
        <v>0</v>
      </c>
      <c r="C148" s="204">
        <v>0</v>
      </c>
      <c r="D148" s="192">
        <f t="shared" ref="D148:D166" si="10">B148*C148</f>
        <v>0</v>
      </c>
      <c r="E148" s="204"/>
      <c r="F148" s="261"/>
      <c r="G148" s="219"/>
      <c r="H148" s="201"/>
      <c r="I148" s="202"/>
      <c r="J148" s="5"/>
      <c r="K148" s="181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30</v>
      </c>
      <c r="B149" s="185">
        <f>'Données projet'!D142</f>
        <v>29</v>
      </c>
      <c r="C149" s="204">
        <v>10</v>
      </c>
      <c r="D149" s="192">
        <f t="shared" si="10"/>
        <v>290</v>
      </c>
      <c r="E149" s="204"/>
      <c r="F149" s="261"/>
      <c r="G149" s="219"/>
      <c r="H149" s="201"/>
      <c r="I149" s="202"/>
      <c r="J149" s="5"/>
      <c r="K149" s="181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35</v>
      </c>
      <c r="B150" s="185">
        <f>'Données projet'!D143</f>
        <v>0</v>
      </c>
      <c r="C150" s="204">
        <v>0</v>
      </c>
      <c r="D150" s="192">
        <f t="shared" si="10"/>
        <v>0</v>
      </c>
      <c r="E150" s="204"/>
      <c r="F150" s="261"/>
      <c r="G150" s="219"/>
      <c r="H150" s="201"/>
      <c r="I150" s="202"/>
      <c r="J150" s="5"/>
      <c r="K150" s="181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40</v>
      </c>
      <c r="B151" s="185">
        <f>'Données projet'!D144</f>
        <v>42</v>
      </c>
      <c r="C151" s="204">
        <v>10</v>
      </c>
      <c r="D151" s="192">
        <f t="shared" si="10"/>
        <v>420</v>
      </c>
      <c r="E151" s="204"/>
      <c r="F151" s="261"/>
      <c r="G151" s="219"/>
      <c r="H151" s="201"/>
      <c r="I151" s="202"/>
      <c r="J151" s="5"/>
      <c r="K151" s="181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45</v>
      </c>
      <c r="B152" s="185">
        <f>'Données projet'!D145</f>
        <v>0</v>
      </c>
      <c r="C152" s="204">
        <v>0</v>
      </c>
      <c r="D152" s="192">
        <f t="shared" si="10"/>
        <v>0</v>
      </c>
      <c r="E152" s="204"/>
      <c r="F152" s="261"/>
      <c r="G152" s="219"/>
      <c r="H152" s="201"/>
      <c r="I152" s="202"/>
      <c r="J152" s="5"/>
      <c r="K152" s="181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50</v>
      </c>
      <c r="B153" s="185">
        <f>'Données projet'!D146</f>
        <v>42</v>
      </c>
      <c r="C153" s="204">
        <v>20</v>
      </c>
      <c r="D153" s="192">
        <f t="shared" si="10"/>
        <v>840</v>
      </c>
      <c r="E153" s="204"/>
      <c r="F153" s="261"/>
      <c r="G153" s="215"/>
      <c r="H153" s="201"/>
      <c r="I153" s="202"/>
      <c r="J153" s="5"/>
      <c r="K153" s="181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55</v>
      </c>
      <c r="B154" s="185">
        <f>'Données projet'!D147</f>
        <v>0</v>
      </c>
      <c r="C154" s="204">
        <v>0</v>
      </c>
      <c r="D154" s="192">
        <f t="shared" si="10"/>
        <v>0</v>
      </c>
      <c r="E154" s="204"/>
      <c r="F154" s="261"/>
      <c r="G154" s="215"/>
      <c r="H154" s="201"/>
      <c r="I154" s="202"/>
      <c r="J154" s="5"/>
      <c r="K154" s="181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60</v>
      </c>
      <c r="B155" s="185">
        <f>'Données projet'!D148</f>
        <v>42</v>
      </c>
      <c r="C155" s="204">
        <v>30</v>
      </c>
      <c r="D155" s="192">
        <f t="shared" si="10"/>
        <v>1260</v>
      </c>
      <c r="E155" s="204"/>
      <c r="F155" s="261"/>
      <c r="G155" s="215"/>
      <c r="H155" s="201"/>
      <c r="I155" s="202"/>
      <c r="J155" s="5"/>
      <c r="K155" s="181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65</v>
      </c>
      <c r="B156" s="185">
        <f>'Données projet'!D149</f>
        <v>0</v>
      </c>
      <c r="C156" s="204">
        <v>0</v>
      </c>
      <c r="D156" s="192">
        <f t="shared" si="10"/>
        <v>0</v>
      </c>
      <c r="E156" s="204"/>
      <c r="F156" s="261"/>
      <c r="G156" s="215"/>
      <c r="H156" s="201"/>
      <c r="I156" s="202"/>
      <c r="J156" s="5"/>
      <c r="K156" s="181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70</v>
      </c>
      <c r="B157" s="185">
        <f>'Données projet'!D150</f>
        <v>42</v>
      </c>
      <c r="C157" s="204">
        <v>40</v>
      </c>
      <c r="D157" s="192">
        <f t="shared" si="10"/>
        <v>1680</v>
      </c>
      <c r="E157" s="204"/>
      <c r="F157" s="261"/>
      <c r="G157" s="215"/>
      <c r="H157" s="201"/>
      <c r="I157" s="202"/>
      <c r="J157" s="5"/>
      <c r="K157" s="181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75</v>
      </c>
      <c r="B158" s="185">
        <f>'Données projet'!D151</f>
        <v>0</v>
      </c>
      <c r="C158" s="204">
        <v>0</v>
      </c>
      <c r="D158" s="192">
        <f t="shared" si="10"/>
        <v>0</v>
      </c>
      <c r="E158" s="204"/>
      <c r="F158" s="261"/>
      <c r="G158" s="215"/>
      <c r="H158" s="201"/>
      <c r="I158" s="202"/>
      <c r="J158" s="5"/>
      <c r="K158" s="181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80</v>
      </c>
      <c r="B159" s="185">
        <f>'Données projet'!D152</f>
        <v>42</v>
      </c>
      <c r="C159" s="204">
        <v>70</v>
      </c>
      <c r="D159" s="192">
        <f t="shared" si="10"/>
        <v>2940</v>
      </c>
      <c r="E159" s="204"/>
      <c r="F159" s="261"/>
      <c r="G159" s="215"/>
      <c r="H159" s="201"/>
      <c r="I159" s="202"/>
      <c r="J159" s="5"/>
      <c r="K159" s="181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90</v>
      </c>
      <c r="B160" s="185">
        <f>'Données projet'!D153</f>
        <v>42</v>
      </c>
      <c r="C160" s="204">
        <v>100</v>
      </c>
      <c r="D160" s="192">
        <f t="shared" si="10"/>
        <v>4200</v>
      </c>
      <c r="E160" s="204"/>
      <c r="F160" s="261"/>
      <c r="G160" s="215"/>
      <c r="H160" s="201"/>
      <c r="I160" s="202"/>
      <c r="J160" s="5"/>
      <c r="K160" s="181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100</v>
      </c>
      <c r="B161" s="185">
        <f>'Données projet'!D154</f>
        <v>42</v>
      </c>
      <c r="C161" s="204">
        <v>110</v>
      </c>
      <c r="D161" s="192">
        <f t="shared" si="10"/>
        <v>4620</v>
      </c>
      <c r="E161" s="204"/>
      <c r="F161" s="261"/>
      <c r="G161" s="215"/>
      <c r="H161" s="201"/>
      <c r="I161" s="202"/>
      <c r="J161" s="5"/>
      <c r="K161" s="181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110</v>
      </c>
      <c r="B162" s="185">
        <f>'Données projet'!D155</f>
        <v>39</v>
      </c>
      <c r="C162" s="204">
        <v>120</v>
      </c>
      <c r="D162" s="192">
        <f t="shared" si="10"/>
        <v>4680</v>
      </c>
      <c r="E162" s="204"/>
      <c r="F162" s="261"/>
      <c r="G162" s="215"/>
      <c r="H162" s="201"/>
      <c r="I162" s="202"/>
      <c r="J162" s="5"/>
      <c r="K162" s="181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120</v>
      </c>
      <c r="B163" s="185">
        <f>'Données projet'!D156</f>
        <v>35</v>
      </c>
      <c r="C163" s="204">
        <v>130</v>
      </c>
      <c r="D163" s="192">
        <f t="shared" si="10"/>
        <v>4550</v>
      </c>
      <c r="E163" s="204"/>
      <c r="F163" s="261"/>
      <c r="G163" s="215"/>
      <c r="H163" s="201"/>
      <c r="I163" s="202"/>
      <c r="J163" s="5"/>
      <c r="K163" s="181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130</v>
      </c>
      <c r="B164" s="185">
        <f>'Données projet'!D157</f>
        <v>31</v>
      </c>
      <c r="C164" s="204">
        <v>140</v>
      </c>
      <c r="D164" s="192">
        <f t="shared" si="10"/>
        <v>4340</v>
      </c>
      <c r="E164" s="204"/>
      <c r="F164" s="261"/>
      <c r="G164" s="215"/>
      <c r="H164" s="201"/>
      <c r="I164" s="202"/>
      <c r="J164" s="5"/>
      <c r="K164" s="181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140</v>
      </c>
      <c r="B165" s="185">
        <f>'Données projet'!D158</f>
        <v>27</v>
      </c>
      <c r="C165" s="204">
        <v>160</v>
      </c>
      <c r="D165" s="192">
        <f t="shared" si="10"/>
        <v>4320</v>
      </c>
      <c r="E165" s="204"/>
      <c r="F165" s="261"/>
      <c r="G165" s="215"/>
      <c r="H165" s="201"/>
      <c r="I165" s="202"/>
      <c r="J165" s="5"/>
      <c r="K165" s="181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150</v>
      </c>
      <c r="B166" s="185">
        <f>'Données projet'!D159</f>
        <v>293</v>
      </c>
      <c r="C166" s="204">
        <v>200</v>
      </c>
      <c r="D166" s="192">
        <f t="shared" si="10"/>
        <v>58600</v>
      </c>
      <c r="E166" s="204"/>
      <c r="F166" s="261"/>
      <c r="G166" s="215"/>
      <c r="H166" s="201"/>
      <c r="I166" s="202"/>
      <c r="J166" s="5"/>
      <c r="K166" s="181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58"/>
      <c r="G167" s="215"/>
      <c r="H167" s="201"/>
      <c r="I167" s="202"/>
      <c r="J167" s="5"/>
      <c r="K167" s="181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58"/>
      <c r="G168" s="215"/>
      <c r="H168" s="201"/>
      <c r="I168" s="202"/>
      <c r="J168" s="5"/>
      <c r="K168" s="181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4" t="str">
        <f>IF('Données projet'!B14="","",'Données projet'!B14)</f>
        <v>Chêne chevelu</v>
      </c>
      <c r="C169" s="5"/>
      <c r="D169" s="5"/>
      <c r="E169" s="5"/>
      <c r="F169" s="258"/>
      <c r="G169" s="215"/>
      <c r="H169" s="201"/>
      <c r="I169" s="202"/>
      <c r="J169" s="5"/>
      <c r="K169" s="181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58"/>
      <c r="G170" s="215"/>
      <c r="H170" s="201"/>
      <c r="I170" s="202"/>
      <c r="J170" s="5"/>
      <c r="K170" s="181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4" t="s">
        <v>180</v>
      </c>
      <c r="B171" s="51" t="s">
        <v>256</v>
      </c>
      <c r="C171" s="51" t="s">
        <v>255</v>
      </c>
      <c r="D171" s="254" t="s">
        <v>252</v>
      </c>
      <c r="E171" s="254" t="s">
        <v>320</v>
      </c>
      <c r="F171" s="259"/>
      <c r="G171" s="215"/>
      <c r="H171" s="201"/>
      <c r="I171" s="202"/>
      <c r="J171" s="5"/>
      <c r="K171" s="181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07">
        <v>0</v>
      </c>
      <c r="B172" s="210" t="s">
        <v>132</v>
      </c>
      <c r="C172" s="209" t="s">
        <v>132</v>
      </c>
      <c r="D172" s="208" t="s">
        <v>132</v>
      </c>
      <c r="E172" s="204"/>
      <c r="F172" s="259"/>
      <c r="G172" s="215"/>
      <c r="H172" s="201"/>
      <c r="I172" s="202"/>
      <c r="J172" s="5"/>
      <c r="K172" s="181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07">
        <v>1</v>
      </c>
      <c r="B173" s="210" t="s">
        <v>132</v>
      </c>
      <c r="C173" s="209" t="s">
        <v>132</v>
      </c>
      <c r="D173" s="208" t="s">
        <v>132</v>
      </c>
      <c r="E173" s="204"/>
      <c r="F173" s="259"/>
      <c r="G173" s="218"/>
      <c r="H173" s="201"/>
      <c r="I173" s="202"/>
      <c r="J173" s="5"/>
      <c r="K173" s="181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07">
        <v>2</v>
      </c>
      <c r="B174" s="210" t="s">
        <v>132</v>
      </c>
      <c r="C174" s="209" t="s">
        <v>132</v>
      </c>
      <c r="D174" s="208" t="s">
        <v>132</v>
      </c>
      <c r="E174" s="204"/>
      <c r="F174" s="259"/>
      <c r="G174" s="218"/>
      <c r="H174" s="201"/>
      <c r="I174" s="202"/>
      <c r="J174" s="5"/>
      <c r="K174" s="181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07">
        <v>3</v>
      </c>
      <c r="B175" s="210" t="s">
        <v>132</v>
      </c>
      <c r="C175" s="209" t="s">
        <v>132</v>
      </c>
      <c r="D175" s="208" t="s">
        <v>132</v>
      </c>
      <c r="E175" s="204"/>
      <c r="F175" s="259"/>
      <c r="G175" s="218"/>
      <c r="H175" s="201"/>
      <c r="I175" s="202"/>
      <c r="J175" s="5"/>
      <c r="K175" s="181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07">
        <v>4</v>
      </c>
      <c r="B176" s="210" t="s">
        <v>132</v>
      </c>
      <c r="C176" s="209" t="s">
        <v>132</v>
      </c>
      <c r="D176" s="208" t="s">
        <v>132</v>
      </c>
      <c r="E176" s="204"/>
      <c r="F176" s="259"/>
      <c r="G176" s="218"/>
      <c r="H176" s="201"/>
      <c r="I176" s="202"/>
      <c r="J176" s="5"/>
      <c r="K176" s="181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07">
        <v>5</v>
      </c>
      <c r="B177" s="210" t="s">
        <v>132</v>
      </c>
      <c r="C177" s="209" t="s">
        <v>132</v>
      </c>
      <c r="D177" s="208" t="s">
        <v>132</v>
      </c>
      <c r="E177" s="204"/>
      <c r="F177" s="259"/>
      <c r="G177" s="219"/>
      <c r="H177" s="201"/>
      <c r="I177" s="202"/>
      <c r="J177" s="5"/>
      <c r="K177" s="181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0">
        <f>'Données projet'!A166</f>
        <v>15</v>
      </c>
      <c r="B178" s="191">
        <f>'Données projet'!D166</f>
        <v>0</v>
      </c>
      <c r="C178" s="202">
        <v>0</v>
      </c>
      <c r="D178" s="189">
        <f>B178*C178</f>
        <v>0</v>
      </c>
      <c r="E178" s="204"/>
      <c r="F178" s="260"/>
      <c r="G178" s="219"/>
      <c r="H178" s="201"/>
      <c r="I178" s="202"/>
      <c r="J178" s="5"/>
      <c r="K178" s="181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0">
        <f>'Données projet'!A167</f>
        <v>20</v>
      </c>
      <c r="B179" s="191">
        <f>'Données projet'!D167</f>
        <v>0</v>
      </c>
      <c r="C179" s="202">
        <v>0</v>
      </c>
      <c r="D179" s="189">
        <f t="shared" ref="D179:D197" si="11">B179*C179</f>
        <v>0</v>
      </c>
      <c r="E179" s="204"/>
      <c r="F179" s="260"/>
      <c r="G179" s="219"/>
      <c r="H179" s="201"/>
      <c r="I179" s="202"/>
      <c r="J179" s="5"/>
      <c r="K179" s="181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0">
        <f>'Données projet'!A168</f>
        <v>25</v>
      </c>
      <c r="B180" s="191">
        <f>'Données projet'!D168</f>
        <v>0</v>
      </c>
      <c r="C180" s="202">
        <v>0</v>
      </c>
      <c r="D180" s="189">
        <f t="shared" si="11"/>
        <v>0</v>
      </c>
      <c r="E180" s="204"/>
      <c r="F180" s="260"/>
      <c r="G180" s="219"/>
      <c r="H180" s="201"/>
      <c r="I180" s="202"/>
      <c r="J180" s="5"/>
      <c r="K180" s="181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0">
        <f>'Données projet'!A169</f>
        <v>30</v>
      </c>
      <c r="B181" s="191">
        <f>'Données projet'!D169</f>
        <v>28.205128205128204</v>
      </c>
      <c r="C181" s="204">
        <v>20</v>
      </c>
      <c r="D181" s="189">
        <f t="shared" si="11"/>
        <v>564.10256410256409</v>
      </c>
      <c r="E181" s="204"/>
      <c r="F181" s="260"/>
      <c r="G181" s="219"/>
      <c r="H181" s="201"/>
      <c r="I181" s="202"/>
      <c r="J181" s="5"/>
      <c r="K181" s="181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0">
        <f>'Données projet'!A170</f>
        <v>35</v>
      </c>
      <c r="B182" s="191">
        <f>'Données projet'!D170</f>
        <v>0</v>
      </c>
      <c r="C182" s="204">
        <v>0</v>
      </c>
      <c r="D182" s="189">
        <f t="shared" si="11"/>
        <v>0</v>
      </c>
      <c r="E182" s="204"/>
      <c r="F182" s="260"/>
      <c r="G182" s="219"/>
      <c r="H182" s="201"/>
      <c r="I182" s="202"/>
      <c r="J182" s="5"/>
      <c r="K182" s="181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0">
        <f>'Données projet'!A171</f>
        <v>40</v>
      </c>
      <c r="B183" s="191">
        <f>'Données projet'!D171</f>
        <v>22.435897435897434</v>
      </c>
      <c r="C183" s="204">
        <v>30</v>
      </c>
      <c r="D183" s="189">
        <f t="shared" si="11"/>
        <v>673.07692307692298</v>
      </c>
      <c r="E183" s="204"/>
      <c r="F183" s="260"/>
      <c r="G183" s="219"/>
      <c r="H183" s="201"/>
      <c r="I183" s="202"/>
      <c r="J183" s="5"/>
      <c r="K183" s="181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0">
        <f>'Données projet'!A172</f>
        <v>45</v>
      </c>
      <c r="B184" s="191">
        <f>'Données projet'!D172</f>
        <v>0</v>
      </c>
      <c r="C184" s="204">
        <v>0</v>
      </c>
      <c r="D184" s="189">
        <f t="shared" si="11"/>
        <v>0</v>
      </c>
      <c r="E184" s="204"/>
      <c r="F184" s="260"/>
      <c r="G184" s="220"/>
      <c r="H184" s="201"/>
      <c r="I184" s="202"/>
      <c r="J184" s="5"/>
      <c r="K184" s="181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0">
        <f>'Données projet'!A173</f>
        <v>50</v>
      </c>
      <c r="B185" s="191">
        <f>'Données projet'!D173</f>
        <v>24.358974358974358</v>
      </c>
      <c r="C185" s="204">
        <v>60</v>
      </c>
      <c r="D185" s="189">
        <f t="shared" si="11"/>
        <v>1461.5384615384614</v>
      </c>
      <c r="E185" s="204"/>
      <c r="F185" s="260"/>
      <c r="G185" s="220"/>
      <c r="H185" s="201"/>
      <c r="I185" s="202"/>
      <c r="J185" s="5"/>
      <c r="K185" s="181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0">
        <f>'Données projet'!A174</f>
        <v>55</v>
      </c>
      <c r="B186" s="191">
        <f>'Données projet'!D174</f>
        <v>0</v>
      </c>
      <c r="C186" s="204">
        <v>0</v>
      </c>
      <c r="D186" s="189">
        <f t="shared" si="11"/>
        <v>0</v>
      </c>
      <c r="E186" s="204"/>
      <c r="F186" s="260"/>
      <c r="G186" s="220"/>
      <c r="H186" s="201"/>
      <c r="I186" s="202"/>
      <c r="J186" s="5"/>
      <c r="K186" s="181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0">
        <f>'Données projet'!A175</f>
        <v>60</v>
      </c>
      <c r="B187" s="191">
        <f>'Données projet'!D175</f>
        <v>24.358974358974358</v>
      </c>
      <c r="C187" s="204">
        <v>80</v>
      </c>
      <c r="D187" s="189">
        <f t="shared" si="11"/>
        <v>1948.7179487179487</v>
      </c>
      <c r="E187" s="204"/>
      <c r="F187" s="260"/>
      <c r="G187" s="220"/>
      <c r="H187" s="201"/>
      <c r="I187" s="202"/>
      <c r="J187" s="5"/>
      <c r="K187" s="181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0">
        <f>'Données projet'!A176</f>
        <v>65</v>
      </c>
      <c r="B188" s="191">
        <f>'Données projet'!D176</f>
        <v>0</v>
      </c>
      <c r="C188" s="204">
        <v>0</v>
      </c>
      <c r="D188" s="189">
        <f t="shared" si="11"/>
        <v>0</v>
      </c>
      <c r="E188" s="204"/>
      <c r="F188" s="260"/>
      <c r="G188" s="220"/>
      <c r="H188" s="201"/>
      <c r="I188" s="202"/>
      <c r="J188" s="5"/>
      <c r="K188" s="181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0">
        <f>'Données projet'!A177</f>
        <v>70</v>
      </c>
      <c r="B189" s="191">
        <f>'Données projet'!D177</f>
        <v>23.076923076923077</v>
      </c>
      <c r="C189" s="204">
        <v>90</v>
      </c>
      <c r="D189" s="189">
        <f t="shared" si="11"/>
        <v>2076.9230769230767</v>
      </c>
      <c r="E189" s="204"/>
      <c r="F189" s="260"/>
      <c r="G189" s="220"/>
      <c r="H189" s="201"/>
      <c r="I189" s="202"/>
      <c r="J189" s="5"/>
      <c r="K189" s="181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0">
        <f>'Données projet'!A178</f>
        <v>75</v>
      </c>
      <c r="B190" s="191">
        <f>'Données projet'!D178</f>
        <v>0</v>
      </c>
      <c r="C190" s="204">
        <v>0</v>
      </c>
      <c r="D190" s="189">
        <f t="shared" si="11"/>
        <v>0</v>
      </c>
      <c r="E190" s="204"/>
      <c r="F190" s="260"/>
      <c r="G190" s="220"/>
      <c r="H190" s="201"/>
      <c r="I190" s="202"/>
      <c r="J190" s="5"/>
      <c r="K190" s="181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0">
        <f>'Données projet'!A179</f>
        <v>80</v>
      </c>
      <c r="B191" s="191">
        <f>'Données projet'!D179</f>
        <v>22.435897435897434</v>
      </c>
      <c r="C191" s="204">
        <v>100</v>
      </c>
      <c r="D191" s="189">
        <f t="shared" si="11"/>
        <v>2243.5897435897436</v>
      </c>
      <c r="E191" s="204"/>
      <c r="F191" s="260"/>
      <c r="G191" s="220"/>
      <c r="H191" s="201"/>
      <c r="I191" s="202"/>
      <c r="J191" s="5"/>
      <c r="K191" s="181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0">
        <f>'Données projet'!A180</f>
        <v>85</v>
      </c>
      <c r="B192" s="191">
        <f>'Données projet'!D180</f>
        <v>0</v>
      </c>
      <c r="C192" s="204">
        <v>0</v>
      </c>
      <c r="D192" s="189">
        <f t="shared" si="11"/>
        <v>0</v>
      </c>
      <c r="E192" s="204"/>
      <c r="F192" s="260"/>
      <c r="G192" s="220"/>
      <c r="H192" s="201"/>
      <c r="I192" s="202"/>
      <c r="J192" s="5"/>
      <c r="K192" s="181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0">
        <f>'Données projet'!A181</f>
        <v>90</v>
      </c>
      <c r="B193" s="191">
        <f>'Données projet'!D181</f>
        <v>21.153846153846153</v>
      </c>
      <c r="C193" s="202">
        <v>110</v>
      </c>
      <c r="D193" s="189">
        <f t="shared" si="11"/>
        <v>2326.9230769230767</v>
      </c>
      <c r="E193" s="204"/>
      <c r="F193" s="260"/>
      <c r="G193" s="220"/>
      <c r="H193" s="201"/>
      <c r="I193" s="202"/>
      <c r="J193" s="5"/>
      <c r="K193" s="181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0">
        <f>'Données projet'!A182</f>
        <v>100</v>
      </c>
      <c r="B194" s="191">
        <f>'Données projet'!D182</f>
        <v>20.512820512820511</v>
      </c>
      <c r="C194" s="202">
        <v>120</v>
      </c>
      <c r="D194" s="189">
        <f t="shared" si="11"/>
        <v>2461.5384615384614</v>
      </c>
      <c r="E194" s="204"/>
      <c r="F194" s="260"/>
      <c r="G194" s="220"/>
      <c r="H194" s="201"/>
      <c r="I194" s="202"/>
      <c r="J194" s="5"/>
      <c r="K194" s="181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0">
        <f>'Données projet'!A183</f>
        <v>110</v>
      </c>
      <c r="B195" s="191">
        <f>'Données projet'!D183</f>
        <v>19.23076923076923</v>
      </c>
      <c r="C195" s="202">
        <v>130</v>
      </c>
      <c r="D195" s="189">
        <f t="shared" si="11"/>
        <v>2500</v>
      </c>
      <c r="E195" s="204"/>
      <c r="F195" s="260"/>
      <c r="G195" s="220"/>
      <c r="H195" s="201"/>
      <c r="I195" s="202"/>
      <c r="J195" s="5"/>
      <c r="K195" s="181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0">
        <f>'Données projet'!A184</f>
        <v>120</v>
      </c>
      <c r="B196" s="191">
        <f>'Données projet'!D184</f>
        <v>17.948717948717949</v>
      </c>
      <c r="C196" s="202">
        <v>140</v>
      </c>
      <c r="D196" s="189">
        <f t="shared" si="11"/>
        <v>2512.8205128205127</v>
      </c>
      <c r="E196" s="204"/>
      <c r="F196" s="260"/>
      <c r="G196" s="220"/>
      <c r="H196" s="201"/>
      <c r="I196" s="202"/>
      <c r="J196" s="5"/>
      <c r="K196" s="181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0">
        <f>'Données projet'!A185</f>
        <v>130</v>
      </c>
      <c r="B197" s="191">
        <f>'Données projet'!D185</f>
        <v>339.10256410256409</v>
      </c>
      <c r="C197" s="202">
        <v>150</v>
      </c>
      <c r="D197" s="189">
        <f t="shared" si="11"/>
        <v>50865.38461538461</v>
      </c>
      <c r="E197" s="204"/>
      <c r="F197" s="260"/>
      <c r="G197" s="220"/>
      <c r="H197" s="201"/>
      <c r="I197" s="202"/>
      <c r="J197" s="5"/>
      <c r="K197" s="181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58"/>
      <c r="G198" s="220"/>
      <c r="H198" s="201"/>
      <c r="I198" s="202"/>
      <c r="J198" s="5"/>
      <c r="K198" s="181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58"/>
      <c r="G199" s="220"/>
      <c r="H199" s="201"/>
      <c r="I199" s="202"/>
      <c r="J199" s="5"/>
      <c r="K199" s="181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4" t="str">
        <f>IF('Données projet'!$B$15="","",'Données projet'!$B$15)</f>
        <v>Bouleau verruqueux</v>
      </c>
      <c r="C200" s="5"/>
      <c r="D200" s="5"/>
      <c r="E200" s="5"/>
      <c r="F200" s="258"/>
      <c r="G200" s="220"/>
      <c r="H200" s="201"/>
      <c r="I200" s="202"/>
      <c r="J200" s="5"/>
      <c r="K200" s="181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58"/>
      <c r="G201" s="220"/>
      <c r="H201" s="201"/>
      <c r="I201" s="202"/>
      <c r="J201" s="5"/>
      <c r="K201" s="181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4" t="s">
        <v>180</v>
      </c>
      <c r="B202" s="51" t="s">
        <v>256</v>
      </c>
      <c r="C202" s="51" t="s">
        <v>255</v>
      </c>
      <c r="D202" s="254" t="s">
        <v>252</v>
      </c>
      <c r="E202" s="254" t="s">
        <v>320</v>
      </c>
      <c r="F202" s="259"/>
      <c r="G202" s="220"/>
      <c r="H202" s="201"/>
      <c r="I202" s="202"/>
      <c r="J202" s="5"/>
      <c r="K202" s="181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07">
        <v>0</v>
      </c>
      <c r="B203" s="210" t="s">
        <v>132</v>
      </c>
      <c r="C203" s="209" t="s">
        <v>132</v>
      </c>
      <c r="D203" s="208" t="s">
        <v>132</v>
      </c>
      <c r="E203" s="204"/>
      <c r="F203" s="259"/>
      <c r="G203" s="220"/>
      <c r="H203" s="201"/>
      <c r="I203" s="202"/>
      <c r="J203" s="5"/>
      <c r="K203" s="181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07">
        <v>1</v>
      </c>
      <c r="B204" s="210" t="s">
        <v>132</v>
      </c>
      <c r="C204" s="209" t="s">
        <v>132</v>
      </c>
      <c r="D204" s="208" t="s">
        <v>132</v>
      </c>
      <c r="E204" s="204"/>
      <c r="F204" s="259"/>
      <c r="G204" s="218"/>
      <c r="H204" s="201"/>
      <c r="I204" s="202"/>
      <c r="J204" s="5"/>
      <c r="K204" s="181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07">
        <v>2</v>
      </c>
      <c r="B205" s="210" t="s">
        <v>132</v>
      </c>
      <c r="C205" s="209" t="s">
        <v>132</v>
      </c>
      <c r="D205" s="208" t="s">
        <v>132</v>
      </c>
      <c r="E205" s="204"/>
      <c r="F205" s="259"/>
      <c r="G205" s="218"/>
      <c r="H205" s="201"/>
      <c r="I205" s="202"/>
      <c r="J205" s="5"/>
      <c r="K205" s="181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07">
        <v>3</v>
      </c>
      <c r="B206" s="210" t="s">
        <v>132</v>
      </c>
      <c r="C206" s="209" t="s">
        <v>132</v>
      </c>
      <c r="D206" s="208" t="s">
        <v>132</v>
      </c>
      <c r="E206" s="204"/>
      <c r="F206" s="259"/>
      <c r="G206" s="218"/>
      <c r="H206" s="201"/>
      <c r="I206" s="202"/>
      <c r="J206" s="5"/>
      <c r="K206" s="181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07">
        <v>4</v>
      </c>
      <c r="B207" s="210" t="s">
        <v>132</v>
      </c>
      <c r="C207" s="209" t="s">
        <v>132</v>
      </c>
      <c r="D207" s="208" t="s">
        <v>132</v>
      </c>
      <c r="E207" s="204"/>
      <c r="F207" s="259"/>
      <c r="G207" s="218"/>
      <c r="H207" s="201"/>
      <c r="I207" s="202"/>
      <c r="J207" s="5"/>
      <c r="K207" s="181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07">
        <v>5</v>
      </c>
      <c r="B208" s="210" t="s">
        <v>132</v>
      </c>
      <c r="C208" s="209" t="s">
        <v>132</v>
      </c>
      <c r="D208" s="208" t="s">
        <v>132</v>
      </c>
      <c r="E208" s="204"/>
      <c r="F208" s="259"/>
      <c r="G208" s="219"/>
      <c r="H208" s="201"/>
      <c r="I208" s="202"/>
      <c r="J208" s="5"/>
      <c r="K208" s="181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0">
        <f>'Données projet'!A192</f>
        <v>15</v>
      </c>
      <c r="B209" s="191">
        <f>'Données projet'!D192</f>
        <v>0</v>
      </c>
      <c r="C209" s="202">
        <v>0</v>
      </c>
      <c r="D209" s="189">
        <f>B209*C209</f>
        <v>0</v>
      </c>
      <c r="E209" s="204"/>
      <c r="F209" s="260"/>
      <c r="G209" s="219"/>
      <c r="H209" s="201"/>
      <c r="I209" s="202"/>
      <c r="J209" s="5"/>
      <c r="K209" s="181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0">
        <f>'Données projet'!A193</f>
        <v>20</v>
      </c>
      <c r="B210" s="191">
        <f>'Données projet'!D193</f>
        <v>0</v>
      </c>
      <c r="C210" s="202">
        <v>0</v>
      </c>
      <c r="D210" s="189">
        <f t="shared" ref="D210:D228" si="12">B210*C210</f>
        <v>0</v>
      </c>
      <c r="E210" s="204"/>
      <c r="F210" s="260"/>
      <c r="G210" s="219"/>
      <c r="H210" s="201"/>
      <c r="I210" s="202"/>
      <c r="J210" s="5"/>
      <c r="K210" s="181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0">
        <f>'Données projet'!A194</f>
        <v>25</v>
      </c>
      <c r="B211" s="191">
        <f>'Données projet'!D194</f>
        <v>13</v>
      </c>
      <c r="C211" s="202">
        <v>10</v>
      </c>
      <c r="D211" s="189">
        <f t="shared" si="12"/>
        <v>130</v>
      </c>
      <c r="E211" s="204"/>
      <c r="F211" s="260"/>
      <c r="G211" s="219"/>
      <c r="H211" s="201"/>
      <c r="I211" s="202"/>
      <c r="J211" s="5"/>
      <c r="K211" s="181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0">
        <f>'Données projet'!A195</f>
        <v>30</v>
      </c>
      <c r="B212" s="191">
        <f>'Données projet'!D195</f>
        <v>0</v>
      </c>
      <c r="C212" s="202">
        <v>0</v>
      </c>
      <c r="D212" s="189">
        <f t="shared" si="12"/>
        <v>0</v>
      </c>
      <c r="E212" s="204"/>
      <c r="F212" s="260"/>
      <c r="G212" s="219"/>
      <c r="H212" s="201"/>
      <c r="I212" s="202"/>
      <c r="J212" s="5"/>
      <c r="K212" s="181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0">
        <f>'Données projet'!A196</f>
        <v>35</v>
      </c>
      <c r="B213" s="191">
        <f>'Données projet'!D196</f>
        <v>19</v>
      </c>
      <c r="C213" s="202">
        <v>10</v>
      </c>
      <c r="D213" s="189">
        <f t="shared" si="12"/>
        <v>190</v>
      </c>
      <c r="E213" s="204"/>
      <c r="F213" s="260"/>
      <c r="G213" s="219"/>
      <c r="H213" s="201"/>
      <c r="I213" s="202"/>
      <c r="J213" s="5"/>
      <c r="K213" s="181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0">
        <f>'Données projet'!A197</f>
        <v>40</v>
      </c>
      <c r="B214" s="191">
        <f>'Données projet'!D197</f>
        <v>0</v>
      </c>
      <c r="C214" s="202">
        <v>0</v>
      </c>
      <c r="D214" s="189">
        <f t="shared" si="12"/>
        <v>0</v>
      </c>
      <c r="E214" s="204"/>
      <c r="F214" s="260"/>
      <c r="G214" s="219"/>
      <c r="H214" s="201"/>
      <c r="I214" s="202"/>
      <c r="J214" s="5"/>
      <c r="K214" s="181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0">
        <f>'Données projet'!A198</f>
        <v>45</v>
      </c>
      <c r="B215" s="191">
        <f>'Données projet'!D198</f>
        <v>21</v>
      </c>
      <c r="C215" s="202">
        <v>15</v>
      </c>
      <c r="D215" s="189">
        <f t="shared" si="12"/>
        <v>315</v>
      </c>
      <c r="E215" s="204"/>
      <c r="F215" s="260"/>
      <c r="G215" s="220"/>
      <c r="H215" s="201"/>
      <c r="I215" s="202"/>
      <c r="J215" s="5"/>
      <c r="K215" s="181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0">
        <f>'Données projet'!A199</f>
        <v>50</v>
      </c>
      <c r="B216" s="191">
        <f>'Données projet'!D199</f>
        <v>0</v>
      </c>
      <c r="C216" s="202">
        <v>0</v>
      </c>
      <c r="D216" s="189">
        <f t="shared" si="12"/>
        <v>0</v>
      </c>
      <c r="E216" s="204"/>
      <c r="F216" s="260"/>
      <c r="G216" s="220"/>
      <c r="H216" s="201"/>
      <c r="I216" s="202"/>
      <c r="J216" s="5"/>
      <c r="K216" s="181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0">
        <f>'Données projet'!A200</f>
        <v>55</v>
      </c>
      <c r="B217" s="191">
        <f>'Données projet'!D200</f>
        <v>22</v>
      </c>
      <c r="C217" s="202">
        <v>20</v>
      </c>
      <c r="D217" s="189">
        <f t="shared" si="12"/>
        <v>440</v>
      </c>
      <c r="E217" s="204"/>
      <c r="F217" s="260"/>
      <c r="G217" s="220"/>
      <c r="H217" s="201"/>
      <c r="I217" s="202"/>
      <c r="J217" s="5"/>
      <c r="K217" s="181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0">
        <f>'Données projet'!A201</f>
        <v>60</v>
      </c>
      <c r="B218" s="191">
        <f>'Données projet'!D201</f>
        <v>0</v>
      </c>
      <c r="C218" s="202">
        <v>0</v>
      </c>
      <c r="D218" s="189">
        <f t="shared" si="12"/>
        <v>0</v>
      </c>
      <c r="E218" s="204"/>
      <c r="F218" s="260"/>
      <c r="G218" s="220"/>
      <c r="H218" s="201"/>
      <c r="I218" s="202"/>
      <c r="J218" s="5"/>
      <c r="K218" s="181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0">
        <f>'Données projet'!A202</f>
        <v>65</v>
      </c>
      <c r="B219" s="191">
        <f>'Données projet'!D202</f>
        <v>22</v>
      </c>
      <c r="C219" s="202">
        <v>20</v>
      </c>
      <c r="D219" s="189">
        <f t="shared" si="12"/>
        <v>440</v>
      </c>
      <c r="E219" s="204"/>
      <c r="F219" s="260"/>
      <c r="G219" s="220"/>
      <c r="H219" s="201"/>
      <c r="I219" s="202"/>
      <c r="J219" s="5"/>
      <c r="K219" s="181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0">
        <f>'Données projet'!A203</f>
        <v>70</v>
      </c>
      <c r="B220" s="191">
        <f>'Données projet'!D203</f>
        <v>0</v>
      </c>
      <c r="C220" s="202">
        <v>0</v>
      </c>
      <c r="D220" s="189">
        <f t="shared" si="12"/>
        <v>0</v>
      </c>
      <c r="E220" s="204"/>
      <c r="F220" s="260"/>
      <c r="G220" s="220"/>
      <c r="H220" s="5"/>
      <c r="I220" s="5"/>
      <c r="J220" s="5"/>
      <c r="K220" s="181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0">
        <f>'Données projet'!A204</f>
        <v>75</v>
      </c>
      <c r="B221" s="191">
        <f>'Données projet'!D204</f>
        <v>22</v>
      </c>
      <c r="C221" s="202">
        <v>25</v>
      </c>
      <c r="D221" s="189">
        <f t="shared" si="12"/>
        <v>550</v>
      </c>
      <c r="E221" s="204"/>
      <c r="F221" s="260"/>
      <c r="G221" s="220"/>
      <c r="H221" s="5"/>
      <c r="I221" s="5"/>
      <c r="J221" s="5"/>
      <c r="K221" s="181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0">
        <f>'Données projet'!A205</f>
        <v>80</v>
      </c>
      <c r="B222" s="191">
        <f>'Données projet'!D205</f>
        <v>0</v>
      </c>
      <c r="C222" s="202">
        <v>0</v>
      </c>
      <c r="D222" s="189">
        <f t="shared" si="12"/>
        <v>0</v>
      </c>
      <c r="E222" s="204"/>
      <c r="F222" s="260"/>
      <c r="G222" s="220"/>
      <c r="H222" s="5"/>
      <c r="I222" s="5"/>
      <c r="J222" s="5"/>
      <c r="K222" s="181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0">
        <f>'Données projet'!A206</f>
        <v>85</v>
      </c>
      <c r="B223" s="191">
        <f>'Données projet'!D206</f>
        <v>21</v>
      </c>
      <c r="C223" s="202">
        <v>30</v>
      </c>
      <c r="D223" s="189">
        <f t="shared" si="12"/>
        <v>630</v>
      </c>
      <c r="E223" s="204"/>
      <c r="F223" s="260"/>
      <c r="G223" s="220"/>
      <c r="H223" s="5"/>
      <c r="I223" s="5"/>
      <c r="J223" s="5"/>
      <c r="K223" s="181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0">
        <f>'Données projet'!A207</f>
        <v>90</v>
      </c>
      <c r="B224" s="191">
        <f>'Données projet'!D207</f>
        <v>202</v>
      </c>
      <c r="C224" s="204">
        <v>35</v>
      </c>
      <c r="D224" s="189">
        <f t="shared" si="12"/>
        <v>7070</v>
      </c>
      <c r="E224" s="204"/>
      <c r="F224" s="260"/>
      <c r="G224" s="220"/>
      <c r="H224" s="5"/>
      <c r="I224" s="5"/>
      <c r="J224" s="5"/>
      <c r="K224" s="181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0">
        <f>'Données projet'!A208</f>
        <v>0</v>
      </c>
      <c r="B225" s="191">
        <f>'Données projet'!D208</f>
        <v>0</v>
      </c>
      <c r="C225" s="204">
        <v>0</v>
      </c>
      <c r="D225" s="189">
        <f t="shared" si="12"/>
        <v>0</v>
      </c>
      <c r="E225" s="204"/>
      <c r="F225" s="260"/>
      <c r="G225" s="220"/>
      <c r="H225" s="5"/>
      <c r="I225" s="5"/>
      <c r="J225" s="5"/>
      <c r="K225" s="181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0">
        <f>'Données projet'!A209</f>
        <v>0</v>
      </c>
      <c r="B226" s="191">
        <f>'Données projet'!D209</f>
        <v>0</v>
      </c>
      <c r="C226" s="204">
        <v>0</v>
      </c>
      <c r="D226" s="189">
        <f t="shared" si="12"/>
        <v>0</v>
      </c>
      <c r="E226" s="204"/>
      <c r="F226" s="260"/>
      <c r="G226" s="220"/>
      <c r="H226" s="5"/>
      <c r="I226" s="5"/>
      <c r="J226" s="5"/>
      <c r="K226" s="181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0">
        <f>'Données projet'!A210</f>
        <v>0</v>
      </c>
      <c r="B227" s="191">
        <f>'Données projet'!D210</f>
        <v>0</v>
      </c>
      <c r="C227" s="204">
        <v>0</v>
      </c>
      <c r="D227" s="189">
        <f t="shared" si="12"/>
        <v>0</v>
      </c>
      <c r="E227" s="204"/>
      <c r="F227" s="260"/>
      <c r="G227" s="220"/>
      <c r="H227" s="5"/>
      <c r="I227" s="5"/>
      <c r="J227" s="5"/>
      <c r="K227" s="181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0">
        <f>'Données projet'!A211</f>
        <v>0</v>
      </c>
      <c r="B228" s="191">
        <f>'Données projet'!D211</f>
        <v>0</v>
      </c>
      <c r="C228" s="204">
        <v>0</v>
      </c>
      <c r="D228" s="189">
        <f t="shared" si="12"/>
        <v>0</v>
      </c>
      <c r="E228" s="204"/>
      <c r="F228" s="260"/>
      <c r="G228" s="220"/>
      <c r="H228" s="5"/>
      <c r="I228" s="5"/>
      <c r="J228" s="5"/>
      <c r="K228" s="181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58"/>
      <c r="G229" s="220"/>
      <c r="H229" s="5"/>
      <c r="I229" s="5"/>
      <c r="J229" s="5"/>
      <c r="K229" s="181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58"/>
      <c r="G230" s="220"/>
      <c r="H230" s="5"/>
      <c r="I230" s="5"/>
      <c r="J230" s="5"/>
      <c r="K230" s="181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4" t="str">
        <f>IF('Données projet'!$B$16="","",'Données projet'!$B$16)</f>
        <v>Alisier torminal</v>
      </c>
      <c r="C231" s="5"/>
      <c r="D231" s="5"/>
      <c r="E231" s="5"/>
      <c r="F231" s="258"/>
      <c r="G231" s="220"/>
      <c r="H231" s="5"/>
      <c r="I231" s="5"/>
      <c r="J231" s="5"/>
      <c r="K231" s="181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58"/>
      <c r="G232" s="220"/>
      <c r="H232" s="5"/>
      <c r="I232" s="5"/>
      <c r="J232" s="5"/>
      <c r="K232" s="181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4" t="s">
        <v>180</v>
      </c>
      <c r="B233" s="51" t="s">
        <v>256</v>
      </c>
      <c r="C233" s="51" t="s">
        <v>255</v>
      </c>
      <c r="D233" s="254" t="s">
        <v>252</v>
      </c>
      <c r="E233" s="254" t="s">
        <v>320</v>
      </c>
      <c r="F233" s="259"/>
      <c r="G233" s="220"/>
      <c r="H233" s="5"/>
      <c r="I233" s="5"/>
      <c r="J233" s="5"/>
      <c r="K233" s="181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07">
        <v>0</v>
      </c>
      <c r="B234" s="210" t="s">
        <v>132</v>
      </c>
      <c r="C234" s="209" t="s">
        <v>132</v>
      </c>
      <c r="D234" s="208" t="s">
        <v>132</v>
      </c>
      <c r="E234" s="204"/>
      <c r="F234" s="259"/>
      <c r="G234" s="220"/>
      <c r="H234" s="5"/>
      <c r="I234" s="5"/>
      <c r="J234" s="5"/>
      <c r="K234" s="181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07">
        <v>1</v>
      </c>
      <c r="B235" s="210" t="s">
        <v>132</v>
      </c>
      <c r="C235" s="209" t="s">
        <v>132</v>
      </c>
      <c r="D235" s="208" t="s">
        <v>132</v>
      </c>
      <c r="E235" s="204"/>
      <c r="F235" s="259"/>
      <c r="G235" s="218"/>
      <c r="H235" s="5"/>
      <c r="I235" s="5"/>
      <c r="J235" s="5"/>
      <c r="K235" s="181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07">
        <v>2</v>
      </c>
      <c r="B236" s="210" t="s">
        <v>132</v>
      </c>
      <c r="C236" s="209" t="s">
        <v>132</v>
      </c>
      <c r="D236" s="208" t="s">
        <v>132</v>
      </c>
      <c r="E236" s="204"/>
      <c r="F236" s="259"/>
      <c r="G236" s="218"/>
      <c r="H236" s="5"/>
      <c r="I236" s="5"/>
      <c r="J236" s="5"/>
      <c r="K236" s="181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07">
        <v>3</v>
      </c>
      <c r="B237" s="210" t="s">
        <v>132</v>
      </c>
      <c r="C237" s="209" t="s">
        <v>132</v>
      </c>
      <c r="D237" s="208" t="s">
        <v>132</v>
      </c>
      <c r="E237" s="204"/>
      <c r="F237" s="259"/>
      <c r="G237" s="218"/>
      <c r="H237" s="5"/>
      <c r="I237" s="5"/>
      <c r="J237" s="5"/>
      <c r="K237" s="181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07">
        <v>4</v>
      </c>
      <c r="B238" s="210" t="s">
        <v>132</v>
      </c>
      <c r="C238" s="209" t="s">
        <v>132</v>
      </c>
      <c r="D238" s="208" t="s">
        <v>132</v>
      </c>
      <c r="E238" s="204"/>
      <c r="F238" s="259"/>
      <c r="G238" s="218"/>
      <c r="H238" s="5"/>
      <c r="I238" s="5"/>
      <c r="J238" s="5"/>
      <c r="K238" s="181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07">
        <v>5</v>
      </c>
      <c r="B239" s="210" t="s">
        <v>132</v>
      </c>
      <c r="C239" s="209" t="s">
        <v>132</v>
      </c>
      <c r="D239" s="208" t="s">
        <v>132</v>
      </c>
      <c r="E239" s="204"/>
      <c r="F239" s="259"/>
      <c r="G239" s="219"/>
      <c r="H239" s="5"/>
      <c r="I239" s="5"/>
      <c r="J239" s="5"/>
      <c r="K239" s="181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0">
        <f>'Données projet'!A218</f>
        <v>20</v>
      </c>
      <c r="B240" s="191">
        <f>'Données projet'!D218</f>
        <v>0</v>
      </c>
      <c r="C240" s="202">
        <v>0</v>
      </c>
      <c r="D240" s="189">
        <f>B240*C240</f>
        <v>0</v>
      </c>
      <c r="E240" s="204"/>
      <c r="F240" s="260"/>
      <c r="G240" s="219"/>
      <c r="H240" s="5"/>
      <c r="I240" s="5"/>
      <c r="J240" s="5"/>
      <c r="K240" s="181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0">
        <f>'Données projet'!A219</f>
        <v>25</v>
      </c>
      <c r="B241" s="191">
        <f>'Données projet'!D219</f>
        <v>0</v>
      </c>
      <c r="C241" s="202">
        <v>0</v>
      </c>
      <c r="D241" s="189">
        <f t="shared" ref="D241:D259" si="13">B241*C241</f>
        <v>0</v>
      </c>
      <c r="E241" s="204"/>
      <c r="F241" s="260"/>
      <c r="G241" s="219"/>
      <c r="H241" s="5"/>
      <c r="I241" s="5"/>
      <c r="J241" s="5"/>
      <c r="K241" s="181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0">
        <f>'Données projet'!A220</f>
        <v>30</v>
      </c>
      <c r="B242" s="191">
        <f>'Données projet'!D220</f>
        <v>0</v>
      </c>
      <c r="C242" s="202">
        <v>0</v>
      </c>
      <c r="D242" s="189">
        <f t="shared" si="13"/>
        <v>0</v>
      </c>
      <c r="E242" s="204"/>
      <c r="F242" s="260"/>
      <c r="G242" s="219"/>
      <c r="H242" s="5"/>
      <c r="I242" s="5"/>
      <c r="J242" s="5"/>
      <c r="K242" s="181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0">
        <f>'Données projet'!A221</f>
        <v>35</v>
      </c>
      <c r="B243" s="191">
        <f>'Données projet'!D221</f>
        <v>17</v>
      </c>
      <c r="C243" s="204">
        <v>15</v>
      </c>
      <c r="D243" s="189">
        <f t="shared" si="13"/>
        <v>255</v>
      </c>
      <c r="E243" s="204"/>
      <c r="F243" s="260"/>
      <c r="G243" s="219"/>
      <c r="H243" s="5"/>
      <c r="I243" s="5"/>
      <c r="J243" s="5"/>
      <c r="K243" s="181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0">
        <f>'Données projet'!A222</f>
        <v>40</v>
      </c>
      <c r="B244" s="191">
        <f>'Données projet'!D222</f>
        <v>0</v>
      </c>
      <c r="C244" s="204">
        <v>0</v>
      </c>
      <c r="D244" s="189">
        <f t="shared" si="13"/>
        <v>0</v>
      </c>
      <c r="E244" s="204"/>
      <c r="F244" s="260"/>
      <c r="G244" s="219"/>
      <c r="H244" s="5"/>
      <c r="I244" s="5"/>
      <c r="J244" s="5"/>
      <c r="K244" s="181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0">
        <f>'Données projet'!A223</f>
        <v>45</v>
      </c>
      <c r="B245" s="191">
        <f>'Données projet'!D223</f>
        <v>18</v>
      </c>
      <c r="C245" s="204">
        <v>20</v>
      </c>
      <c r="D245" s="189">
        <f t="shared" si="13"/>
        <v>360</v>
      </c>
      <c r="E245" s="204"/>
      <c r="F245" s="260"/>
      <c r="G245" s="219"/>
      <c r="H245" s="5"/>
      <c r="I245" s="5"/>
      <c r="J245" s="5"/>
      <c r="K245" s="181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0">
        <f>'Données projet'!A224</f>
        <v>50</v>
      </c>
      <c r="B246" s="191">
        <f>'Données projet'!D224</f>
        <v>0</v>
      </c>
      <c r="C246" s="204">
        <v>0</v>
      </c>
      <c r="D246" s="189">
        <f t="shared" si="13"/>
        <v>0</v>
      </c>
      <c r="E246" s="204"/>
      <c r="F246" s="260"/>
      <c r="G246" s="220"/>
      <c r="H246" s="5"/>
      <c r="I246" s="5"/>
      <c r="J246" s="5"/>
      <c r="K246" s="181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0">
        <f>'Données projet'!A225</f>
        <v>55</v>
      </c>
      <c r="B247" s="191">
        <f>'Données projet'!D225</f>
        <v>19</v>
      </c>
      <c r="C247" s="204">
        <v>30</v>
      </c>
      <c r="D247" s="189">
        <f t="shared" si="13"/>
        <v>570</v>
      </c>
      <c r="E247" s="204"/>
      <c r="F247" s="260"/>
      <c r="G247" s="220"/>
      <c r="H247" s="5"/>
      <c r="I247" s="5"/>
      <c r="J247" s="5"/>
      <c r="K247" s="181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0">
        <f>'Données projet'!A226</f>
        <v>60</v>
      </c>
      <c r="B248" s="191">
        <f>'Données projet'!D226</f>
        <v>0</v>
      </c>
      <c r="C248" s="204">
        <v>0</v>
      </c>
      <c r="D248" s="189">
        <f t="shared" si="13"/>
        <v>0</v>
      </c>
      <c r="E248" s="204"/>
      <c r="F248" s="260"/>
      <c r="G248" s="220"/>
      <c r="H248" s="5"/>
      <c r="I248" s="5"/>
      <c r="J248" s="5"/>
      <c r="K248" s="181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0">
        <f>'Données projet'!A227</f>
        <v>65</v>
      </c>
      <c r="B249" s="191">
        <f>'Données projet'!D227</f>
        <v>20</v>
      </c>
      <c r="C249" s="204">
        <v>40</v>
      </c>
      <c r="D249" s="189">
        <f t="shared" si="13"/>
        <v>800</v>
      </c>
      <c r="E249" s="204"/>
      <c r="F249" s="260"/>
      <c r="G249" s="220"/>
      <c r="H249" s="5"/>
      <c r="I249" s="5"/>
      <c r="J249" s="5"/>
      <c r="K249" s="181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0">
        <f>'Données projet'!A228</f>
        <v>70</v>
      </c>
      <c r="B250" s="191">
        <f>'Données projet'!D228</f>
        <v>0</v>
      </c>
      <c r="C250" s="204">
        <v>0</v>
      </c>
      <c r="D250" s="189">
        <f t="shared" si="13"/>
        <v>0</v>
      </c>
      <c r="E250" s="204"/>
      <c r="F250" s="260"/>
      <c r="G250" s="220"/>
      <c r="H250" s="5"/>
      <c r="I250" s="5"/>
      <c r="J250" s="5"/>
      <c r="K250" s="181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0">
        <f>'Données projet'!A229</f>
        <v>75</v>
      </c>
      <c r="B251" s="191">
        <f>'Données projet'!D229</f>
        <v>20</v>
      </c>
      <c r="C251" s="204">
        <v>50</v>
      </c>
      <c r="D251" s="189">
        <f t="shared" si="13"/>
        <v>1000</v>
      </c>
      <c r="E251" s="204"/>
      <c r="F251" s="260"/>
      <c r="G251" s="220"/>
      <c r="H251" s="5"/>
      <c r="I251" s="5"/>
      <c r="J251" s="5"/>
      <c r="K251" s="181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0">
        <f>'Données projet'!A230</f>
        <v>80</v>
      </c>
      <c r="B252" s="191">
        <f>'Données projet'!D230</f>
        <v>0</v>
      </c>
      <c r="C252" s="204">
        <v>0</v>
      </c>
      <c r="D252" s="189">
        <f t="shared" si="13"/>
        <v>0</v>
      </c>
      <c r="E252" s="204"/>
      <c r="F252" s="260"/>
      <c r="G252" s="220"/>
      <c r="H252" s="5"/>
      <c r="I252" s="5"/>
      <c r="J252" s="5"/>
      <c r="K252" s="181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0">
        <f>'Données projet'!A231</f>
        <v>85</v>
      </c>
      <c r="B253" s="191">
        <f>'Données projet'!D231</f>
        <v>18</v>
      </c>
      <c r="C253" s="204">
        <v>60</v>
      </c>
      <c r="D253" s="189">
        <f t="shared" si="13"/>
        <v>1080</v>
      </c>
      <c r="E253" s="204"/>
      <c r="F253" s="260"/>
      <c r="G253" s="220"/>
      <c r="H253" s="5"/>
      <c r="I253" s="5"/>
      <c r="J253" s="5"/>
      <c r="K253" s="181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0">
        <f>'Données projet'!A232</f>
        <v>90</v>
      </c>
      <c r="B254" s="191">
        <f>'Données projet'!D232</f>
        <v>0</v>
      </c>
      <c r="C254" s="204">
        <v>0</v>
      </c>
      <c r="D254" s="189">
        <f t="shared" si="13"/>
        <v>0</v>
      </c>
      <c r="E254" s="204"/>
      <c r="F254" s="260"/>
      <c r="G254" s="220"/>
      <c r="H254" s="5"/>
      <c r="I254" s="5"/>
      <c r="J254" s="5"/>
      <c r="K254" s="181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0">
        <f>'Données projet'!A233</f>
        <v>95</v>
      </c>
      <c r="B255" s="191">
        <f>'Données projet'!D233</f>
        <v>18</v>
      </c>
      <c r="C255" s="202">
        <v>70</v>
      </c>
      <c r="D255" s="189">
        <f t="shared" si="13"/>
        <v>1260</v>
      </c>
      <c r="E255" s="204"/>
      <c r="F255" s="260"/>
      <c r="G255" s="220"/>
      <c r="H255" s="5"/>
      <c r="I255" s="5"/>
      <c r="J255" s="5"/>
      <c r="K255" s="181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0">
        <f>'Données projet'!A234</f>
        <v>100</v>
      </c>
      <c r="B256" s="191">
        <f>'Données projet'!D234</f>
        <v>0</v>
      </c>
      <c r="C256" s="202">
        <v>0</v>
      </c>
      <c r="D256" s="189">
        <f t="shared" si="13"/>
        <v>0</v>
      </c>
      <c r="E256" s="204"/>
      <c r="F256" s="260"/>
      <c r="G256" s="220"/>
      <c r="H256" s="5"/>
      <c r="I256" s="5"/>
      <c r="J256" s="5"/>
      <c r="K256" s="181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0">
        <f>'Données projet'!A235</f>
        <v>105</v>
      </c>
      <c r="B257" s="191">
        <f>'Données projet'!D235</f>
        <v>18</v>
      </c>
      <c r="C257" s="202">
        <v>80</v>
      </c>
      <c r="D257" s="189">
        <f t="shared" si="13"/>
        <v>1440</v>
      </c>
      <c r="E257" s="204"/>
      <c r="F257" s="260"/>
      <c r="G257" s="220"/>
      <c r="H257" s="5"/>
      <c r="I257" s="5"/>
      <c r="J257" s="5"/>
      <c r="K257" s="181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0">
        <f>'Données projet'!A236</f>
        <v>110</v>
      </c>
      <c r="B258" s="191">
        <f>'Données projet'!D236</f>
        <v>0</v>
      </c>
      <c r="C258" s="202">
        <v>0</v>
      </c>
      <c r="D258" s="189">
        <f t="shared" si="13"/>
        <v>0</v>
      </c>
      <c r="E258" s="204"/>
      <c r="F258" s="260"/>
      <c r="G258" s="220"/>
      <c r="H258" s="5"/>
      <c r="I258" s="5"/>
      <c r="J258" s="5"/>
      <c r="K258" s="181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0">
        <f>'Données projet'!A237</f>
        <v>120</v>
      </c>
      <c r="B259" s="191">
        <f>'Données projet'!D237</f>
        <v>211</v>
      </c>
      <c r="C259" s="202">
        <v>90</v>
      </c>
      <c r="D259" s="189">
        <f t="shared" si="13"/>
        <v>18990</v>
      </c>
      <c r="E259" s="204"/>
      <c r="F259" s="260"/>
      <c r="G259" s="220"/>
      <c r="H259" s="5"/>
      <c r="I259" s="5"/>
      <c r="J259" s="5"/>
      <c r="K259" s="181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58"/>
      <c r="G260" s="220"/>
      <c r="H260" s="5"/>
      <c r="I260" s="5"/>
      <c r="J260" s="5"/>
      <c r="K260" s="181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58"/>
      <c r="G261" s="220"/>
      <c r="H261" s="5"/>
      <c r="I261" s="5"/>
      <c r="J261" s="5"/>
      <c r="K261" s="181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4" t="str">
        <f>IF('Données projet'!$B$17="","",'Données projet'!$B$17)</f>
        <v/>
      </c>
      <c r="C262" s="5"/>
      <c r="D262" s="5"/>
      <c r="E262" s="5"/>
      <c r="F262" s="258"/>
      <c r="G262" s="220"/>
      <c r="H262" s="5"/>
      <c r="I262" s="5"/>
      <c r="J262" s="5"/>
      <c r="K262" s="181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58"/>
      <c r="G263" s="220"/>
      <c r="H263" s="5"/>
      <c r="I263" s="5"/>
      <c r="J263" s="5"/>
      <c r="K263" s="181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4" t="s">
        <v>180</v>
      </c>
      <c r="B264" s="51" t="s">
        <v>256</v>
      </c>
      <c r="C264" s="51" t="s">
        <v>255</v>
      </c>
      <c r="D264" s="254" t="s">
        <v>252</v>
      </c>
      <c r="E264" s="254" t="s">
        <v>320</v>
      </c>
      <c r="F264" s="259"/>
      <c r="G264" s="220"/>
      <c r="H264" s="5"/>
      <c r="I264" s="5"/>
      <c r="J264" s="5"/>
      <c r="K264" s="181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07">
        <v>0</v>
      </c>
      <c r="B265" s="210" t="s">
        <v>132</v>
      </c>
      <c r="C265" s="209" t="s">
        <v>132</v>
      </c>
      <c r="D265" s="208" t="s">
        <v>132</v>
      </c>
      <c r="E265" s="204"/>
      <c r="F265" s="259"/>
      <c r="G265" s="220"/>
      <c r="H265" s="5"/>
      <c r="I265" s="5"/>
      <c r="J265" s="5"/>
      <c r="K265" s="181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07">
        <v>1</v>
      </c>
      <c r="B266" s="210" t="s">
        <v>132</v>
      </c>
      <c r="C266" s="209" t="s">
        <v>132</v>
      </c>
      <c r="D266" s="208" t="s">
        <v>132</v>
      </c>
      <c r="E266" s="204"/>
      <c r="F266" s="259"/>
      <c r="G266" s="218"/>
      <c r="H266" s="5"/>
      <c r="I266" s="5"/>
      <c r="J266" s="5"/>
      <c r="K266" s="181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07">
        <v>2</v>
      </c>
      <c r="B267" s="210" t="s">
        <v>132</v>
      </c>
      <c r="C267" s="209" t="s">
        <v>132</v>
      </c>
      <c r="D267" s="208" t="s">
        <v>132</v>
      </c>
      <c r="E267" s="204"/>
      <c r="F267" s="259"/>
      <c r="G267" s="218"/>
      <c r="H267" s="5"/>
      <c r="I267" s="5"/>
      <c r="J267" s="5"/>
      <c r="K267" s="181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07">
        <v>3</v>
      </c>
      <c r="B268" s="210" t="s">
        <v>132</v>
      </c>
      <c r="C268" s="209" t="s">
        <v>132</v>
      </c>
      <c r="D268" s="208" t="s">
        <v>132</v>
      </c>
      <c r="E268" s="204"/>
      <c r="F268" s="259"/>
      <c r="G268" s="218"/>
      <c r="H268" s="5"/>
      <c r="I268" s="5"/>
      <c r="J268" s="5"/>
      <c r="K268" s="181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07">
        <v>4</v>
      </c>
      <c r="B269" s="210" t="s">
        <v>132</v>
      </c>
      <c r="C269" s="209" t="s">
        <v>132</v>
      </c>
      <c r="D269" s="208" t="s">
        <v>132</v>
      </c>
      <c r="E269" s="204"/>
      <c r="F269" s="259"/>
      <c r="G269" s="218"/>
      <c r="H269" s="5"/>
      <c r="I269" s="5"/>
      <c r="J269" s="5"/>
      <c r="K269" s="181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07">
        <v>5</v>
      </c>
      <c r="B270" s="210" t="s">
        <v>132</v>
      </c>
      <c r="C270" s="209" t="s">
        <v>132</v>
      </c>
      <c r="D270" s="208" t="s">
        <v>132</v>
      </c>
      <c r="E270" s="204"/>
      <c r="F270" s="259"/>
      <c r="G270" s="219"/>
      <c r="H270" s="5"/>
      <c r="I270" s="5"/>
      <c r="J270" s="5"/>
      <c r="K270" s="181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0">
        <f>'Données projet'!A244</f>
        <v>0</v>
      </c>
      <c r="B271" s="191">
        <f>'Données projet'!D244</f>
        <v>0</v>
      </c>
      <c r="C271" s="202"/>
      <c r="D271" s="189">
        <f>B271*C271</f>
        <v>0</v>
      </c>
      <c r="E271" s="204"/>
      <c r="F271" s="260"/>
      <c r="G271" s="219"/>
      <c r="H271" s="5"/>
      <c r="I271" s="5"/>
      <c r="J271" s="5"/>
      <c r="K271" s="181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0">
        <f>'Données projet'!A245</f>
        <v>0</v>
      </c>
      <c r="B272" s="191">
        <f>'Données projet'!D245</f>
        <v>0</v>
      </c>
      <c r="C272" s="202"/>
      <c r="D272" s="189">
        <f t="shared" ref="D272:D290" si="14">B272*C272</f>
        <v>0</v>
      </c>
      <c r="E272" s="204"/>
      <c r="F272" s="260"/>
      <c r="G272" s="219"/>
      <c r="H272" s="5"/>
      <c r="I272" s="5"/>
      <c r="J272" s="5"/>
      <c r="K272" s="181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0">
        <f>'Données projet'!A246</f>
        <v>0</v>
      </c>
      <c r="B273" s="191">
        <f>'Données projet'!D246</f>
        <v>0</v>
      </c>
      <c r="C273" s="202"/>
      <c r="D273" s="189">
        <f t="shared" si="14"/>
        <v>0</v>
      </c>
      <c r="E273" s="204"/>
      <c r="F273" s="260"/>
      <c r="G273" s="219"/>
      <c r="H273" s="5"/>
      <c r="I273" s="5"/>
      <c r="J273" s="5"/>
      <c r="K273" s="181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0">
        <f>'Données projet'!A247</f>
        <v>0</v>
      </c>
      <c r="B274" s="191">
        <f>'Données projet'!D247</f>
        <v>0</v>
      </c>
      <c r="C274" s="202"/>
      <c r="D274" s="189">
        <f t="shared" si="14"/>
        <v>0</v>
      </c>
      <c r="E274" s="204"/>
      <c r="F274" s="260"/>
      <c r="G274" s="219"/>
      <c r="H274" s="5"/>
      <c r="I274" s="5"/>
      <c r="J274" s="5"/>
      <c r="K274" s="181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0">
        <f>'Données projet'!A248</f>
        <v>0</v>
      </c>
      <c r="B275" s="191">
        <f>'Données projet'!D248</f>
        <v>0</v>
      </c>
      <c r="C275" s="202"/>
      <c r="D275" s="189">
        <f t="shared" si="14"/>
        <v>0</v>
      </c>
      <c r="E275" s="204"/>
      <c r="F275" s="260"/>
      <c r="G275" s="219"/>
      <c r="H275" s="5"/>
      <c r="I275" s="5"/>
      <c r="J275" s="5"/>
      <c r="K275" s="181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0">
        <f>'Données projet'!A249</f>
        <v>0</v>
      </c>
      <c r="B276" s="191">
        <f>'Données projet'!D249</f>
        <v>0</v>
      </c>
      <c r="C276" s="202"/>
      <c r="D276" s="189">
        <f t="shared" si="14"/>
        <v>0</v>
      </c>
      <c r="E276" s="204"/>
      <c r="F276" s="260"/>
      <c r="G276" s="219"/>
      <c r="H276" s="5"/>
      <c r="I276" s="5"/>
      <c r="J276" s="5"/>
      <c r="K276" s="181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0">
        <f>'Données projet'!A250</f>
        <v>0</v>
      </c>
      <c r="B277" s="191">
        <f>'Données projet'!D250</f>
        <v>0</v>
      </c>
      <c r="C277" s="202"/>
      <c r="D277" s="189">
        <f t="shared" si="14"/>
        <v>0</v>
      </c>
      <c r="E277" s="204"/>
      <c r="F277" s="260"/>
      <c r="G277" s="220"/>
      <c r="H277" s="5"/>
      <c r="I277" s="5"/>
      <c r="J277" s="5"/>
      <c r="K277" s="181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0">
        <f>'Données projet'!A251</f>
        <v>0</v>
      </c>
      <c r="B278" s="191">
        <f>'Données projet'!D251</f>
        <v>0</v>
      </c>
      <c r="C278" s="202"/>
      <c r="D278" s="189">
        <f t="shared" si="14"/>
        <v>0</v>
      </c>
      <c r="E278" s="204"/>
      <c r="F278" s="260"/>
      <c r="G278" s="220"/>
      <c r="H278" s="5"/>
      <c r="I278" s="5"/>
      <c r="J278" s="5"/>
      <c r="K278" s="181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0">
        <f>'Données projet'!A252</f>
        <v>0</v>
      </c>
      <c r="B279" s="191">
        <f>'Données projet'!D252</f>
        <v>0</v>
      </c>
      <c r="C279" s="202"/>
      <c r="D279" s="189">
        <f t="shared" si="14"/>
        <v>0</v>
      </c>
      <c r="E279" s="204"/>
      <c r="F279" s="260"/>
      <c r="G279" s="220"/>
      <c r="H279" s="5"/>
      <c r="I279" s="5"/>
      <c r="J279" s="5"/>
      <c r="K279" s="181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0">
        <f>'Données projet'!A253</f>
        <v>0</v>
      </c>
      <c r="B280" s="191">
        <f>'Données projet'!D253</f>
        <v>0</v>
      </c>
      <c r="C280" s="202"/>
      <c r="D280" s="189">
        <f t="shared" si="14"/>
        <v>0</v>
      </c>
      <c r="E280" s="204"/>
      <c r="F280" s="260"/>
      <c r="G280" s="220"/>
      <c r="H280" s="5"/>
      <c r="I280" s="5"/>
      <c r="J280" s="5"/>
      <c r="K280" s="181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0">
        <f>'Données projet'!A254</f>
        <v>0</v>
      </c>
      <c r="B281" s="191">
        <f>'Données projet'!D254</f>
        <v>0</v>
      </c>
      <c r="C281" s="202"/>
      <c r="D281" s="189">
        <f t="shared" si="14"/>
        <v>0</v>
      </c>
      <c r="E281" s="204"/>
      <c r="F281" s="260"/>
      <c r="G281" s="220"/>
      <c r="H281" s="5"/>
      <c r="I281" s="5"/>
      <c r="J281" s="5"/>
      <c r="K281" s="181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0">
        <f>'Données projet'!A255</f>
        <v>0</v>
      </c>
      <c r="B282" s="191">
        <f>'Données projet'!D255</f>
        <v>0</v>
      </c>
      <c r="C282" s="202"/>
      <c r="D282" s="189">
        <f t="shared" si="14"/>
        <v>0</v>
      </c>
      <c r="E282" s="204"/>
      <c r="F282" s="260"/>
      <c r="G282" s="220"/>
      <c r="H282" s="5"/>
      <c r="I282" s="5"/>
      <c r="J282" s="5"/>
      <c r="K282" s="181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0">
        <f>'Données projet'!A256</f>
        <v>0</v>
      </c>
      <c r="B283" s="191">
        <f>'Données projet'!D256</f>
        <v>0</v>
      </c>
      <c r="C283" s="202"/>
      <c r="D283" s="189">
        <f t="shared" si="14"/>
        <v>0</v>
      </c>
      <c r="E283" s="204"/>
      <c r="F283" s="260"/>
      <c r="G283" s="220"/>
      <c r="H283" s="5"/>
      <c r="I283" s="5"/>
      <c r="J283" s="5"/>
      <c r="K283" s="181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0">
        <f>'Données projet'!A257</f>
        <v>0</v>
      </c>
      <c r="B284" s="191">
        <f>'Données projet'!D257</f>
        <v>0</v>
      </c>
      <c r="C284" s="202"/>
      <c r="D284" s="189">
        <f t="shared" si="14"/>
        <v>0</v>
      </c>
      <c r="E284" s="204"/>
      <c r="F284" s="260"/>
      <c r="G284" s="220"/>
      <c r="H284" s="5"/>
      <c r="I284" s="5"/>
      <c r="J284" s="5"/>
      <c r="K284" s="181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0">
        <f>'Données projet'!A258</f>
        <v>0</v>
      </c>
      <c r="B285" s="191">
        <f>'Données projet'!D258</f>
        <v>0</v>
      </c>
      <c r="C285" s="202"/>
      <c r="D285" s="189">
        <f t="shared" si="14"/>
        <v>0</v>
      </c>
      <c r="E285" s="204"/>
      <c r="F285" s="260"/>
      <c r="G285" s="220"/>
      <c r="H285" s="5"/>
      <c r="I285" s="5"/>
      <c r="J285" s="5"/>
      <c r="K285" s="181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0">
        <f>'Données projet'!A259</f>
        <v>0</v>
      </c>
      <c r="B286" s="191">
        <f>'Données projet'!D259</f>
        <v>0</v>
      </c>
      <c r="C286" s="202"/>
      <c r="D286" s="189">
        <f t="shared" si="14"/>
        <v>0</v>
      </c>
      <c r="E286" s="204"/>
      <c r="F286" s="260"/>
      <c r="G286" s="220"/>
      <c r="H286" s="5"/>
      <c r="I286" s="5"/>
      <c r="J286" s="5"/>
      <c r="K286" s="181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0">
        <f>'Données projet'!A260</f>
        <v>0</v>
      </c>
      <c r="B287" s="191">
        <f>'Données projet'!D260</f>
        <v>0</v>
      </c>
      <c r="C287" s="202"/>
      <c r="D287" s="189">
        <f t="shared" si="14"/>
        <v>0</v>
      </c>
      <c r="E287" s="204"/>
      <c r="F287" s="260"/>
      <c r="G287" s="220"/>
      <c r="H287" s="5"/>
      <c r="I287" s="5"/>
      <c r="J287" s="5"/>
      <c r="K287" s="181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0">
        <f>'Données projet'!A261</f>
        <v>0</v>
      </c>
      <c r="B288" s="191">
        <f>'Données projet'!D261</f>
        <v>0</v>
      </c>
      <c r="C288" s="202"/>
      <c r="D288" s="189">
        <f t="shared" si="14"/>
        <v>0</v>
      </c>
      <c r="E288" s="204"/>
      <c r="F288" s="260"/>
      <c r="G288" s="220"/>
      <c r="H288" s="5"/>
      <c r="I288" s="5"/>
      <c r="J288" s="5"/>
      <c r="K288" s="181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0">
        <f>'Données projet'!A262</f>
        <v>0</v>
      </c>
      <c r="B289" s="191">
        <f>'Données projet'!D262</f>
        <v>0</v>
      </c>
      <c r="C289" s="202"/>
      <c r="D289" s="189">
        <f t="shared" si="14"/>
        <v>0</v>
      </c>
      <c r="E289" s="204"/>
      <c r="F289" s="260"/>
      <c r="G289" s="220"/>
      <c r="H289" s="5"/>
      <c r="I289" s="5"/>
      <c r="J289" s="5"/>
      <c r="K289" s="181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0">
        <f>'Données projet'!A263</f>
        <v>0</v>
      </c>
      <c r="B290" s="191">
        <f>'Données projet'!D263</f>
        <v>0</v>
      </c>
      <c r="C290" s="202"/>
      <c r="D290" s="189">
        <f t="shared" si="14"/>
        <v>0</v>
      </c>
      <c r="E290" s="204"/>
      <c r="F290" s="260"/>
      <c r="G290" s="220"/>
      <c r="H290" s="5"/>
      <c r="I290" s="5"/>
      <c r="J290" s="5"/>
      <c r="K290" s="181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58"/>
      <c r="G291" s="220"/>
      <c r="H291" s="5"/>
      <c r="I291" s="5"/>
      <c r="J291" s="5"/>
      <c r="K291" s="181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58"/>
      <c r="G292" s="220"/>
      <c r="H292" s="5"/>
      <c r="I292" s="5"/>
      <c r="J292" s="5"/>
      <c r="K292" s="181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4" t="str">
        <f>IF('Données projet'!$B$18="","",'Données projet'!$B$18)</f>
        <v/>
      </c>
      <c r="C293" s="5"/>
      <c r="D293" s="5"/>
      <c r="E293" s="5"/>
      <c r="F293" s="258"/>
      <c r="G293" s="220"/>
      <c r="H293" s="5"/>
      <c r="I293" s="5"/>
      <c r="J293" s="5"/>
      <c r="K293" s="181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58"/>
      <c r="G294" s="220"/>
      <c r="H294" s="5"/>
      <c r="I294" s="5"/>
      <c r="J294" s="5"/>
      <c r="K294" s="181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4" t="s">
        <v>180</v>
      </c>
      <c r="B295" s="51" t="s">
        <v>256</v>
      </c>
      <c r="C295" s="51" t="s">
        <v>255</v>
      </c>
      <c r="D295" s="254" t="s">
        <v>252</v>
      </c>
      <c r="E295" s="254" t="s">
        <v>320</v>
      </c>
      <c r="F295" s="259"/>
      <c r="G295" s="220"/>
      <c r="H295" s="5"/>
      <c r="I295" s="5"/>
      <c r="J295" s="5"/>
      <c r="K295" s="181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07">
        <v>0</v>
      </c>
      <c r="B296" s="210" t="s">
        <v>132</v>
      </c>
      <c r="C296" s="209" t="s">
        <v>132</v>
      </c>
      <c r="D296" s="208" t="s">
        <v>132</v>
      </c>
      <c r="E296" s="204"/>
      <c r="F296" s="259"/>
      <c r="G296" s="220"/>
      <c r="H296" s="5"/>
      <c r="I296" s="5"/>
      <c r="J296" s="5"/>
      <c r="K296" s="181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07">
        <v>1</v>
      </c>
      <c r="B297" s="210" t="s">
        <v>132</v>
      </c>
      <c r="C297" s="209" t="s">
        <v>132</v>
      </c>
      <c r="D297" s="208" t="s">
        <v>132</v>
      </c>
      <c r="E297" s="204"/>
      <c r="F297" s="259"/>
      <c r="G297" s="218"/>
      <c r="H297" s="5"/>
      <c r="I297" s="5"/>
      <c r="J297" s="5"/>
      <c r="K297" s="181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07">
        <v>2</v>
      </c>
      <c r="B298" s="210" t="s">
        <v>132</v>
      </c>
      <c r="C298" s="209" t="s">
        <v>132</v>
      </c>
      <c r="D298" s="208" t="s">
        <v>132</v>
      </c>
      <c r="E298" s="204"/>
      <c r="F298" s="259"/>
      <c r="G298" s="218"/>
      <c r="H298" s="5"/>
      <c r="I298" s="5"/>
      <c r="J298" s="5"/>
      <c r="K298" s="181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07">
        <v>3</v>
      </c>
      <c r="B299" s="210" t="s">
        <v>132</v>
      </c>
      <c r="C299" s="209" t="s">
        <v>132</v>
      </c>
      <c r="D299" s="208" t="s">
        <v>132</v>
      </c>
      <c r="E299" s="204"/>
      <c r="F299" s="259"/>
      <c r="G299" s="218"/>
      <c r="H299" s="5"/>
      <c r="I299" s="5"/>
      <c r="J299" s="5"/>
      <c r="K299" s="181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07">
        <v>4</v>
      </c>
      <c r="B300" s="210" t="s">
        <v>132</v>
      </c>
      <c r="C300" s="209" t="s">
        <v>132</v>
      </c>
      <c r="D300" s="208" t="s">
        <v>132</v>
      </c>
      <c r="E300" s="204"/>
      <c r="F300" s="259"/>
      <c r="G300" s="218"/>
      <c r="H300" s="5"/>
      <c r="I300" s="5"/>
      <c r="J300" s="5"/>
      <c r="K300" s="181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07">
        <v>5</v>
      </c>
      <c r="B301" s="210" t="s">
        <v>132</v>
      </c>
      <c r="C301" s="209" t="s">
        <v>132</v>
      </c>
      <c r="D301" s="208" t="s">
        <v>132</v>
      </c>
      <c r="E301" s="204"/>
      <c r="F301" s="259"/>
      <c r="G301" s="219"/>
      <c r="H301" s="5"/>
      <c r="I301" s="5"/>
      <c r="J301" s="5"/>
      <c r="K301" s="181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0">
        <f>'Données projet'!A270</f>
        <v>0</v>
      </c>
      <c r="B302" s="191">
        <f>'Données projet'!D270</f>
        <v>0</v>
      </c>
      <c r="C302" s="202"/>
      <c r="D302" s="192">
        <f>B302*C302</f>
        <v>0</v>
      </c>
      <c r="E302" s="204"/>
      <c r="F302" s="261"/>
      <c r="G302" s="219"/>
      <c r="H302" s="5"/>
      <c r="I302" s="5"/>
      <c r="J302" s="5"/>
      <c r="K302" s="181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0">
        <f>'Données projet'!A271</f>
        <v>0</v>
      </c>
      <c r="B303" s="191">
        <f>'Données projet'!D271</f>
        <v>0</v>
      </c>
      <c r="C303" s="204"/>
      <c r="D303" s="192">
        <f t="shared" ref="D303:D321" si="15">B303*C303</f>
        <v>0</v>
      </c>
      <c r="E303" s="204"/>
      <c r="F303" s="261"/>
      <c r="G303" s="219"/>
      <c r="H303" s="5"/>
      <c r="I303" s="5"/>
      <c r="J303" s="5"/>
      <c r="K303" s="181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0">
        <f>'Données projet'!A272</f>
        <v>0</v>
      </c>
      <c r="B304" s="191">
        <f>'Données projet'!D272</f>
        <v>0</v>
      </c>
      <c r="C304" s="204"/>
      <c r="D304" s="192">
        <f t="shared" si="15"/>
        <v>0</v>
      </c>
      <c r="E304" s="204"/>
      <c r="F304" s="261"/>
      <c r="G304" s="219"/>
      <c r="H304" s="5"/>
      <c r="I304" s="5"/>
      <c r="J304" s="5"/>
      <c r="K304" s="181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0">
        <f>'Données projet'!A273</f>
        <v>0</v>
      </c>
      <c r="B305" s="191">
        <f>'Données projet'!D273</f>
        <v>0</v>
      </c>
      <c r="C305" s="204"/>
      <c r="D305" s="192">
        <f t="shared" si="15"/>
        <v>0</v>
      </c>
      <c r="E305" s="204"/>
      <c r="F305" s="261"/>
      <c r="G305" s="219"/>
      <c r="H305" s="5"/>
      <c r="I305" s="5"/>
      <c r="J305" s="5"/>
      <c r="K305" s="181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0">
        <f>'Données projet'!A274</f>
        <v>0</v>
      </c>
      <c r="B306" s="191">
        <f>'Données projet'!D274</f>
        <v>0</v>
      </c>
      <c r="C306" s="204"/>
      <c r="D306" s="192">
        <f t="shared" si="15"/>
        <v>0</v>
      </c>
      <c r="E306" s="204"/>
      <c r="F306" s="261"/>
      <c r="G306" s="219"/>
      <c r="H306" s="5"/>
      <c r="I306" s="5"/>
      <c r="J306" s="5"/>
      <c r="K306" s="181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0">
        <f>'Données projet'!A275</f>
        <v>0</v>
      </c>
      <c r="B307" s="191">
        <f>'Données projet'!D275</f>
        <v>0</v>
      </c>
      <c r="C307" s="204"/>
      <c r="D307" s="192">
        <f t="shared" si="15"/>
        <v>0</v>
      </c>
      <c r="E307" s="204"/>
      <c r="F307" s="261"/>
      <c r="G307" s="219"/>
      <c r="H307" s="5"/>
      <c r="I307" s="5"/>
      <c r="J307" s="5"/>
      <c r="K307" s="181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0">
        <f>'Données projet'!A276</f>
        <v>0</v>
      </c>
      <c r="B308" s="191">
        <f>'Données projet'!D276</f>
        <v>0</v>
      </c>
      <c r="C308" s="204"/>
      <c r="D308" s="192">
        <f t="shared" si="15"/>
        <v>0</v>
      </c>
      <c r="E308" s="204"/>
      <c r="F308" s="261"/>
      <c r="G308" s="215"/>
      <c r="H308" s="5"/>
      <c r="I308" s="5"/>
      <c r="J308" s="5"/>
      <c r="K308" s="181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0">
        <f>'Données projet'!A277</f>
        <v>0</v>
      </c>
      <c r="B309" s="191">
        <f>'Données projet'!D277</f>
        <v>0</v>
      </c>
      <c r="C309" s="202"/>
      <c r="D309" s="192">
        <f t="shared" si="15"/>
        <v>0</v>
      </c>
      <c r="E309" s="204"/>
      <c r="F309" s="261"/>
      <c r="G309" s="215"/>
      <c r="H309" s="5"/>
      <c r="I309" s="5"/>
      <c r="J309" s="5"/>
      <c r="K309" s="181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0">
        <f>'Données projet'!A278</f>
        <v>0</v>
      </c>
      <c r="B310" s="191">
        <f>'Données projet'!D278</f>
        <v>0</v>
      </c>
      <c r="C310" s="202"/>
      <c r="D310" s="192">
        <f t="shared" si="15"/>
        <v>0</v>
      </c>
      <c r="E310" s="204"/>
      <c r="F310" s="261"/>
      <c r="G310" s="215"/>
      <c r="H310" s="5"/>
      <c r="I310" s="5"/>
      <c r="J310" s="5"/>
      <c r="K310" s="181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0">
        <f>'Données projet'!A279</f>
        <v>0</v>
      </c>
      <c r="B311" s="191">
        <f>'Données projet'!D279</f>
        <v>0</v>
      </c>
      <c r="C311" s="202"/>
      <c r="D311" s="192">
        <f t="shared" si="15"/>
        <v>0</v>
      </c>
      <c r="E311" s="204"/>
      <c r="F311" s="261"/>
      <c r="G311" s="215"/>
      <c r="H311" s="5"/>
      <c r="I311" s="5"/>
      <c r="J311" s="5"/>
      <c r="K311" s="181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0">
        <f>'Données projet'!A280</f>
        <v>0</v>
      </c>
      <c r="B312" s="191">
        <f>'Données projet'!D280</f>
        <v>0</v>
      </c>
      <c r="C312" s="202"/>
      <c r="D312" s="192">
        <f t="shared" si="15"/>
        <v>0</v>
      </c>
      <c r="E312" s="204"/>
      <c r="F312" s="261"/>
      <c r="G312" s="215"/>
      <c r="H312" s="5"/>
      <c r="I312" s="5"/>
      <c r="J312" s="5"/>
      <c r="K312" s="181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0">
        <f>'Données projet'!A281</f>
        <v>0</v>
      </c>
      <c r="B313" s="191">
        <f>'Données projet'!D281</f>
        <v>0</v>
      </c>
      <c r="C313" s="202"/>
      <c r="D313" s="192">
        <f t="shared" si="15"/>
        <v>0</v>
      </c>
      <c r="E313" s="204"/>
      <c r="F313" s="261"/>
      <c r="G313" s="215"/>
      <c r="H313" s="5"/>
      <c r="I313" s="5"/>
      <c r="J313" s="5"/>
      <c r="K313" s="181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0">
        <f>'Données projet'!A282</f>
        <v>0</v>
      </c>
      <c r="B314" s="191">
        <f>'Données projet'!D282</f>
        <v>0</v>
      </c>
      <c r="C314" s="202"/>
      <c r="D314" s="192">
        <f t="shared" si="15"/>
        <v>0</v>
      </c>
      <c r="E314" s="204"/>
      <c r="F314" s="261"/>
      <c r="G314" s="215"/>
      <c r="H314" s="5"/>
      <c r="I314" s="5"/>
      <c r="J314" s="5"/>
      <c r="K314" s="181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0">
        <f>'Données projet'!A283</f>
        <v>0</v>
      </c>
      <c r="B315" s="191">
        <f>'Données projet'!D283</f>
        <v>0</v>
      </c>
      <c r="C315" s="202"/>
      <c r="D315" s="192">
        <f t="shared" si="15"/>
        <v>0</v>
      </c>
      <c r="E315" s="204"/>
      <c r="F315" s="261"/>
      <c r="G315" s="215"/>
      <c r="H315" s="5"/>
      <c r="I315" s="5"/>
      <c r="J315" s="5"/>
      <c r="K315" s="181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0">
        <f>'Données projet'!A284</f>
        <v>0</v>
      </c>
      <c r="B316" s="191">
        <f>'Données projet'!D284</f>
        <v>0</v>
      </c>
      <c r="C316" s="202"/>
      <c r="D316" s="192">
        <f t="shared" si="15"/>
        <v>0</v>
      </c>
      <c r="E316" s="204"/>
      <c r="F316" s="261"/>
      <c r="G316" s="215"/>
      <c r="H316" s="5"/>
      <c r="I316" s="5"/>
      <c r="J316" s="5"/>
      <c r="K316" s="181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0">
        <f>'Données projet'!A285</f>
        <v>0</v>
      </c>
      <c r="B317" s="191">
        <f>'Données projet'!D285</f>
        <v>0</v>
      </c>
      <c r="C317" s="202"/>
      <c r="D317" s="192">
        <f t="shared" si="15"/>
        <v>0</v>
      </c>
      <c r="E317" s="204"/>
      <c r="F317" s="261"/>
      <c r="G317" s="215"/>
      <c r="H317" s="5"/>
      <c r="I317" s="5"/>
      <c r="J317" s="5"/>
      <c r="K317" s="181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0">
        <f>'Données projet'!A286</f>
        <v>0</v>
      </c>
      <c r="B318" s="191">
        <f>'Données projet'!D286</f>
        <v>0</v>
      </c>
      <c r="C318" s="202"/>
      <c r="D318" s="192">
        <f t="shared" si="15"/>
        <v>0</v>
      </c>
      <c r="E318" s="204"/>
      <c r="F318" s="261"/>
      <c r="G318" s="215"/>
      <c r="H318" s="5"/>
      <c r="I318" s="5"/>
      <c r="J318" s="5"/>
      <c r="K318" s="181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0">
        <f>'Données projet'!A287</f>
        <v>0</v>
      </c>
      <c r="B319" s="191">
        <f>'Données projet'!D287</f>
        <v>0</v>
      </c>
      <c r="C319" s="202"/>
      <c r="D319" s="192">
        <f t="shared" si="15"/>
        <v>0</v>
      </c>
      <c r="E319" s="204"/>
      <c r="F319" s="261"/>
      <c r="G319" s="215"/>
      <c r="H319" s="5"/>
      <c r="I319" s="5"/>
      <c r="J319" s="5"/>
      <c r="K319" s="181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0">
        <f>'Données projet'!A288</f>
        <v>0</v>
      </c>
      <c r="B320" s="191">
        <f>'Données projet'!D288</f>
        <v>0</v>
      </c>
      <c r="C320" s="202"/>
      <c r="D320" s="192">
        <f t="shared" si="15"/>
        <v>0</v>
      </c>
      <c r="E320" s="204"/>
      <c r="F320" s="261"/>
      <c r="G320" s="215"/>
      <c r="H320" s="5"/>
      <c r="I320" s="5"/>
      <c r="J320" s="5"/>
      <c r="K320" s="181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0">
        <f>'Données projet'!A289</f>
        <v>0</v>
      </c>
      <c r="B321" s="191">
        <f>'Données projet'!D289</f>
        <v>0</v>
      </c>
      <c r="C321" s="202"/>
      <c r="D321" s="192">
        <f t="shared" si="15"/>
        <v>0</v>
      </c>
      <c r="E321" s="204"/>
      <c r="F321" s="261"/>
      <c r="G321" s="215"/>
      <c r="H321" s="5"/>
      <c r="I321" s="5"/>
      <c r="J321" s="5"/>
      <c r="K321" s="181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5"/>
      <c r="H322" s="5"/>
      <c r="I322" s="5"/>
      <c r="J322" s="5"/>
      <c r="K322" s="181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5"/>
      <c r="H323" s="5"/>
      <c r="I323" s="5"/>
      <c r="J323" s="5"/>
      <c r="K323" s="181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5"/>
      <c r="H324" s="5"/>
      <c r="I324" s="5"/>
      <c r="J324" s="5"/>
      <c r="K324" s="181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5"/>
      <c r="H325" s="5"/>
      <c r="I325" s="5"/>
      <c r="J325" s="5"/>
      <c r="K325" s="181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5"/>
      <c r="H326" s="5"/>
      <c r="I326" s="5"/>
      <c r="J326" s="5"/>
      <c r="K326" s="181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5"/>
      <c r="H327" s="5"/>
      <c r="I327" s="5"/>
      <c r="J327" s="5"/>
      <c r="K327" s="181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28"/>
      <c r="G328" s="228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28"/>
      <c r="G329" s="228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28"/>
      <c r="G330" s="228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28"/>
      <c r="G331" s="228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28"/>
      <c r="G332" s="228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28"/>
      <c r="G333" s="228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28"/>
      <c r="G334" s="228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28"/>
      <c r="G335" s="228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28"/>
      <c r="G336" s="228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28"/>
      <c r="G337" s="228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28"/>
      <c r="G338" s="228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28"/>
      <c r="G339" s="228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28"/>
      <c r="G340" s="228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28"/>
      <c r="G341" s="228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28"/>
      <c r="G342" s="228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28"/>
      <c r="G343" s="228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28"/>
      <c r="G344" s="228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28"/>
      <c r="G345" s="228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28"/>
      <c r="G346" s="228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28"/>
      <c r="G347" s="228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28"/>
      <c r="G348" s="228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28"/>
      <c r="G349" s="228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28"/>
      <c r="G350" s="228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28"/>
      <c r="G351" s="228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28"/>
      <c r="G352" s="228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28"/>
      <c r="G353" s="228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28"/>
      <c r="G354" s="228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28"/>
      <c r="G355" s="228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28"/>
      <c r="G356" s="228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28"/>
      <c r="G357" s="228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28"/>
      <c r="G358" s="228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28"/>
      <c r="G359" s="228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28"/>
      <c r="G360" s="228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28"/>
      <c r="G361" s="228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28"/>
      <c r="G362" s="228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28"/>
      <c r="G363" s="228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28"/>
      <c r="G364" s="228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28"/>
      <c r="G365" s="228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28"/>
      <c r="G366" s="228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28"/>
      <c r="G367" s="228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28"/>
      <c r="G368" s="228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28"/>
      <c r="G369" s="228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28"/>
      <c r="G370" s="69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28"/>
      <c r="G371" s="69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28"/>
      <c r="G372" s="69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28"/>
      <c r="G373" s="69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28"/>
      <c r="G374" s="69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28"/>
      <c r="G375" s="69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28"/>
      <c r="G376" s="69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28"/>
      <c r="G377" s="69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28"/>
      <c r="G378" s="69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28"/>
      <c r="G379" s="69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28"/>
      <c r="G380" s="69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28"/>
      <c r="G381" s="69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28"/>
      <c r="G382" s="69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28"/>
      <c r="G383" s="69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28"/>
      <c r="G384" s="69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28"/>
      <c r="G385" s="69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28"/>
      <c r="G386" s="69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28"/>
      <c r="G387" s="69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28"/>
      <c r="G388" s="69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28"/>
      <c r="G389" s="69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28"/>
      <c r="G390" s="69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28"/>
      <c r="G391" s="69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28"/>
      <c r="G392" s="69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28"/>
      <c r="G393" s="69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28"/>
      <c r="G394" s="69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28"/>
      <c r="G395" s="69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69"/>
      <c r="G396" s="69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69"/>
      <c r="G397" s="69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69"/>
      <c r="G398" s="69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69"/>
      <c r="G399" s="69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69"/>
      <c r="G400" s="69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69"/>
      <c r="G401" s="69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69"/>
      <c r="G402" s="69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69"/>
      <c r="G403" s="69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69"/>
      <c r="G404" s="69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69"/>
      <c r="G405" s="69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69"/>
      <c r="G406" s="69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69"/>
      <c r="G407" s="69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69"/>
      <c r="G408" s="69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69"/>
      <c r="G409" s="69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69"/>
      <c r="G410" s="69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69"/>
      <c r="G411" s="69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69"/>
      <c r="G412" s="69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69"/>
      <c r="G413" s="69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69"/>
      <c r="G414" s="69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69"/>
      <c r="G415" s="69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69"/>
      <c r="G416" s="69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69"/>
      <c r="G417" s="69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69"/>
      <c r="G418" s="69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69"/>
      <c r="G419" s="69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69"/>
      <c r="G420" s="69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69"/>
      <c r="G421" s="69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69"/>
      <c r="G422" s="69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69"/>
      <c r="G423" s="69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69"/>
      <c r="G424" s="69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69"/>
      <c r="G425" s="69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69"/>
      <c r="G426" s="69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69"/>
      <c r="G427" s="69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69"/>
      <c r="G428" s="69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69"/>
      <c r="G429" s="69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69"/>
      <c r="G430" s="69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69"/>
      <c r="G431" s="69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69"/>
      <c r="G432" s="69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69"/>
      <c r="G433" s="69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69"/>
      <c r="G434" s="69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69"/>
      <c r="G435" s="69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69"/>
      <c r="G436" s="69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69"/>
      <c r="G437" s="69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69"/>
      <c r="G438" s="69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69"/>
      <c r="G439" s="69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69"/>
      <c r="G440" s="69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69"/>
      <c r="G441" s="69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Geoffroy Rombaut - C+for (CNPF)</cp:lastModifiedBy>
  <dcterms:created xsi:type="dcterms:W3CDTF">2021-02-01T08:22:39Z</dcterms:created>
  <dcterms:modified xsi:type="dcterms:W3CDTF">2025-03-21T14:08:57Z</dcterms:modified>
</cp:coreProperties>
</file>