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5\085\Z00GBV39\"/>
    </mc:Choice>
  </mc:AlternateContent>
  <xr:revisionPtr revIDLastSave="0" documentId="13_ncr:1_{7C960B55-37C8-4F88-AD0F-03CF5CF6A32D}" xr6:coauthVersionLast="47" xr6:coauthVersionMax="47" xr10:uidLastSave="{00000000-0000-0000-0000-000000000000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HI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H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EA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EA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HH179" i="2" l="1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HI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G203" i="2" l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<sst xmlns="http://schemas.openxmlformats.org/spreadsheetml/2006/main" count="1170" uniqueCount="324">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</sst>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2.761960356615663</c:v>
                </c:pt>
                <c:pt idx="2">
                  <c:v>3.6684591803038082</c:v>
                </c:pt>
                <c:pt idx="3">
                  <c:v>4.8736941899238824</c:v>
                </c:pt>
                <c:pt idx="4">
                  <c:v>6.476490537914958</c:v>
                </c:pt>
                <c:pt idx="5">
                  <c:v>8.6084821312026509</c:v>
                </c:pt>
                <c:pt idx="6">
                  <c:v>11.445039516514228</c:v>
                </c:pt>
                <c:pt idx="7">
                  <c:v>15.219848571167617</c:v>
                </c:pt>
                <c:pt idx="8">
                  <c:v>20.244363015123902</c:v>
                </c:pt>
                <c:pt idx="9">
                  <c:v>26.933764488855257</c:v>
                </c:pt>
                <c:pt idx="10">
                  <c:v>35.841612916234673</c:v>
                </c:pt>
                <c:pt idx="11">
                  <c:v>49.6944394468998</c:v>
                </c:pt>
                <c:pt idx="12">
                  <c:v>76.038777739330698</c:v>
                </c:pt>
                <c:pt idx="13">
                  <c:v>102.14680795061109</c:v>
                </c:pt>
                <c:pt idx="14">
                  <c:v>128.08842589863374</c:v>
                </c:pt>
                <c:pt idx="15">
                  <c:v>153.90233005028921</c:v>
                </c:pt>
                <c:pt idx="16">
                  <c:v>107.84522593798255</c:v>
                </c:pt>
                <c:pt idx="17">
                  <c:v>136.23399433545893</c:v>
                </c:pt>
                <c:pt idx="18">
                  <c:v>164.47977321830047</c:v>
                </c:pt>
                <c:pt idx="19">
                  <c:v>192.61066580735999</c:v>
                </c:pt>
                <c:pt idx="20">
                  <c:v>220.64584044043252</c:v>
                </c:pt>
                <c:pt idx="21">
                  <c:v>176.44817575735132</c:v>
                </c:pt>
                <c:pt idx="22">
                  <c:v>205.93836150645791</c:v>
                </c:pt>
                <c:pt idx="23">
                  <c:v>235.33081747524636</c:v>
                </c:pt>
                <c:pt idx="24">
                  <c:v>264.63947126038499</c:v>
                </c:pt>
                <c:pt idx="25">
                  <c:v>293.87490695294525</c:v>
                </c:pt>
                <c:pt idx="26">
                  <c:v>249.29705799777221</c:v>
                </c:pt>
                <c:pt idx="27">
                  <c:v>277.87355278777568</c:v>
                </c:pt>
                <c:pt idx="28">
                  <c:v>306.38408652237496</c:v>
                </c:pt>
                <c:pt idx="29">
                  <c:v>334.83565591359439</c:v>
                </c:pt>
                <c:pt idx="30">
                  <c:v>363.2339712848547</c:v>
                </c:pt>
                <c:pt idx="31">
                  <c:v>316.79971175786812</c:v>
                </c:pt>
                <c:pt idx="32">
                  <c:v>343.1526425341026</c:v>
                </c:pt>
                <c:pt idx="33">
                  <c:v>369.46110530100674</c:v>
                </c:pt>
                <c:pt idx="34">
                  <c:v>395.72870878420321</c:v>
                </c:pt>
                <c:pt idx="35">
                  <c:v>421.95854377334393</c:v>
                </c:pt>
                <c:pt idx="36">
                  <c:v>372.22798284097138</c:v>
                </c:pt>
                <c:pt idx="37">
                  <c:v>395.03795250824879</c:v>
                </c:pt>
                <c:pt idx="38">
                  <c:v>417.81938824902596</c:v>
                </c:pt>
                <c:pt idx="39">
                  <c:v>440.57406341244024</c:v>
                </c:pt>
                <c:pt idx="40">
                  <c:v>463.30355334692075</c:v>
                </c:pt>
                <c:pt idx="41">
                  <c:v>414.02438592016205</c:v>
                </c:pt>
                <c:pt idx="42">
                  <c:v>433.68143565596597</c:v>
                </c:pt>
                <c:pt idx="43">
                  <c:v>453.31936136241058</c:v>
                </c:pt>
                <c:pt idx="44">
                  <c:v>472.93910754347075</c:v>
                </c:pt>
                <c:pt idx="45">
                  <c:v>492.54153399430976</c:v>
                </c:pt>
                <c:pt idx="46">
                  <c:v>464.68032061955699</c:v>
                </c:pt>
                <c:pt idx="47">
                  <c:v>481.53874733054272</c:v>
                </c:pt>
                <c:pt idx="48">
                  <c:v>498.38463695157185</c:v>
                </c:pt>
                <c:pt idx="49">
                  <c:v>515.21847270274975</c:v>
                </c:pt>
                <c:pt idx="50">
                  <c:v>532.04070366867984</c:v>
                </c:pt>
                <c:pt idx="51">
                  <c:v>510.41000854334516</c:v>
                </c:pt>
                <c:pt idx="52">
                  <c:v>524.83256960470442</c:v>
                </c:pt>
                <c:pt idx="53">
                  <c:v>539.24678343342566</c:v>
                </c:pt>
                <c:pt idx="54">
                  <c:v>553.65290450097052</c:v>
                </c:pt>
                <c:pt idx="55">
                  <c:v>568.05117296149081</c:v>
                </c:pt>
                <c:pt idx="56">
                  <c:v>549.88064131168267</c:v>
                </c:pt>
                <c:pt idx="57">
                  <c:v>562.56702951922227</c:v>
                </c:pt>
                <c:pt idx="58">
                  <c:v>575.24743388430682</c:v>
                </c:pt>
                <c:pt idx="59">
                  <c:v>587.92200485884598</c:v>
                </c:pt>
                <c:pt idx="60">
                  <c:v>600.59088588094301</c:v>
                </c:pt>
                <c:pt idx="61">
                  <c:v>581.75671680137043</c:v>
                </c:pt>
                <c:pt idx="62">
                  <c:v>592.03144782908828</c:v>
                </c:pt>
                <c:pt idx="63">
                  <c:v>602.30246796675408</c:v>
                </c:pt>
                <c:pt idx="64">
                  <c:v>612.56984940724135</c:v>
                </c:pt>
                <c:pt idx="65">
                  <c:v>622.83366172641195</c:v>
                </c:pt>
                <c:pt idx="66">
                  <c:v>604.35623308741242</c:v>
                </c:pt>
                <c:pt idx="67">
                  <c:v>613.25421384601759</c:v>
                </c:pt>
                <c:pt idx="68">
                  <c:v>622.14951725304638</c:v>
                </c:pt>
                <c:pt idx="69">
                  <c:v>631.04218698304737</c:v>
                </c:pt>
                <c:pt idx="70">
                  <c:v>639.93226537936778</c:v>
                </c:pt>
                <c:pt idx="71">
                  <c:v>622.49159143641089</c:v>
                </c:pt>
                <c:pt idx="72">
                  <c:v>630.70020940783763</c:v>
                </c:pt>
                <c:pt idx="73">
                  <c:v>638.90661802503564</c:v>
                </c:pt>
                <c:pt idx="74">
                  <c:v>647.11084966607893</c:v>
                </c:pt>
                <c:pt idx="75">
                  <c:v>655.31293582114574</c:v>
                </c:pt>
                <c:pt idx="76">
                  <c:v>638.22283422926841</c:v>
                </c:pt>
                <c:pt idx="77">
                  <c:v>645.05999411037908</c:v>
                </c:pt>
                <c:pt idx="78">
                  <c:v>651.89565867529075</c:v>
                </c:pt>
                <c:pt idx="79">
                  <c:v>658.72984581562616</c:v>
                </c:pt>
                <c:pt idx="80">
                  <c:v>665.56257302147412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H14" sqref="H1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30</v>
      </c>
      <c r="C9" s="32">
        <v>1</v>
      </c>
      <c r="D9" s="33">
        <f t="shared" ref="D9:D18" si="0">C9*$C$5</f>
        <v>3.2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Noyer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10</v>
      </c>
      <c r="B36" s="60">
        <v>19</v>
      </c>
      <c r="C36" s="60">
        <v>1</v>
      </c>
      <c r="D36" s="60">
        <v>7</v>
      </c>
      <c r="E36" s="51"/>
      <c r="F36" s="51">
        <v>0.3</v>
      </c>
      <c r="G36" s="51">
        <v>0.7</v>
      </c>
      <c r="H36" s="51"/>
      <c r="I36" s="49">
        <f>IFERROR(B36/A36,"")</f>
        <v>1.9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15</v>
      </c>
      <c r="B37" s="60">
        <v>85</v>
      </c>
      <c r="C37" s="60">
        <v>2</v>
      </c>
      <c r="D37" s="60">
        <v>42</v>
      </c>
      <c r="E37" s="51">
        <v>0.2</v>
      </c>
      <c r="F37" s="51">
        <v>0.2</v>
      </c>
      <c r="G37" s="51">
        <v>0.6</v>
      </c>
      <c r="H37" s="51"/>
      <c r="I37" s="53">
        <f t="shared" ref="I37:I55" si="1">IF(A37&lt;&gt;0,(B37-(B36-D36))/(A37-A36),"")</f>
        <v>14.6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123</v>
      </c>
      <c r="C38" s="60">
        <v>3</v>
      </c>
      <c r="D38" s="60">
        <v>42</v>
      </c>
      <c r="E38" s="51">
        <v>0.2</v>
      </c>
      <c r="F38" s="51">
        <v>0.2</v>
      </c>
      <c r="G38" s="51">
        <v>0.6</v>
      </c>
      <c r="H38" s="51"/>
      <c r="I38" s="53">
        <f t="shared" si="1"/>
        <v>16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25</v>
      </c>
      <c r="B39" s="60">
        <v>165</v>
      </c>
      <c r="C39" s="60">
        <v>4</v>
      </c>
      <c r="D39" s="60">
        <v>42</v>
      </c>
      <c r="E39" s="51">
        <v>0.3</v>
      </c>
      <c r="F39" s="51">
        <v>0.4</v>
      </c>
      <c r="G39" s="51">
        <v>0.3</v>
      </c>
      <c r="H39" s="51"/>
      <c r="I39" s="49">
        <f t="shared" si="1"/>
        <v>16.8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30</v>
      </c>
      <c r="B40" s="60">
        <v>205</v>
      </c>
      <c r="C40" s="60">
        <v>5</v>
      </c>
      <c r="D40" s="60">
        <v>42</v>
      </c>
      <c r="E40" s="51">
        <v>0.3</v>
      </c>
      <c r="F40" s="51">
        <v>0.4</v>
      </c>
      <c r="G40" s="51">
        <v>0.3</v>
      </c>
      <c r="H40" s="51"/>
      <c r="I40" s="49">
        <f t="shared" si="1"/>
        <v>16.399999999999999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35</v>
      </c>
      <c r="B41" s="60">
        <v>239</v>
      </c>
      <c r="C41" s="60">
        <v>6</v>
      </c>
      <c r="D41" s="60">
        <v>42</v>
      </c>
      <c r="E41" s="51"/>
      <c r="F41" s="51"/>
      <c r="G41" s="51"/>
      <c r="H41" s="51"/>
      <c r="I41" s="53">
        <f t="shared" si="1"/>
        <v>15.2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263</v>
      </c>
      <c r="C42" s="60">
        <v>7</v>
      </c>
      <c r="D42" s="60">
        <v>40</v>
      </c>
      <c r="E42" s="51"/>
      <c r="F42" s="51"/>
      <c r="G42" s="51"/>
      <c r="H42" s="51"/>
      <c r="I42" s="53">
        <f t="shared" si="1"/>
        <v>13.2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45</v>
      </c>
      <c r="B43" s="60">
        <v>280</v>
      </c>
      <c r="C43" s="60">
        <v>8</v>
      </c>
      <c r="D43" s="60">
        <v>26</v>
      </c>
      <c r="E43" s="51"/>
      <c r="F43" s="51"/>
      <c r="G43" s="51"/>
      <c r="H43" s="51"/>
      <c r="I43" s="49">
        <f t="shared" si="1"/>
        <v>11.4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50</v>
      </c>
      <c r="B44" s="60">
        <v>303</v>
      </c>
      <c r="C44" s="60">
        <v>9</v>
      </c>
      <c r="D44" s="60">
        <v>21</v>
      </c>
      <c r="E44" s="51"/>
      <c r="F44" s="51"/>
      <c r="G44" s="51"/>
      <c r="H44" s="51"/>
      <c r="I44" s="49">
        <f t="shared" si="1"/>
        <v>9.8000000000000007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55</v>
      </c>
      <c r="B45" s="60">
        <v>324</v>
      </c>
      <c r="C45" s="60">
        <v>10</v>
      </c>
      <c r="D45" s="60">
        <v>18</v>
      </c>
      <c r="E45" s="51"/>
      <c r="F45" s="51"/>
      <c r="G45" s="51"/>
      <c r="H45" s="51"/>
      <c r="I45" s="49">
        <f t="shared" si="1"/>
        <v>8.4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>
        <v>60</v>
      </c>
      <c r="B46" s="60">
        <v>343</v>
      </c>
      <c r="C46" s="60">
        <v>11</v>
      </c>
      <c r="D46" s="60">
        <v>17</v>
      </c>
      <c r="E46" s="51"/>
      <c r="F46" s="51"/>
      <c r="G46" s="51"/>
      <c r="H46" s="51"/>
      <c r="I46" s="49">
        <f t="shared" si="1"/>
        <v>7.4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>
        <v>65</v>
      </c>
      <c r="B47" s="60">
        <v>356</v>
      </c>
      <c r="C47" s="60">
        <v>12</v>
      </c>
      <c r="D47" s="60">
        <v>16</v>
      </c>
      <c r="E47" s="51"/>
      <c r="F47" s="51"/>
      <c r="G47" s="51"/>
      <c r="H47" s="51"/>
      <c r="I47" s="49">
        <f t="shared" si="1"/>
        <v>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>
        <v>70</v>
      </c>
      <c r="B48" s="60">
        <v>366</v>
      </c>
      <c r="C48" s="60">
        <v>13</v>
      </c>
      <c r="D48" s="60">
        <v>15</v>
      </c>
      <c r="E48" s="51"/>
      <c r="F48" s="51"/>
      <c r="G48" s="51"/>
      <c r="H48" s="51"/>
      <c r="I48" s="49">
        <f t="shared" si="1"/>
        <v>5.2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>
        <v>75</v>
      </c>
      <c r="B49" s="60">
        <v>375</v>
      </c>
      <c r="C49" s="60">
        <v>14</v>
      </c>
      <c r="D49" s="60">
        <v>14</v>
      </c>
      <c r="E49" s="51"/>
      <c r="F49" s="51"/>
      <c r="G49" s="51"/>
      <c r="H49" s="51"/>
      <c r="I49" s="49">
        <f t="shared" si="1"/>
        <v>4.8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>
        <v>80</v>
      </c>
      <c r="B50" s="50">
        <v>381</v>
      </c>
      <c r="C50" s="50">
        <v>15</v>
      </c>
      <c r="D50" s="50">
        <v>381</v>
      </c>
      <c r="E50" s="51"/>
      <c r="F50" s="51"/>
      <c r="G50" s="51"/>
      <c r="H50" s="51"/>
      <c r="I50" s="49">
        <f t="shared" si="1"/>
        <v>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1" sqref="F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Noyer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412.59676769258488</v>
      </c>
      <c r="T3" s="59">
        <f>IF('Données projet'!E9&gt;30,$R$33-$H$33,LOOKUP('Données projet'!$E$9,$A$3:$A$203,R3:R203)-LOOKUP('Données projet'!$E$9,$A$3:$A$203,$H$3:$H$203))</f>
        <v>399.90063795152133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1.9</v>
      </c>
      <c r="N4" s="13">
        <f>IF('Données projet'!$A$36&gt;35,N3+M4-V3,IF(A4&lt;'Données projet'!$A$36,$K$205^A4,IF(A4='Données projet'!$A$36,'Données projet'!$B$36,N3+M4-V3)))</f>
        <v>1.3423796509621049</v>
      </c>
      <c r="O4" s="13">
        <f>N4*VLOOKUP('Données projet'!$B$9,Paramètres!$A$1:$I$89,3,0)*VLOOKUP('Données projet'!$B$9,Paramètres!$A$1:$I$89,5,0)</f>
        <v>1.0889383728604596</v>
      </c>
      <c r="P4" s="13">
        <f>EXP(-1.0587+0.8836*LN(O4)+0.284)</f>
        <v>0.49687618596193051</v>
      </c>
      <c r="Q4" s="20">
        <f t="shared" ref="Q4:Q34" si="2">(O4+P4)*0.475*44/12</f>
        <v>2.761960356615663</v>
      </c>
      <c r="R4" s="59">
        <f t="shared" si="0"/>
        <v>260.6508492455045</v>
      </c>
      <c r="S4" s="59">
        <f ca="1">AVERAGE(OFFSET($R$3,0,0,'Données projet'!$E$9+1,1))-AVERAGE(OFFSET($H$3,0,0,'Données projet'!$E$9+1,1))</f>
        <v>412.59676769258488</v>
      </c>
      <c r="T4" s="59">
        <f>$T$3</f>
        <v>399.90063795152133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1.9</v>
      </c>
      <c r="N5" s="13">
        <f>IF('Données projet'!$A$36&gt;35,N4+M5-V4,IF(A5&lt;'Données projet'!$A$36,$K$205^A5,IF(A5='Données projet'!$A$36,'Données projet'!$B$36,N4+M5-V4)))</f>
        <v>1.8019831273171425</v>
      </c>
      <c r="O5" s="13">
        <f>N5*VLOOKUP('Données projet'!$B$9,Paramètres!$A$1:$I$89,3,0)*VLOOKUP('Données projet'!$B$9,Paramètres!$A$1:$I$89,5,0)</f>
        <v>1.4617687128796659</v>
      </c>
      <c r="P5" s="13">
        <f t="shared" ref="P5:P68" si="33">EXP(-1.0587+0.8836*LN(O5)+0.284)</f>
        <v>0.64452363944787983</v>
      </c>
      <c r="Q5" s="20">
        <f t="shared" si="2"/>
        <v>3.6684591803038082</v>
      </c>
      <c r="R5" s="59">
        <f t="shared" si="0"/>
        <v>262.77957029141493</v>
      </c>
      <c r="S5" s="59">
        <f ca="1">AVERAGE(OFFSET($R$3,0,0,'Données projet'!$E$9+1,1))-AVERAGE(OFFSET($H$3,0,0,'Données projet'!$E$9+1,1))</f>
        <v>412.59676769258488</v>
      </c>
      <c r="T5" s="59">
        <f t="shared" ref="T5:T68" si="34">$T$3</f>
        <v>399.90063795152133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1.9</v>
      </c>
      <c r="N6" s="13">
        <f>IF('Données projet'!$A$36&gt;35,N5+M6-V5,IF(A6&lt;'Données projet'!$A$36,$K$205^A6,IF(A6='Données projet'!$A$36,'Données projet'!$B$36,N5+M6-V5)))</f>
        <v>2.4189454814875879</v>
      </c>
      <c r="O6" s="13">
        <f>N6*VLOOKUP('Données projet'!$B$9,Paramètres!$A$1:$I$89,3,0)*VLOOKUP('Données projet'!$B$9,Paramètres!$A$1:$I$89,5,0)</f>
        <v>1.9622485745827314</v>
      </c>
      <c r="P6" s="13">
        <f t="shared" si="33"/>
        <v>0.83604474020610109</v>
      </c>
      <c r="Q6" s="20">
        <f t="shared" si="2"/>
        <v>4.8736941899238824</v>
      </c>
      <c r="R6" s="59">
        <f t="shared" si="0"/>
        <v>265.20702752325718</v>
      </c>
      <c r="S6" s="59">
        <f ca="1">AVERAGE(OFFSET($R$3,0,0,'Données projet'!$E$9+1,1))-AVERAGE(OFFSET($H$3,0,0,'Données projet'!$E$9+1,1))</f>
        <v>412.59676769258488</v>
      </c>
      <c r="T6" s="59">
        <f t="shared" si="34"/>
        <v>399.90063795152133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1.9</v>
      </c>
      <c r="N7" s="13">
        <f>IF('Données projet'!$A$36&gt;35,N6+M7-V6,IF(A7&lt;'Données projet'!$A$36,$K$205^A7,IF(A7='Données projet'!$A$36,'Données projet'!$B$36,N6+M7-V6)))</f>
        <v>3.247143191135669</v>
      </c>
      <c r="O7" s="13">
        <f>N7*VLOOKUP('Données projet'!$B$9,Paramètres!$A$1:$I$89,3,0)*VLOOKUP('Données projet'!$B$9,Paramètres!$A$1:$I$89,5,0)</f>
        <v>2.6340825566492549</v>
      </c>
      <c r="P7" s="13">
        <f t="shared" si="33"/>
        <v>1.0844766038760791</v>
      </c>
      <c r="Q7" s="20">
        <f t="shared" si="2"/>
        <v>6.476490537914958</v>
      </c>
      <c r="R7" s="59">
        <f t="shared" si="0"/>
        <v>268.03204609347051</v>
      </c>
      <c r="S7" s="59">
        <f ca="1">AVERAGE(OFFSET($R$3,0,0,'Données projet'!$E$9+1,1))-AVERAGE(OFFSET($H$3,0,0,'Données projet'!$E$9+1,1))</f>
        <v>412.59676769258488</v>
      </c>
      <c r="T7" s="59">
        <f t="shared" si="34"/>
        <v>399.90063795152133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1.9</v>
      </c>
      <c r="N8" s="13">
        <f>IF('Données projet'!$A$36&gt;35,N7+M8-V7,IF(A8&lt;'Données projet'!$A$36,$K$205^A8,IF(A8='Données projet'!$A$36,'Données projet'!$B$36,N7+M8-V7)))</f>
        <v>4.3588989435406749</v>
      </c>
      <c r="O8" s="13">
        <f>N8*VLOOKUP('Données projet'!$B$9,Paramètres!$A$1:$I$89,3,0)*VLOOKUP('Données projet'!$B$9,Paramètres!$A$1:$I$89,5,0)</f>
        <v>3.5359388230001954</v>
      </c>
      <c r="P8" s="13">
        <f t="shared" si="33"/>
        <v>1.4067303432405609</v>
      </c>
      <c r="Q8" s="20">
        <f t="shared" si="2"/>
        <v>8.6084821312026509</v>
      </c>
      <c r="R8" s="59">
        <f t="shared" si="0"/>
        <v>271.38625990898043</v>
      </c>
      <c r="S8" s="59">
        <f ca="1">AVERAGE(OFFSET($R$3,0,0,'Données projet'!$E$9+1,1))-AVERAGE(OFFSET($H$3,0,0,'Données projet'!$E$9+1,1))</f>
        <v>412.59676769258488</v>
      </c>
      <c r="T8" s="59">
        <f t="shared" si="34"/>
        <v>399.90063795152133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1.9</v>
      </c>
      <c r="N9" s="13">
        <f>IF('Données projet'!$A$36&gt;35,N8+M9-V8,IF(A9&lt;'Données projet'!$A$36,$K$205^A9,IF(A9='Données projet'!$A$36,'Données projet'!$B$36,N8+M9-V8)))</f>
        <v>5.8512972424092187</v>
      </c>
      <c r="O9" s="13">
        <f>N9*VLOOKUP('Données projet'!$B$9,Paramètres!$A$1:$I$89,3,0)*VLOOKUP('Données projet'!$B$9,Paramètres!$A$1:$I$89,5,0)</f>
        <v>4.7465723230423587</v>
      </c>
      <c r="P9" s="13">
        <f t="shared" si="33"/>
        <v>1.8247422318940409</v>
      </c>
      <c r="Q9" s="20">
        <f t="shared" si="2"/>
        <v>11.445039516514228</v>
      </c>
      <c r="R9" s="59">
        <f t="shared" si="0"/>
        <v>275.44503951651421</v>
      </c>
      <c r="S9" s="59">
        <f ca="1">AVERAGE(OFFSET($R$3,0,0,'Données projet'!$E$9+1,1))-AVERAGE(OFFSET($H$3,0,0,'Données projet'!$E$9+1,1))</f>
        <v>412.59676769258488</v>
      </c>
      <c r="T9" s="59">
        <f t="shared" si="34"/>
        <v>399.90063795152133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1.9</v>
      </c>
      <c r="N10" s="13">
        <f>IF('Données projet'!$A$36&gt;35,N9+M10-V9,IF(A10&lt;'Données projet'!$A$36,$K$205^A10,IF(A10='Données projet'!$A$36,'Données projet'!$B$36,N9+M10-V9)))</f>
        <v>7.8546623499408135</v>
      </c>
      <c r="O10" s="13">
        <f>N10*VLOOKUP('Données projet'!$B$9,Paramètres!$A$1:$I$89,3,0)*VLOOKUP('Données projet'!$B$9,Paramètres!$A$1:$I$89,5,0)</f>
        <v>6.3717020982719887</v>
      </c>
      <c r="P10" s="13">
        <f t="shared" si="33"/>
        <v>2.3669669378051128</v>
      </c>
      <c r="Q10" s="20">
        <f t="shared" si="2"/>
        <v>15.219848571167617</v>
      </c>
      <c r="R10" s="59">
        <f t="shared" si="0"/>
        <v>280.44207079338986</v>
      </c>
      <c r="S10" s="59">
        <f ca="1">AVERAGE(OFFSET($R$3,0,0,'Données projet'!$E$9+1,1))-AVERAGE(OFFSET($H$3,0,0,'Données projet'!$E$9+1,1))</f>
        <v>412.59676769258488</v>
      </c>
      <c r="T10" s="59">
        <f t="shared" si="34"/>
        <v>399.90063795152133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1.9</v>
      </c>
      <c r="N11" s="13">
        <f>IF('Données projet'!$A$36&gt;35,N10+M11-V10,IF(A11&lt;'Données projet'!$A$36,$K$205^A11,IF(A11='Données projet'!$A$36,'Données projet'!$B$36,N10+M11-V10)))</f>
        <v>10.543938903738736</v>
      </c>
      <c r="O11" s="13">
        <f>N11*VLOOKUP('Données projet'!$B$9,Paramètres!$A$1:$I$89,3,0)*VLOOKUP('Données projet'!$B$9,Paramètres!$A$1:$I$89,5,0)</f>
        <v>8.553243238712863</v>
      </c>
      <c r="P11" s="13">
        <f t="shared" si="33"/>
        <v>3.0703144733199998</v>
      </c>
      <c r="Q11" s="20">
        <f t="shared" si="2"/>
        <v>20.244363015123902</v>
      </c>
      <c r="R11" s="59">
        <f t="shared" si="0"/>
        <v>286.68880745956835</v>
      </c>
      <c r="S11" s="59">
        <f ca="1">AVERAGE(OFFSET($R$3,0,0,'Données projet'!$E$9+1,1))-AVERAGE(OFFSET($H$3,0,0,'Données projet'!$E$9+1,1))</f>
        <v>412.59676769258488</v>
      </c>
      <c r="T11" s="59">
        <f t="shared" si="34"/>
        <v>399.90063795152133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1.9</v>
      </c>
      <c r="N12" s="13">
        <f>IF('Données projet'!$A$36&gt;35,N11+M12-V11,IF(A12&lt;'Données projet'!$A$36,$K$205^A12,IF(A12='Données projet'!$A$36,'Données projet'!$B$36,N11+M12-V11)))</f>
        <v>14.153969025366564</v>
      </c>
      <c r="O12" s="13">
        <f>N12*VLOOKUP('Données projet'!$B$9,Paramètres!$A$1:$I$89,3,0)*VLOOKUP('Données projet'!$B$9,Paramètres!$A$1:$I$89,5,0)</f>
        <v>11.481699673377356</v>
      </c>
      <c r="P12" s="13">
        <f t="shared" si="33"/>
        <v>3.9826627125682457</v>
      </c>
      <c r="Q12" s="20">
        <f t="shared" si="2"/>
        <v>26.933764488855257</v>
      </c>
      <c r="R12" s="59">
        <f t="shared" si="0"/>
        <v>294.60043115552196</v>
      </c>
      <c r="S12" s="59">
        <f ca="1">AVERAGE(OFFSET($R$3,0,0,'Données projet'!$E$9+1,1))-AVERAGE(OFFSET($H$3,0,0,'Données projet'!$E$9+1,1))</f>
        <v>412.59676769258488</v>
      </c>
      <c r="T12" s="59">
        <f t="shared" si="34"/>
        <v>399.90063795152133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19</v>
      </c>
      <c r="L13" s="12">
        <f>VLOOKUP(A13,'Données projet'!$A$35:$I$55,9,0)</f>
        <v>1.9</v>
      </c>
      <c r="M13" s="12">
        <f t="array" ref="M13">INDEX(L:L,MIN(IF(ISNUMBER(L13:L209),ROW(L13:L209),"")))</f>
        <v>1.9</v>
      </c>
      <c r="N13" s="13">
        <f>IF('Données projet'!$A$36&gt;35,N12+M13-V12,IF(A13&lt;'Données projet'!$A$36,$K$205^A13,IF(A13='Données projet'!$A$36,'Données projet'!$B$36,N12+M13-V12)))</f>
        <v>19</v>
      </c>
      <c r="O13" s="13">
        <f>N13*VLOOKUP('Données projet'!$B$9,Paramètres!$A$1:$I$89,3,0)*VLOOKUP('Données projet'!$B$9,Paramètres!$A$1:$I$89,5,0)</f>
        <v>15.412800000000002</v>
      </c>
      <c r="P13" s="13">
        <f t="shared" si="33"/>
        <v>5.1661165069289936</v>
      </c>
      <c r="Q13" s="20">
        <f t="shared" si="2"/>
        <v>35.841612916234673</v>
      </c>
      <c r="R13" s="59">
        <f t="shared" si="0"/>
        <v>304.73050180512354</v>
      </c>
      <c r="S13" s="59">
        <f ca="1">AVERAGE(OFFSET($R$3,0,0,'Données projet'!$E$9+1,1))-AVERAGE(OFFSET($H$3,0,0,'Données projet'!$E$9+1,1))</f>
        <v>412.59676769258488</v>
      </c>
      <c r="T13" s="59">
        <f t="shared" si="34"/>
        <v>399.90063795152133</v>
      </c>
      <c r="U13" s="15">
        <f>IF(ISNA(VLOOKUP(A13,'Données projet'!$A$35:$I$55,3,0)),0,VLOOKUP(A13,'Données projet'!$A$35:$I$55,3,0))</f>
        <v>1</v>
      </c>
      <c r="V13" s="15">
        <f>IF(ISNA(VLOOKUP(A13,'Données projet'!$A$35:$I$55,4,0)),0,VLOOKUP(A13,'Données projet'!$A$35:$I$55,4,0))</f>
        <v>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0.159</v>
      </c>
      <c r="Y13" s="16">
        <f>IF(ISNA(VLOOKUP(A13,'Données projet'!$A$35:$I$55,7,0)),0%,VLOOKUP(A13,'Données projet'!$A$35:$I$55,7,0))</f>
        <v>0.7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0.99416131223087645</v>
      </c>
      <c r="AB13" s="21">
        <f>EXP(-LN(2)/2)*AB12+(1-EXP(-LN(2)/2))/(LN(2)/2)*V13*Y13*VLOOKUP('Données projet'!$B$9,Paramètres!$A$1:$I$89,3,0)*0.475*44/12</f>
        <v>3.7504062623266656</v>
      </c>
      <c r="AC13" s="22">
        <f t="shared" si="3"/>
        <v>4.744567574557542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14.6</v>
      </c>
      <c r="N14" s="13">
        <f>IF('Données projet'!$A$36&gt;35,N13+M14-V13,IF(A14&lt;'Données projet'!$A$36,$K$205^A14,IF(A14='Données projet'!$A$36,'Données projet'!$B$36,N13+M14-V13)))</f>
        <v>26.6</v>
      </c>
      <c r="O14" s="13">
        <f>N14*VLOOKUP('Données projet'!$B$9,Paramètres!$A$1:$I$89,3,0)*VLOOKUP('Données projet'!$B$9,Paramètres!$A$1:$I$89,5,0)</f>
        <v>21.577920000000002</v>
      </c>
      <c r="P14" s="13">
        <f t="shared" si="33"/>
        <v>6.9547725053970177</v>
      </c>
      <c r="Q14" s="20">
        <f t="shared" si="2"/>
        <v>49.6944394468998</v>
      </c>
      <c r="R14" s="59">
        <f t="shared" si="0"/>
        <v>319.80555055801096</v>
      </c>
      <c r="S14" s="59">
        <f ca="1">AVERAGE(OFFSET($R$3,0,0,'Données projet'!$E$9+1,1))-AVERAGE(OFFSET($H$3,0,0,'Données projet'!$E$9+1,1))</f>
        <v>412.59676769258488</v>
      </c>
      <c r="T14" s="59">
        <f t="shared" si="34"/>
        <v>399.90063795152133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0.96697591886725187</v>
      </c>
      <c r="AB14" s="21">
        <f>EXP(-LN(2)/2)*AB13+(1-EXP(-LN(2)/2))/(LN(2)/2)*V14*Y14*VLOOKUP('Données projet'!$B$9,Paramètres!$A$1:$I$89,3,0)*0.475*44/12</f>
        <v>2.6519377002956794</v>
      </c>
      <c r="AC14" s="22">
        <f t="shared" si="3"/>
        <v>3.6189136191629312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14.6</v>
      </c>
      <c r="N15" s="13">
        <f>IF('Données projet'!$A$36&gt;35,N14+M15-V14,IF(A15&lt;'Données projet'!$A$36,$K$205^A15,IF(A15='Données projet'!$A$36,'Données projet'!$B$36,N14+M15-V14)))</f>
        <v>41.2</v>
      </c>
      <c r="O15" s="13">
        <f>N15*VLOOKUP('Données projet'!$B$9,Paramètres!$A$1:$I$89,3,0)*VLOOKUP('Données projet'!$B$9,Paramètres!$A$1:$I$89,5,0)</f>
        <v>33.421440000000004</v>
      </c>
      <c r="P15" s="13">
        <f t="shared" si="33"/>
        <v>10.23718836707982</v>
      </c>
      <c r="Q15" s="20">
        <f t="shared" si="2"/>
        <v>76.038777739330698</v>
      </c>
      <c r="R15" s="59">
        <f t="shared" si="0"/>
        <v>347.37211107266398</v>
      </c>
      <c r="S15" s="59">
        <f ca="1">AVERAGE(OFFSET($R$3,0,0,'Données projet'!$E$9+1,1))-AVERAGE(OFFSET($H$3,0,0,'Données projet'!$E$9+1,1))</f>
        <v>412.59676769258488</v>
      </c>
      <c r="T15" s="59">
        <f t="shared" si="34"/>
        <v>399.90063795152133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0.94053391151477339</v>
      </c>
      <c r="AB15" s="21">
        <f>EXP(-LN(2)/2)*AB14+(1-EXP(-LN(2)/2))/(LN(2)/2)*V15*Y15*VLOOKUP('Données projet'!$B$9,Paramètres!$A$1:$I$89,3,0)*0.475*44/12</f>
        <v>1.8752031311633333</v>
      </c>
      <c r="AC15" s="22">
        <f t="shared" si="3"/>
        <v>2.8157370426781068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14.6</v>
      </c>
      <c r="N16" s="13">
        <f>IF('Données projet'!$A$36&gt;35,N15+M16-V15,IF(A16&lt;'Données projet'!$A$36,$K$205^A16,IF(A16='Données projet'!$A$36,'Données projet'!$B$36,N15+M16-V15)))</f>
        <v>55.800000000000004</v>
      </c>
      <c r="O16" s="13">
        <f>N16*VLOOKUP('Données projet'!$B$9,Paramètres!$A$1:$I$89,3,0)*VLOOKUP('Données projet'!$B$9,Paramètres!$A$1:$I$89,5,0)</f>
        <v>45.264960000000002</v>
      </c>
      <c r="P16" s="13">
        <f t="shared" si="33"/>
        <v>13.383924947719283</v>
      </c>
      <c r="Q16" s="20">
        <f t="shared" si="2"/>
        <v>102.14680795061109</v>
      </c>
      <c r="R16" s="59">
        <f t="shared" si="0"/>
        <v>374.70236350616665</v>
      </c>
      <c r="S16" s="59">
        <f ca="1">AVERAGE(OFFSET($R$3,0,0,'Données projet'!$E$9+1,1))-AVERAGE(OFFSET($H$3,0,0,'Données projet'!$E$9+1,1))</f>
        <v>412.59676769258488</v>
      </c>
      <c r="T16" s="59">
        <f t="shared" si="34"/>
        <v>399.90063795152133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0.91481496224387315</v>
      </c>
      <c r="AB16" s="21">
        <f>EXP(-LN(2)/2)*AB15+(1-EXP(-LN(2)/2))/(LN(2)/2)*V16*Y16*VLOOKUP('Données projet'!$B$9,Paramètres!$A$1:$I$89,3,0)*0.475*44/12</f>
        <v>1.3259688501478399</v>
      </c>
      <c r="AC16" s="22">
        <f t="shared" si="3"/>
        <v>2.240783812391713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14.6</v>
      </c>
      <c r="N17" s="13">
        <f>IF('Données projet'!$A$36&gt;35,N16+M17-V16,IF(A17&lt;'Données projet'!$A$36,$K$205^A17,IF(A17='Données projet'!$A$36,'Données projet'!$B$36,N16+M17-V16)))</f>
        <v>70.400000000000006</v>
      </c>
      <c r="O17" s="13">
        <f>N17*VLOOKUP('Données projet'!$B$9,Paramètres!$A$1:$I$89,3,0)*VLOOKUP('Données projet'!$B$9,Paramètres!$A$1:$I$89,5,0)</f>
        <v>57.108480000000007</v>
      </c>
      <c r="P17" s="13">
        <f t="shared" si="33"/>
        <v>16.435113817397369</v>
      </c>
      <c r="Q17" s="20">
        <f t="shared" si="2"/>
        <v>128.08842589863374</v>
      </c>
      <c r="R17" s="59">
        <f t="shared" si="0"/>
        <v>401.86620367641149</v>
      </c>
      <c r="S17" s="59">
        <f ca="1">AVERAGE(OFFSET($R$3,0,0,'Données projet'!$E$9+1,1))-AVERAGE(OFFSET($H$3,0,0,'Données projet'!$E$9+1,1))</f>
        <v>412.59676769258488</v>
      </c>
      <c r="T17" s="59">
        <f t="shared" si="34"/>
        <v>399.90063795152133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0.88979929899328647</v>
      </c>
      <c r="AB17" s="21">
        <f>EXP(-LN(2)/2)*AB16+(1-EXP(-LN(2)/2))/(LN(2)/2)*V17*Y17*VLOOKUP('Données projet'!$B$9,Paramètres!$A$1:$I$89,3,0)*0.475*44/12</f>
        <v>0.93760156558166674</v>
      </c>
      <c r="AC17" s="22">
        <f t="shared" si="3"/>
        <v>1.8274008645749533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85</v>
      </c>
      <c r="L18" s="12">
        <f>VLOOKUP(A18,'Données projet'!$A$35:$I$55,9,0)</f>
        <v>14.6</v>
      </c>
      <c r="M18" s="12">
        <f t="array" ref="M18">INDEX(L:L,MIN(IF(ISNUMBER(L18:L214),ROW(L18:L214),"")))</f>
        <v>14.6</v>
      </c>
      <c r="N18" s="13">
        <f>IF('Données projet'!$A$36&gt;35,N17+M18-V17,IF(A18&lt;'Données projet'!$A$36,$K$205^A18,IF(A18='Données projet'!$A$36,'Données projet'!$B$36,N17+M18-V17)))</f>
        <v>85</v>
      </c>
      <c r="O18" s="13">
        <f>N18*VLOOKUP('Données projet'!$B$9,Paramètres!$A$1:$I$89,3,0)*VLOOKUP('Données projet'!$B$9,Paramètres!$A$1:$I$89,5,0)</f>
        <v>68.952000000000012</v>
      </c>
      <c r="P18" s="13">
        <f t="shared" si="33"/>
        <v>19.412974191553594</v>
      </c>
      <c r="Q18" s="20">
        <f t="shared" si="2"/>
        <v>153.90233005028921</v>
      </c>
      <c r="R18" s="59">
        <f t="shared" si="0"/>
        <v>428.90233005028921</v>
      </c>
      <c r="S18" s="59">
        <f ca="1">AVERAGE(OFFSET($R$3,0,0,'Données projet'!$E$9+1,1))-AVERAGE(OFFSET($H$3,0,0,'Données projet'!$E$9+1,1))</f>
        <v>412.59676769258488</v>
      </c>
      <c r="T18" s="59">
        <f t="shared" si="34"/>
        <v>399.90063795152133</v>
      </c>
      <c r="U18" s="15">
        <f>IF(ISNA(VLOOKUP(A18,'Données projet'!$A$35:$I$55,3,0)),0,VLOOKUP(A18,'Données projet'!$A$35:$I$55,3,0))</f>
        <v>2</v>
      </c>
      <c r="V18" s="15">
        <f>IF(ISNA(VLOOKUP(A18,'Données projet'!$A$35:$I$55,4,0)),0,VLOOKUP(A18,'Données projet'!$A$35:$I$55,4,0))</f>
        <v>42</v>
      </c>
      <c r="W18" s="16">
        <f>IF(ISNA(VLOOKUP(A18,'Données projet'!$A$35:$I$55,5,0)),0%,VLOOKUP(A18,'Données projet'!$A$35:$I$55,5,0)*VLOOKUP('Données projet'!$B$9,Paramètres!$A$1:$I$89,7,0))</f>
        <v>0.10600000000000001</v>
      </c>
      <c r="X18" s="16">
        <f>IF(ISNA(VLOOKUP(A18,'Données projet'!$A$35:$I$55,6,0)),0%,VLOOKUP(A18,'Données projet'!$A$35:$I$55,6,0)*VLOOKUP('Données projet'!$B$9,Paramètres!$A$1:$I$89,7,0))</f>
        <v>0.10600000000000001</v>
      </c>
      <c r="Y18" s="16">
        <f>IF(ISNA(VLOOKUP(A18,'Données projet'!$A$35:$I$55,7,0)),0%,VLOOKUP(A18,'Données projet'!$A$35:$I$55,7,0))</f>
        <v>0.6</v>
      </c>
      <c r="Z18" s="21">
        <f>EXP(-LN(2)/35)*Z17+(1-EXP(-LN(2)/35))/(LN(2)/35)*V18*W18*VLOOKUP('Données projet'!$B$9,Paramètres!$A$1:$I$89,3,0)*0.475*44/12</f>
        <v>3.9923647099969801</v>
      </c>
      <c r="AA18" s="21">
        <f>EXP(-LN(2)/25)*AA17+(1-EXP(-LN(2)/25))/(LN(2)/25)*Calculateur!V18*Calculateur!X18*VLOOKUP('Données projet'!$B$9,Paramètres!$A$1:$I$89,3,0)*0.475*44/12</f>
        <v>4.8421129392933091</v>
      </c>
      <c r="AB18" s="21">
        <f>EXP(-LN(2)/2)*AB17+(1-EXP(-LN(2)/2))/(LN(2)/2)*V18*Y18*VLOOKUP('Données projet'!$B$9,Paramètres!$A$1:$I$89,3,0)*0.475*44/12</f>
        <v>19.950788059896773</v>
      </c>
      <c r="AC18" s="22">
        <f t="shared" si="3"/>
        <v>28.785265709187062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</v>
      </c>
      <c r="N19" s="13">
        <f>IF('Données projet'!$A$36&gt;35,N18+M19-V18,IF(A19&lt;'Données projet'!$A$36,$K$205^A19,IF(A19='Données projet'!$A$36,'Données projet'!$B$36,N18+M19-V18)))</f>
        <v>59</v>
      </c>
      <c r="O19" s="13">
        <f>N19*VLOOKUP('Données projet'!$B$9,Paramètres!$A$1:$I$89,3,0)*VLOOKUP('Données projet'!$B$9,Paramètres!$A$1:$I$89,5,0)</f>
        <v>47.860800000000005</v>
      </c>
      <c r="P19" s="13">
        <f t="shared" si="33"/>
        <v>14.059903887836867</v>
      </c>
      <c r="Q19" s="20">
        <f t="shared" si="2"/>
        <v>107.84522593798255</v>
      </c>
      <c r="R19" s="59">
        <f t="shared" si="0"/>
        <v>384.06744816020478</v>
      </c>
      <c r="S19" s="59">
        <f ca="1">AVERAGE(OFFSET($R$3,0,0,'Données projet'!$E$9+1,1))-AVERAGE(OFFSET($H$3,0,0,'Données projet'!$E$9+1,1))</f>
        <v>412.59676769258488</v>
      </c>
      <c r="T19" s="59">
        <f t="shared" si="34"/>
        <v>399.90063795152133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3.9140768731359663</v>
      </c>
      <c r="AA19" s="21">
        <f>EXP(-LN(2)/25)*AA18+(1-EXP(-LN(2)/25))/(LN(2)/25)*Calculateur!V19*Calculateur!X19*VLOOKUP('Données projet'!$B$9,Paramètres!$A$1:$I$89,3,0)*0.475*44/12</f>
        <v>4.7097051063326809</v>
      </c>
      <c r="AB19" s="21">
        <f>EXP(-LN(2)/2)*AB18+(1-EXP(-LN(2)/2))/(LN(2)/2)*V19*Y19*VLOOKUP('Données projet'!$B$9,Paramètres!$A$1:$I$89,3,0)*0.475*44/12</f>
        <v>14.107337527168614</v>
      </c>
      <c r="AC19" s="22">
        <f t="shared" si="3"/>
        <v>22.731119506637263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</v>
      </c>
      <c r="N20" s="13">
        <f>IF('Données projet'!$A$36&gt;35,N19+M20-V19,IF(A20&lt;'Données projet'!$A$36,$K$205^A20,IF(A20='Données projet'!$A$36,'Données projet'!$B$36,N19+M20-V19)))</f>
        <v>75</v>
      </c>
      <c r="O20" s="13">
        <f>N20*VLOOKUP('Données projet'!$B$9,Paramètres!$A$1:$I$89,3,0)*VLOOKUP('Données projet'!$B$9,Paramètres!$A$1:$I$89,5,0)</f>
        <v>60.84</v>
      </c>
      <c r="P20" s="13">
        <f t="shared" si="33"/>
        <v>17.380475216531455</v>
      </c>
      <c r="Q20" s="20">
        <f t="shared" si="2"/>
        <v>136.23399433545893</v>
      </c>
      <c r="R20" s="59">
        <f t="shared" si="0"/>
        <v>413.67843877990339</v>
      </c>
      <c r="S20" s="59">
        <f ca="1">AVERAGE(OFFSET($R$3,0,0,'Données projet'!$E$9+1,1))-AVERAGE(OFFSET($H$3,0,0,'Données projet'!$E$9+1,1))</f>
        <v>412.59676769258488</v>
      </c>
      <c r="T20" s="59">
        <f t="shared" si="34"/>
        <v>399.90063795152133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3.8373242130049312</v>
      </c>
      <c r="AA20" s="21">
        <f>EXP(-LN(2)/25)*AA19+(1-EXP(-LN(2)/25))/(LN(2)/25)*Calculateur!V20*Calculateur!X20*VLOOKUP('Données projet'!$B$9,Paramètres!$A$1:$I$89,3,0)*0.475*44/12</f>
        <v>4.5809179725273861</v>
      </c>
      <c r="AB20" s="21">
        <f>EXP(-LN(2)/2)*AB19+(1-EXP(-LN(2)/2))/(LN(2)/2)*V20*Y20*VLOOKUP('Données projet'!$B$9,Paramètres!$A$1:$I$89,3,0)*0.475*44/12</f>
        <v>9.9753940299483883</v>
      </c>
      <c r="AC20" s="22">
        <f t="shared" si="3"/>
        <v>18.393636215480704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</v>
      </c>
      <c r="N21" s="13">
        <f>IF('Données projet'!$A$36&gt;35,N20+M21-V20,IF(A21&lt;'Données projet'!$A$36,$K$205^A21,IF(A21='Données projet'!$A$36,'Données projet'!$B$36,N20+M21-V20)))</f>
        <v>91</v>
      </c>
      <c r="O21" s="13">
        <f>N21*VLOOKUP('Données projet'!$B$9,Paramètres!$A$1:$I$89,3,0)*VLOOKUP('Données projet'!$B$9,Paramètres!$A$1:$I$89,5,0)</f>
        <v>73.819200000000009</v>
      </c>
      <c r="P21" s="13">
        <f t="shared" si="33"/>
        <v>20.618947302373467</v>
      </c>
      <c r="Q21" s="20">
        <f t="shared" si="2"/>
        <v>164.47977321830047</v>
      </c>
      <c r="R21" s="59">
        <f t="shared" si="0"/>
        <v>443.14643988496715</v>
      </c>
      <c r="S21" s="59">
        <f ca="1">AVERAGE(OFFSET($R$3,0,0,'Données projet'!$E$9+1,1))-AVERAGE(OFFSET($H$3,0,0,'Données projet'!$E$9+1,1))</f>
        <v>412.59676769258488</v>
      </c>
      <c r="T21" s="59">
        <f t="shared" si="34"/>
        <v>399.90063795152133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3.7620766257245655</v>
      </c>
      <c r="AA21" s="21">
        <f>EXP(-LN(2)/25)*AA20+(1-EXP(-LN(2)/25))/(LN(2)/25)*Calculateur!V21*Calculateur!X21*VLOOKUP('Données projet'!$B$9,Paramètres!$A$1:$I$89,3,0)*0.475*44/12</f>
        <v>4.455652529668618</v>
      </c>
      <c r="AB21" s="21">
        <f>EXP(-LN(2)/2)*AB20+(1-EXP(-LN(2)/2))/(LN(2)/2)*V21*Y21*VLOOKUP('Données projet'!$B$9,Paramètres!$A$1:$I$89,3,0)*0.475*44/12</f>
        <v>7.0536687635843078</v>
      </c>
      <c r="AC21" s="22">
        <f t="shared" si="3"/>
        <v>15.271397918977492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</v>
      </c>
      <c r="N22" s="13">
        <f>IF('Données projet'!$A$36&gt;35,N21+M22-V21,IF(A22&lt;'Données projet'!$A$36,$K$205^A22,IF(A22='Données projet'!$A$36,'Données projet'!$B$36,N21+M22-V21)))</f>
        <v>107</v>
      </c>
      <c r="O22" s="13">
        <f>N22*VLOOKUP('Données projet'!$B$9,Paramètres!$A$1:$I$89,3,0)*VLOOKUP('Données projet'!$B$9,Paramètres!$A$1:$I$89,5,0)</f>
        <v>86.798400000000001</v>
      </c>
      <c r="P22" s="13">
        <f t="shared" si="33"/>
        <v>23.791455965948352</v>
      </c>
      <c r="Q22" s="20">
        <f t="shared" si="2"/>
        <v>192.61066580735999</v>
      </c>
      <c r="R22" s="59">
        <f t="shared" si="0"/>
        <v>472.49955469624888</v>
      </c>
      <c r="S22" s="59">
        <f ca="1">AVERAGE(OFFSET($R$3,0,0,'Données projet'!$E$9+1,1))-AVERAGE(OFFSET($H$3,0,0,'Données projet'!$E$9+1,1))</f>
        <v>412.59676769258488</v>
      </c>
      <c r="T22" s="59">
        <f t="shared" si="34"/>
        <v>399.90063795152133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3.6883045977342714</v>
      </c>
      <c r="AA22" s="21">
        <f>EXP(-LN(2)/25)*AA21+(1-EXP(-LN(2)/25))/(LN(2)/25)*Calculateur!V22*Calculateur!X22*VLOOKUP('Données projet'!$B$9,Paramètres!$A$1:$I$89,3,0)*0.475*44/12</f>
        <v>4.3338124769322466</v>
      </c>
      <c r="AB22" s="21">
        <f>EXP(-LN(2)/2)*AB21+(1-EXP(-LN(2)/2))/(LN(2)/2)*V22*Y22*VLOOKUP('Données projet'!$B$9,Paramètres!$A$1:$I$89,3,0)*0.475*44/12</f>
        <v>4.987697014974195</v>
      </c>
      <c r="AC22" s="22">
        <f t="shared" si="3"/>
        <v>13.009814089640713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123</v>
      </c>
      <c r="L23" s="12">
        <f>VLOOKUP(A23,'Données projet'!$A$35:$I$55,9,0)</f>
        <v>16</v>
      </c>
      <c r="M23" s="12">
        <f t="array" ref="M23">INDEX(L:L,MIN(IF(ISNUMBER(L23:L219),ROW(L23:L219),"")))</f>
        <v>16</v>
      </c>
      <c r="N23" s="13">
        <f>IF('Données projet'!$A$36&gt;35,N22+M23-V22,IF(A23&lt;'Données projet'!$A$36,$K$205^A23,IF(A23='Données projet'!$A$36,'Données projet'!$B$36,N22+M23-V22)))</f>
        <v>123</v>
      </c>
      <c r="O23" s="13">
        <f>N23*VLOOKUP('Données projet'!$B$9,Paramètres!$A$1:$I$89,3,0)*VLOOKUP('Données projet'!$B$9,Paramètres!$A$1:$I$89,5,0)</f>
        <v>99.777600000000007</v>
      </c>
      <c r="P23" s="13">
        <f t="shared" si="33"/>
        <v>26.909006951444532</v>
      </c>
      <c r="Q23" s="20">
        <f t="shared" si="2"/>
        <v>220.64584044043252</v>
      </c>
      <c r="R23" s="59">
        <f t="shared" si="0"/>
        <v>501.75695155154369</v>
      </c>
      <c r="S23" s="59">
        <f ca="1">AVERAGE(OFFSET($R$3,0,0,'Données projet'!$E$9+1,1))-AVERAGE(OFFSET($H$3,0,0,'Données projet'!$E$9+1,1))</f>
        <v>412.59676769258488</v>
      </c>
      <c r="T23" s="59">
        <f t="shared" si="34"/>
        <v>399.90063795152133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42</v>
      </c>
      <c r="W23" s="16">
        <f>IF(ISNA(VLOOKUP(A23,'Données projet'!$A$35:$I$55,5,0)),0%,VLOOKUP(A23,'Données projet'!$A$35:$I$55,5,0)*VLOOKUP('Données projet'!$B$9,Paramètres!$A$1:$I$89,7,0))</f>
        <v>0.10600000000000001</v>
      </c>
      <c r="X23" s="16">
        <f>IF(ISNA(VLOOKUP(A23,'Données projet'!$A$35:$I$55,6,0)),0%,VLOOKUP(A23,'Données projet'!$A$35:$I$55,6,0)*VLOOKUP('Données projet'!$B$9,Paramètres!$A$1:$I$89,7,0))</f>
        <v>0.10600000000000001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7.6083439042133527</v>
      </c>
      <c r="AA23" s="21">
        <f>EXP(-LN(2)/25)*AA22+(1-EXP(-LN(2)/25))/(LN(2)/25)*Calculateur!V23*Calculateur!X23*VLOOKUP('Données projet'!$B$9,Paramètres!$A$1:$I$89,3,0)*0.475*44/12</f>
        <v>8.1919493957687468</v>
      </c>
      <c r="AB23" s="21">
        <f>EXP(-LN(2)/2)*AB22+(1-EXP(-LN(2)/2))/(LN(2)/2)*V23*Y23*VLOOKUP('Données projet'!$B$9,Paramètres!$A$1:$I$89,3,0)*0.475*44/12</f>
        <v>22.81463801661501</v>
      </c>
      <c r="AC23" s="22">
        <f t="shared" si="3"/>
        <v>38.614931316597108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16.8</v>
      </c>
      <c r="N24" s="13">
        <f>IF('Données projet'!$A$36&gt;35,N23+M24-V23,IF(A24&lt;'Données projet'!$A$36,$K$205^A24,IF(A24='Données projet'!$A$36,'Données projet'!$B$36,N23+M24-V23)))</f>
        <v>97.800000000000011</v>
      </c>
      <c r="O24" s="13">
        <f>N24*VLOOKUP('Données projet'!$B$9,Paramètres!$A$1:$I$89,3,0)*VLOOKUP('Données projet'!$B$9,Paramètres!$A$1:$I$89,5,0)</f>
        <v>79.335360000000023</v>
      </c>
      <c r="P24" s="13">
        <f t="shared" si="33"/>
        <v>21.974597372641874</v>
      </c>
      <c r="Q24" s="20">
        <f t="shared" si="2"/>
        <v>176.44817575735132</v>
      </c>
      <c r="R24" s="59">
        <f t="shared" si="0"/>
        <v>458.78150909068461</v>
      </c>
      <c r="S24" s="59">
        <f ca="1">AVERAGE(OFFSET($R$3,0,0,'Données projet'!$E$9+1,1))-AVERAGE(OFFSET($H$3,0,0,'Données projet'!$E$9+1,1))</f>
        <v>412.59676769258488</v>
      </c>
      <c r="T24" s="59">
        <f t="shared" si="34"/>
        <v>399.90063795152133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7.459148920883286</v>
      </c>
      <c r="AA24" s="21">
        <f>EXP(-LN(2)/25)*AA23+(1-EXP(-LN(2)/25))/(LN(2)/25)*Calculateur!V24*Calculateur!X24*VLOOKUP('Données projet'!$B$9,Paramètres!$A$1:$I$89,3,0)*0.475*44/12</f>
        <v>7.9679401087455544</v>
      </c>
      <c r="AB24" s="21">
        <f>EXP(-LN(2)/2)*AB23+(1-EXP(-LN(2)/2))/(LN(2)/2)*V24*Y24*VLOOKUP('Données projet'!$B$9,Paramètres!$A$1:$I$89,3,0)*0.475*44/12</f>
        <v>16.132385251864878</v>
      </c>
      <c r="AC24" s="22">
        <f t="shared" si="3"/>
        <v>31.559474281493721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16.8</v>
      </c>
      <c r="N25" s="13">
        <f>IF('Données projet'!$A$36&gt;35,N24+M25-V24,IF(A25&lt;'Données projet'!$A$36,$K$205^A25,IF(A25='Données projet'!$A$36,'Données projet'!$B$36,N24+M25-V24)))</f>
        <v>114.60000000000001</v>
      </c>
      <c r="O25" s="13">
        <f>N25*VLOOKUP('Données projet'!$B$9,Paramètres!$A$1:$I$89,3,0)*VLOOKUP('Données projet'!$B$9,Paramètres!$A$1:$I$89,5,0)</f>
        <v>92.963520000000017</v>
      </c>
      <c r="P25" s="13">
        <f t="shared" si="33"/>
        <v>25.278601439114567</v>
      </c>
      <c r="Q25" s="20">
        <f t="shared" si="2"/>
        <v>205.93836150645791</v>
      </c>
      <c r="R25" s="59">
        <f t="shared" si="0"/>
        <v>489.49391706201345</v>
      </c>
      <c r="S25" s="59">
        <f ca="1">AVERAGE(OFFSET($R$3,0,0,'Données projet'!$E$9+1,1))-AVERAGE(OFFSET($H$3,0,0,'Données projet'!$E$9+1,1))</f>
        <v>412.59676769258488</v>
      </c>
      <c r="T25" s="59">
        <f t="shared" si="34"/>
        <v>399.90063795152133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7.3128795601763681</v>
      </c>
      <c r="AA25" s="21">
        <f>EXP(-LN(2)/25)*AA24+(1-EXP(-LN(2)/25))/(LN(2)/25)*Calculateur!V25*Calculateur!X25*VLOOKUP('Données projet'!$B$9,Paramètres!$A$1:$I$89,3,0)*0.475*44/12</f>
        <v>7.750056367456148</v>
      </c>
      <c r="AB25" s="21">
        <f>EXP(-LN(2)/2)*AB24+(1-EXP(-LN(2)/2))/(LN(2)/2)*V25*Y25*VLOOKUP('Données projet'!$B$9,Paramètres!$A$1:$I$89,3,0)*0.475*44/12</f>
        <v>11.407319008307505</v>
      </c>
      <c r="AC25" s="22">
        <f t="shared" si="3"/>
        <v>26.470254935940019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16.8</v>
      </c>
      <c r="N26" s="13">
        <f>IF('Données projet'!$A$36&gt;35,N25+M26-V25,IF(A26&lt;'Données projet'!$A$36,$K$205^A26,IF(A26='Données projet'!$A$36,'Données projet'!$B$36,N25+M26-V25)))</f>
        <v>131.4</v>
      </c>
      <c r="O26" s="13">
        <f>N26*VLOOKUP('Données projet'!$B$9,Paramètres!$A$1:$I$89,3,0)*VLOOKUP('Données projet'!$B$9,Paramètres!$A$1:$I$89,5,0)</f>
        <v>106.59168000000001</v>
      </c>
      <c r="P26" s="13">
        <f t="shared" si="33"/>
        <v>28.526492713060108</v>
      </c>
      <c r="Q26" s="20">
        <f t="shared" si="2"/>
        <v>235.33081747524636</v>
      </c>
      <c r="R26" s="59">
        <f t="shared" si="0"/>
        <v>520.10859525302408</v>
      </c>
      <c r="S26" s="59">
        <f ca="1">AVERAGE(OFFSET($R$3,0,0,'Données projet'!$E$9+1,1))-AVERAGE(OFFSET($H$3,0,0,'Données projet'!$E$9+1,1))</f>
        <v>412.59676769258488</v>
      </c>
      <c r="T26" s="59">
        <f t="shared" si="34"/>
        <v>399.90063795152133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7.1694784524174118</v>
      </c>
      <c r="AA26" s="21">
        <f>EXP(-LN(2)/25)*AA25+(1-EXP(-LN(2)/25))/(LN(2)/25)*Calculateur!V26*Calculateur!X26*VLOOKUP('Données projet'!$B$9,Paramètres!$A$1:$I$89,3,0)*0.475*44/12</f>
        <v>7.5381306685303082</v>
      </c>
      <c r="AB26" s="21">
        <f>EXP(-LN(2)/2)*AB25+(1-EXP(-LN(2)/2))/(LN(2)/2)*V26*Y26*VLOOKUP('Données projet'!$B$9,Paramètres!$A$1:$I$89,3,0)*0.475*44/12</f>
        <v>8.0661926259324392</v>
      </c>
      <c r="AC26" s="22">
        <f t="shared" si="3"/>
        <v>22.77380174688016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16.8</v>
      </c>
      <c r="N27" s="13">
        <f>IF('Données projet'!$A$36&gt;35,N26+M27-V26,IF(A27&lt;'Données projet'!$A$36,$K$205^A27,IF(A27='Données projet'!$A$36,'Données projet'!$B$36,N26+M27-V26)))</f>
        <v>148.20000000000002</v>
      </c>
      <c r="O27" s="13">
        <f>N27*VLOOKUP('Données projet'!$B$9,Paramètres!$A$1:$I$89,3,0)*VLOOKUP('Données projet'!$B$9,Paramètres!$A$1:$I$89,5,0)</f>
        <v>120.21984000000002</v>
      </c>
      <c r="P27" s="13">
        <f t="shared" si="33"/>
        <v>31.726267900699519</v>
      </c>
      <c r="Q27" s="20">
        <f t="shared" si="2"/>
        <v>264.63947126038499</v>
      </c>
      <c r="R27" s="59">
        <f t="shared" si="0"/>
        <v>550.63947126038499</v>
      </c>
      <c r="S27" s="59">
        <f ca="1">AVERAGE(OFFSET($R$3,0,0,'Données projet'!$E$9+1,1))-AVERAGE(OFFSET($H$3,0,0,'Données projet'!$E$9+1,1))</f>
        <v>412.59676769258488</v>
      </c>
      <c r="T27" s="59">
        <f t="shared" si="34"/>
        <v>399.90063795152133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7.0288893529155692</v>
      </c>
      <c r="AA27" s="21">
        <f>EXP(-LN(2)/25)*AA26+(1-EXP(-LN(2)/25))/(LN(2)/25)*Calculateur!V27*Calculateur!X27*VLOOKUP('Données projet'!$B$9,Paramètres!$A$1:$I$89,3,0)*0.475*44/12</f>
        <v>7.332000088986284</v>
      </c>
      <c r="AB27" s="21">
        <f>EXP(-LN(2)/2)*AB26+(1-EXP(-LN(2)/2))/(LN(2)/2)*V27*Y27*VLOOKUP('Données projet'!$B$9,Paramètres!$A$1:$I$89,3,0)*0.475*44/12</f>
        <v>5.7036595041537526</v>
      </c>
      <c r="AC27" s="22">
        <f t="shared" si="3"/>
        <v>20.064548946055606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165</v>
      </c>
      <c r="L28" s="12">
        <f>VLOOKUP(A28,'Données projet'!$A$35:$I$55,9,0)</f>
        <v>16.8</v>
      </c>
      <c r="M28" s="12">
        <f t="array" ref="M28">INDEX(L:L,MIN(IF(ISNUMBER(L28:L224),ROW(L28:L224),"")))</f>
        <v>16.8</v>
      </c>
      <c r="N28" s="13">
        <f>IF('Données projet'!$A$36&gt;35,N27+M28-V27,IF(A28&lt;'Données projet'!$A$36,$K$205^A28,IF(A28='Données projet'!$A$36,'Données projet'!$B$36,N27+M28-V27)))</f>
        <v>165.00000000000003</v>
      </c>
      <c r="O28" s="13">
        <f>N28*VLOOKUP('Données projet'!$B$9,Paramètres!$A$1:$I$89,3,0)*VLOOKUP('Données projet'!$B$9,Paramètres!$A$1:$I$89,5,0)</f>
        <v>133.84800000000001</v>
      </c>
      <c r="P28" s="13">
        <f t="shared" si="33"/>
        <v>34.884003992121691</v>
      </c>
      <c r="Q28" s="20">
        <f t="shared" si="2"/>
        <v>293.87490695294525</v>
      </c>
      <c r="R28" s="59">
        <f t="shared" si="0"/>
        <v>581.09712917516754</v>
      </c>
      <c r="S28" s="59">
        <f ca="1">AVERAGE(OFFSET($R$3,0,0,'Données projet'!$E$9+1,1))-AVERAGE(OFFSET($H$3,0,0,'Données projet'!$E$9+1,1))</f>
        <v>412.59676769258488</v>
      </c>
      <c r="T28" s="59">
        <f t="shared" si="34"/>
        <v>399.90063795152133</v>
      </c>
      <c r="U28" s="15">
        <f>IF(ISNA(VLOOKUP(A28,'Données projet'!$A$35:$I$55,3,0)),0,VLOOKUP(A28,'Données projet'!$A$35:$I$55,3,0))</f>
        <v>4</v>
      </c>
      <c r="V28" s="15">
        <f>IF(ISNA(VLOOKUP(A28,'Données projet'!$A$35:$I$55,4,0)),0,VLOOKUP(A28,'Données projet'!$A$35:$I$55,4,0))</f>
        <v>42</v>
      </c>
      <c r="W28" s="16">
        <f>IF(ISNA(VLOOKUP(A28,'Données projet'!$A$35:$I$55,5,0)),0%,VLOOKUP(A28,'Données projet'!$A$35:$I$55,5,0)*VLOOKUP('Données projet'!$B$9,Paramètres!$A$1:$I$89,7,0))</f>
        <v>0.159</v>
      </c>
      <c r="X28" s="16">
        <f>IF(ISNA(VLOOKUP(A28,'Données projet'!$A$35:$I$55,6,0)),0%,VLOOKUP(A28,'Données projet'!$A$35:$I$55,6,0)*VLOOKUP('Données projet'!$B$9,Paramètres!$A$1:$I$89,7,0))</f>
        <v>0.21200000000000002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12.879604184899543</v>
      </c>
      <c r="AA28" s="21">
        <f>EXP(-LN(2)/25)*AA27+(1-EXP(-LN(2)/25))/(LN(2)/25)*Calculateur!V28*Calculateur!X28*VLOOKUP('Données projet'!$B$9,Paramètres!$A$1:$I$89,3,0)*0.475*44/12</f>
        <v>15.084796658826839</v>
      </c>
      <c r="AB28" s="21">
        <f>EXP(-LN(2)/2)*AB27+(1-EXP(-LN(2)/2))/(LN(2)/2)*V28*Y28*VLOOKUP('Données projet'!$B$9,Paramètres!$A$1:$I$89,3,0)*0.475*44/12</f>
        <v>13.676998130377648</v>
      </c>
      <c r="AC28" s="22">
        <f t="shared" si="3"/>
        <v>41.641398974104028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16.399999999999999</v>
      </c>
      <c r="N29" s="13">
        <f>IF('Données projet'!$A$36&gt;35,N28+M29-V28,IF(A29&lt;'Données projet'!$A$36,$K$205^A29,IF(A29='Données projet'!$A$36,'Données projet'!$B$36,N28+M29-V28)))</f>
        <v>139.40000000000003</v>
      </c>
      <c r="O29" s="13">
        <f>N29*VLOOKUP('Données projet'!$B$9,Paramètres!$A$1:$I$89,3,0)*VLOOKUP('Données projet'!$B$9,Paramètres!$A$1:$I$89,5,0)</f>
        <v>113.08128000000002</v>
      </c>
      <c r="P29" s="13">
        <f t="shared" si="33"/>
        <v>30.05578679297923</v>
      </c>
      <c r="Q29" s="20">
        <f t="shared" si="2"/>
        <v>249.29705799777221</v>
      </c>
      <c r="R29" s="59">
        <f t="shared" si="0"/>
        <v>537.74150244221664</v>
      </c>
      <c r="S29" s="59">
        <f ca="1">AVERAGE(OFFSET($R$3,0,0,'Données projet'!$E$9+1,1))-AVERAGE(OFFSET($H$3,0,0,'Données projet'!$E$9+1,1))</f>
        <v>412.59676769258488</v>
      </c>
      <c r="T29" s="59">
        <f t="shared" si="34"/>
        <v>399.90063795152133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12.627043002616523</v>
      </c>
      <c r="AA29" s="21">
        <f>EXP(-LN(2)/25)*AA28+(1-EXP(-LN(2)/25))/(LN(2)/25)*Calculateur!V29*Calculateur!X29*VLOOKUP('Données projet'!$B$9,Paramètres!$A$1:$I$89,3,0)*0.475*44/12</f>
        <v>14.672302100916239</v>
      </c>
      <c r="AB29" s="21">
        <f>EXP(-LN(2)/2)*AB28+(1-EXP(-LN(2)/2))/(LN(2)/2)*V29*Y29*VLOOKUP('Données projet'!$B$9,Paramètres!$A$1:$I$89,3,0)*0.475*44/12</f>
        <v>9.6710981242657681</v>
      </c>
      <c r="AC29" s="22">
        <f t="shared" si="3"/>
        <v>36.970443227798526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16.399999999999999</v>
      </c>
      <c r="N30" s="13">
        <f>IF('Données projet'!$A$36&gt;35,N29+M30-V29,IF(A30&lt;'Données projet'!$A$36,$K$205^A30,IF(A30='Données projet'!$A$36,'Données projet'!$B$36,N29+M30-V29)))</f>
        <v>155.80000000000004</v>
      </c>
      <c r="O30" s="13">
        <f>N30*VLOOKUP('Données projet'!$B$9,Paramètres!$A$1:$I$89,3,0)*VLOOKUP('Données projet'!$B$9,Paramètres!$A$1:$I$89,5,0)</f>
        <v>126.38496000000004</v>
      </c>
      <c r="P30" s="13">
        <f t="shared" si="33"/>
        <v>33.159663610206088</v>
      </c>
      <c r="Q30" s="20">
        <f t="shared" si="2"/>
        <v>277.87355278777568</v>
      </c>
      <c r="R30" s="59">
        <f t="shared" si="0"/>
        <v>567.54021945444242</v>
      </c>
      <c r="S30" s="59">
        <f ca="1">AVERAGE(OFFSET($R$3,0,0,'Données projet'!$E$9+1,1))-AVERAGE(OFFSET($H$3,0,0,'Données projet'!$E$9+1,1))</f>
        <v>412.59676769258488</v>
      </c>
      <c r="T30" s="59">
        <f t="shared" si="34"/>
        <v>399.90063795152133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12.37943439107096</v>
      </c>
      <c r="AA30" s="21">
        <f>EXP(-LN(2)/25)*AA29+(1-EXP(-LN(2)/25))/(LN(2)/25)*Calculateur!V30*Calculateur!X30*VLOOKUP('Données projet'!$B$9,Paramètres!$A$1:$I$89,3,0)*0.475*44/12</f>
        <v>14.271087228383852</v>
      </c>
      <c r="AB30" s="21">
        <f>EXP(-LN(2)/2)*AB29+(1-EXP(-LN(2)/2))/(LN(2)/2)*V30*Y30*VLOOKUP('Données projet'!$B$9,Paramètres!$A$1:$I$89,3,0)*0.475*44/12</f>
        <v>6.8384990651888256</v>
      </c>
      <c r="AC30" s="22">
        <f t="shared" si="3"/>
        <v>33.489020684643641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16.399999999999999</v>
      </c>
      <c r="N31" s="13">
        <f>IF('Données projet'!$A$36&gt;35,N30+M31-V30,IF(A31&lt;'Données projet'!$A$36,$K$205^A31,IF(A31='Données projet'!$A$36,'Données projet'!$B$36,N30+M31-V30)))</f>
        <v>172.20000000000005</v>
      </c>
      <c r="O31" s="13">
        <f>N31*VLOOKUP('Données projet'!$B$9,Paramètres!$A$1:$I$89,3,0)*VLOOKUP('Données projet'!$B$9,Paramètres!$A$1:$I$89,5,0)</f>
        <v>139.68864000000005</v>
      </c>
      <c r="P31" s="13">
        <f t="shared" si="33"/>
        <v>36.22566805112433</v>
      </c>
      <c r="Q31" s="20">
        <f t="shared" si="2"/>
        <v>306.38408652237496</v>
      </c>
      <c r="R31" s="59">
        <f t="shared" si="0"/>
        <v>597.27297541126381</v>
      </c>
      <c r="S31" s="59">
        <f ca="1">AVERAGE(OFFSET($R$3,0,0,'Données projet'!$E$9+1,1))-AVERAGE(OFFSET($H$3,0,0,'Données projet'!$E$9+1,1))</f>
        <v>412.59676769258488</v>
      </c>
      <c r="T31" s="59">
        <f t="shared" si="34"/>
        <v>399.90063795152133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12.136681233371467</v>
      </c>
      <c r="AA31" s="21">
        <f>EXP(-LN(2)/25)*AA30+(1-EXP(-LN(2)/25))/(LN(2)/25)*Calculateur!V31*Calculateur!X31*VLOOKUP('Données projet'!$B$9,Paramètres!$A$1:$I$89,3,0)*0.475*44/12</f>
        <v>13.880843597639835</v>
      </c>
      <c r="AB31" s="21">
        <f>EXP(-LN(2)/2)*AB30+(1-EXP(-LN(2)/2))/(LN(2)/2)*V31*Y31*VLOOKUP('Données projet'!$B$9,Paramètres!$A$1:$I$89,3,0)*0.475*44/12</f>
        <v>4.8355490621328849</v>
      </c>
      <c r="AC31" s="22">
        <f t="shared" si="3"/>
        <v>30.853073893144185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16.399999999999999</v>
      </c>
      <c r="N32" s="13">
        <f>IF('Données projet'!$A$36&gt;35,N31+M32-V31,IF(A32&lt;'Données projet'!$A$36,$K$205^A32,IF(A32='Données projet'!$A$36,'Données projet'!$B$36,N31+M32-V31)))</f>
        <v>188.60000000000005</v>
      </c>
      <c r="O32" s="13">
        <f>N32*VLOOKUP('Données projet'!$B$9,Paramètres!$A$1:$I$89,3,0)*VLOOKUP('Données projet'!$B$9,Paramètres!$A$1:$I$89,5,0)</f>
        <v>152.99232000000006</v>
      </c>
      <c r="P32" s="13">
        <f t="shared" si="33"/>
        <v>39.257817366657008</v>
      </c>
      <c r="Q32" s="20">
        <f t="shared" si="2"/>
        <v>334.83565591359439</v>
      </c>
      <c r="R32" s="59">
        <f t="shared" si="0"/>
        <v>626.94676702470554</v>
      </c>
      <c r="S32" s="59">
        <f ca="1">AVERAGE(OFFSET($R$3,0,0,'Données projet'!$E$9+1,1))-AVERAGE(OFFSET($H$3,0,0,'Données projet'!$E$9+1,1))</f>
        <v>412.59676769258488</v>
      </c>
      <c r="T32" s="59">
        <f t="shared" si="34"/>
        <v>399.90063795152133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11.898688317029654</v>
      </c>
      <c r="AA32" s="21">
        <f>EXP(-LN(2)/25)*AA31+(1-EXP(-LN(2)/25))/(LN(2)/25)*Calculateur!V32*Calculateur!X32*VLOOKUP('Données projet'!$B$9,Paramètres!$A$1:$I$89,3,0)*0.475*44/12</f>
        <v>13.501271199500534</v>
      </c>
      <c r="AB32" s="21">
        <f>EXP(-LN(2)/2)*AB31+(1-EXP(-LN(2)/2))/(LN(2)/2)*V32*Y32*VLOOKUP('Données projet'!$B$9,Paramètres!$A$1:$I$89,3,0)*0.475*44/12</f>
        <v>3.4192495325944132</v>
      </c>
      <c r="AC32" s="22">
        <f t="shared" si="3"/>
        <v>28.819209049124602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205</v>
      </c>
      <c r="L33" s="12">
        <f>VLOOKUP(A33,'Données projet'!$A$35:$I$55,9,0)</f>
        <v>16.399999999999999</v>
      </c>
      <c r="M33" s="12">
        <f t="array" ref="M33">INDEX(L:L,MIN(IF(ISNUMBER(L33:L229),ROW(L33:L229),"")))</f>
        <v>16.399999999999999</v>
      </c>
      <c r="N33" s="13">
        <f>IF('Données projet'!$A$36&gt;35,N32+M33-V32,IF(A33&lt;'Données projet'!$A$36,$K$205^A33,IF(A33='Données projet'!$A$36,'Données projet'!$B$36,N32+M33-V32)))</f>
        <v>205.00000000000006</v>
      </c>
      <c r="O33" s="13">
        <f>N33*VLOOKUP('Données projet'!$B$9,Paramètres!$A$1:$I$89,3,0)*VLOOKUP('Données projet'!$B$9,Paramètres!$A$1:$I$89,5,0)</f>
        <v>166.29600000000005</v>
      </c>
      <c r="P33" s="13">
        <f t="shared" si="33"/>
        <v>42.259390211399776</v>
      </c>
      <c r="Q33" s="20">
        <f t="shared" si="2"/>
        <v>363.2339712848547</v>
      </c>
      <c r="R33" s="59">
        <f t="shared" si="0"/>
        <v>656.56730461818802</v>
      </c>
      <c r="S33" s="59">
        <f ca="1">AVERAGE(OFFSET($R$3,0,0,'Données projet'!$E$9+1,1))-AVERAGE(OFFSET($H$3,0,0,'Données projet'!$E$9+1,1))</f>
        <v>412.59676769258488</v>
      </c>
      <c r="T33" s="59">
        <f t="shared" si="34"/>
        <v>399.90063795152133</v>
      </c>
      <c r="U33" s="15">
        <f>IF(ISNA(VLOOKUP(A33,'Données projet'!$A$35:$I$55,3,0)),0,VLOOKUP(A33,'Données projet'!$A$35:$I$55,3,0))</f>
        <v>5</v>
      </c>
      <c r="V33" s="15">
        <f>IF(ISNA(VLOOKUP(A33,'Données projet'!$A$35:$I$55,4,0)),0,VLOOKUP(A33,'Données projet'!$A$35:$I$55,4,0))</f>
        <v>42</v>
      </c>
      <c r="W33" s="16">
        <f>IF(ISNA(VLOOKUP(A33,'Données projet'!$A$35:$I$55,5,0)),0%,VLOOKUP(A33,'Données projet'!$A$35:$I$55,5,0)*VLOOKUP('Données projet'!$B$9,Paramètres!$A$1:$I$89,7,0))</f>
        <v>0.159</v>
      </c>
      <c r="X33" s="16">
        <f>IF(ISNA(VLOOKUP(A33,'Données projet'!$A$35:$I$55,6,0)),0%,VLOOKUP(A33,'Données projet'!$A$35:$I$55,6,0)*VLOOKUP('Données projet'!$B$9,Paramètres!$A$1:$I$89,7,0))</f>
        <v>0.21200000000000002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17.653909361611426</v>
      </c>
      <c r="AA33" s="21">
        <f>EXP(-LN(2)/25)*AA32+(1-EXP(-LN(2)/25))/(LN(2)/25)*Calculateur!V33*Calculateur!X33*VLOOKUP('Données projet'!$B$9,Paramètres!$A$1:$I$89,3,0)*0.475*44/12</f>
        <v>21.085368726396208</v>
      </c>
      <c r="AB33" s="21">
        <f>EXP(-LN(2)/2)*AB32+(1-EXP(-LN(2)/2))/(LN(2)/2)*V33*Y33*VLOOKUP('Données projet'!$B$9,Paramètres!$A$1:$I$89,3,0)*0.475*44/12</f>
        <v>12.061676348477871</v>
      </c>
      <c r="AC33" s="22">
        <f t="shared" si="3"/>
        <v>50.800954436485512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15.2</v>
      </c>
      <c r="N34" s="13">
        <f>IF('Données projet'!$A$36&gt;35,N33+M34-V33,IF(A34&lt;'Données projet'!$A$36,$K$205^A34,IF(A34='Données projet'!$A$36,'Données projet'!$B$36,N33+M34-V33)))</f>
        <v>178.20000000000005</v>
      </c>
      <c r="O34" s="13">
        <f>N34*VLOOKUP('Données projet'!$B$9,Paramètres!$A$1:$I$89,3,0)*VLOOKUP('Données projet'!$B$9,Paramètres!$A$1:$I$89,5,0)</f>
        <v>144.55584000000005</v>
      </c>
      <c r="P34" s="13">
        <f t="shared" si="33"/>
        <v>37.338731344230482</v>
      </c>
      <c r="Q34" s="20">
        <f t="shared" si="2"/>
        <v>316.79971175786812</v>
      </c>
      <c r="R34" s="59">
        <f t="shared" si="0"/>
        <v>610.13304509120144</v>
      </c>
      <c r="S34" s="59">
        <f ca="1">AVERAGE(OFFSET($R$3,0,0,'Données projet'!$E$9+1,1))-AVERAGE(OFFSET($H$3,0,0,'Données projet'!$E$9+1,1))</f>
        <v>412.59676769258488</v>
      </c>
      <c r="T34" s="59">
        <f t="shared" si="34"/>
        <v>399.90063795152133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17.307726966851703</v>
      </c>
      <c r="AA34" s="21">
        <f>EXP(-LN(2)/25)*AA33+(1-EXP(-LN(2)/25))/(LN(2)/25)*Calculateur!V34*Calculateur!X34*VLOOKUP('Données projet'!$B$9,Paramètres!$A$1:$I$89,3,0)*0.475*44/12</f>
        <v>20.508788209741553</v>
      </c>
      <c r="AB34" s="21">
        <f>EXP(-LN(2)/2)*AB33+(1-EXP(-LN(2)/2))/(LN(2)/2)*V34*Y34*VLOOKUP('Données projet'!$B$9,Paramètres!$A$1:$I$89,3,0)*0.475*44/12</f>
        <v>8.5288931384860973</v>
      </c>
      <c r="AC34" s="22">
        <f t="shared" si="3"/>
        <v>46.345408315079354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15.2</v>
      </c>
      <c r="N35" s="13">
        <f>IF('Données projet'!$A$36&gt;35,N34+M35-V34,IF(A35&lt;'Données projet'!$A$36,$K$205^A35,IF(A35='Données projet'!$A$36,'Données projet'!$B$36,N34+M35-V34)))</f>
        <v>193.40000000000003</v>
      </c>
      <c r="O35" s="13">
        <f>N35*VLOOKUP('Données projet'!$B$9,Paramètres!$A$1:$I$89,3,0)*VLOOKUP('Données projet'!$B$9,Paramètres!$A$1:$I$89,5,0)</f>
        <v>156.88608000000005</v>
      </c>
      <c r="P35" s="13">
        <f t="shared" si="33"/>
        <v>40.13936068943687</v>
      </c>
      <c r="Q35" s="20">
        <f t="shared" ref="Q35:Q66" si="53">(O35+P35)*0.475*44/12</f>
        <v>343.1526425341026</v>
      </c>
      <c r="R35" s="59">
        <f t="shared" si="0"/>
        <v>636.48597586743585</v>
      </c>
      <c r="S35" s="59">
        <f ca="1">AVERAGE(OFFSET($R$3,0,0,'Données projet'!$E$9+1,1))-AVERAGE(OFFSET($H$3,0,0,'Données projet'!$E$9+1,1))</f>
        <v>412.59676769258488</v>
      </c>
      <c r="T35" s="59">
        <f t="shared" si="34"/>
        <v>399.90063795152133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16.968332997702806</v>
      </c>
      <c r="AA35" s="21">
        <f>EXP(-LN(2)/25)*AA34+(1-EXP(-LN(2)/25))/(LN(2)/25)*Calculateur!V35*Calculateur!X35*VLOOKUP('Données projet'!$B$9,Paramètres!$A$1:$I$89,3,0)*0.475*44/12</f>
        <v>19.947974317635872</v>
      </c>
      <c r="AB35" s="21">
        <f>EXP(-LN(2)/2)*AB34+(1-EXP(-LN(2)/2))/(LN(2)/2)*V35*Y35*VLOOKUP('Données projet'!$B$9,Paramètres!$A$1:$I$89,3,0)*0.475*44/12</f>
        <v>6.0308381742389354</v>
      </c>
      <c r="AC35" s="22">
        <f t="shared" si="3"/>
        <v>42.947145489577615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15.2</v>
      </c>
      <c r="N36" s="13">
        <f>IF('Données projet'!$A$36&gt;35,N35+M36-V35,IF(A36&lt;'Données projet'!$A$36,$K$205^A36,IF(A36='Données projet'!$A$36,'Données projet'!$B$36,N35+M36-V35)))</f>
        <v>208.60000000000002</v>
      </c>
      <c r="O36" s="13">
        <f>N36*VLOOKUP('Données projet'!$B$9,Paramètres!$A$1:$I$89,3,0)*VLOOKUP('Données projet'!$B$9,Paramètres!$A$1:$I$89,5,0)</f>
        <v>169.21632000000005</v>
      </c>
      <c r="P36" s="13">
        <f t="shared" si="33"/>
        <v>42.914458163257414</v>
      </c>
      <c r="Q36" s="20">
        <f t="shared" si="53"/>
        <v>369.46110530100674</v>
      </c>
      <c r="R36" s="59">
        <f t="shared" si="0"/>
        <v>662.79443863434005</v>
      </c>
      <c r="S36" s="59">
        <f ca="1">AVERAGE(OFFSET($R$3,0,0,'Données projet'!$E$9+1,1))-AVERAGE(OFFSET($H$3,0,0,'Données projet'!$E$9+1,1))</f>
        <v>412.59676769258488</v>
      </c>
      <c r="T36" s="59">
        <f t="shared" si="34"/>
        <v>399.90063795152133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16.635594337279038</v>
      </c>
      <c r="AA36" s="21">
        <f>EXP(-LN(2)/25)*AA35+(1-EXP(-LN(2)/25))/(LN(2)/25)*Calculateur!V36*Calculateur!X36*VLOOKUP('Données projet'!$B$9,Paramètres!$A$1:$I$89,3,0)*0.475*44/12</f>
        <v>19.402495910901742</v>
      </c>
      <c r="AB36" s="21">
        <f>EXP(-LN(2)/2)*AB35+(1-EXP(-LN(2)/2))/(LN(2)/2)*V36*Y36*VLOOKUP('Données projet'!$B$9,Paramètres!$A$1:$I$89,3,0)*0.475*44/12</f>
        <v>4.2644465692430487</v>
      </c>
      <c r="AC36" s="22">
        <f t="shared" si="3"/>
        <v>40.302536817423828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15.2</v>
      </c>
      <c r="N37" s="13">
        <f>IF('Données projet'!$A$36&gt;35,N36+M37-V36,IF(A37&lt;'Données projet'!$A$36,$K$205^A37,IF(A37='Données projet'!$A$36,'Données projet'!$B$36,N36+M37-V36)))</f>
        <v>223.8</v>
      </c>
      <c r="O37" s="13">
        <f>N37*VLOOKUP('Données projet'!$B$9,Paramètres!$A$1:$I$89,3,0)*VLOOKUP('Données projet'!$B$9,Paramètres!$A$1:$I$89,5,0)</f>
        <v>181.54656</v>
      </c>
      <c r="P37" s="13">
        <f t="shared" si="33"/>
        <v>45.666095761265019</v>
      </c>
      <c r="Q37" s="20">
        <f t="shared" si="53"/>
        <v>395.72870878420321</v>
      </c>
      <c r="R37" s="59">
        <f t="shared" si="0"/>
        <v>689.06204211753652</v>
      </c>
      <c r="S37" s="59">
        <f ca="1">AVERAGE(OFFSET($R$3,0,0,'Données projet'!$E$9+1,1))-AVERAGE(OFFSET($H$3,0,0,'Données projet'!$E$9+1,1))</f>
        <v>412.59676769258488</v>
      </c>
      <c r="T37" s="59">
        <f t="shared" si="34"/>
        <v>399.90063795152133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16.309380479035639</v>
      </c>
      <c r="AA37" s="21">
        <f>EXP(-LN(2)/25)*AA36+(1-EXP(-LN(2)/25))/(LN(2)/25)*Calculateur!V37*Calculateur!X37*VLOOKUP('Données projet'!$B$9,Paramètres!$A$1:$I$89,3,0)*0.475*44/12</f>
        <v>18.871933639885217</v>
      </c>
      <c r="AB37" s="21">
        <f>EXP(-LN(2)/2)*AB36+(1-EXP(-LN(2)/2))/(LN(2)/2)*V37*Y37*VLOOKUP('Données projet'!$B$9,Paramètres!$A$1:$I$89,3,0)*0.475*44/12</f>
        <v>3.0154190871194677</v>
      </c>
      <c r="AC37" s="22">
        <f t="shared" si="3"/>
        <v>38.196733206040321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239</v>
      </c>
      <c r="L38" s="12">
        <f>VLOOKUP(A38,'Données projet'!$A$35:$I$55,9,0)</f>
        <v>15.2</v>
      </c>
      <c r="M38" s="12">
        <f t="array" ref="M38">INDEX(L:L,MIN(IF(ISNUMBER(L38:L234),ROW(L38:L234),"")))</f>
        <v>15.2</v>
      </c>
      <c r="N38" s="13">
        <f>IF('Données projet'!$A$36&gt;35,N37+M38-V37,IF(A38&lt;'Données projet'!$A$36,$K$205^A38,IF(A38='Données projet'!$A$36,'Données projet'!$B$36,N37+M38-V37)))</f>
        <v>239</v>
      </c>
      <c r="O38" s="13">
        <f>N38*VLOOKUP('Données projet'!$B$9,Paramètres!$A$1:$I$89,3,0)*VLOOKUP('Données projet'!$B$9,Paramètres!$A$1:$I$89,5,0)</f>
        <v>193.8768</v>
      </c>
      <c r="P38" s="13">
        <f t="shared" si="33"/>
        <v>48.396048099527611</v>
      </c>
      <c r="Q38" s="20">
        <f t="shared" si="53"/>
        <v>421.95854377334393</v>
      </c>
      <c r="R38" s="59">
        <f t="shared" si="0"/>
        <v>715.29187710667725</v>
      </c>
      <c r="S38" s="59">
        <f ca="1">AVERAGE(OFFSET($R$3,0,0,'Données projet'!$E$9+1,1))-AVERAGE(OFFSET($H$3,0,0,'Données projet'!$E$9+1,1))</f>
        <v>412.59676769258488</v>
      </c>
      <c r="T38" s="59">
        <f t="shared" si="34"/>
        <v>399.90063795152133</v>
      </c>
      <c r="U38" s="15">
        <f>IF(ISNA(VLOOKUP(A38,'Données projet'!$A$35:$I$55,3,0)),0,VLOOKUP(A38,'Données projet'!$A$35:$I$55,3,0))</f>
        <v>6</v>
      </c>
      <c r="V38" s="15">
        <f>IF(ISNA(VLOOKUP(A38,'Données projet'!$A$35:$I$55,4,0)),0,VLOOKUP(A38,'Données projet'!$A$35:$I$55,4,0))</f>
        <v>42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15.989563475581585</v>
      </c>
      <c r="AA38" s="21">
        <f>EXP(-LN(2)/25)*AA37+(1-EXP(-LN(2)/25))/(LN(2)/25)*Calculateur!V38*Calculateur!X38*VLOOKUP('Données projet'!$B$9,Paramètres!$A$1:$I$89,3,0)*0.475*44/12</f>
        <v>18.355879622070699</v>
      </c>
      <c r="AB38" s="21">
        <f>EXP(-LN(2)/2)*AB37+(1-EXP(-LN(2)/2))/(LN(2)/2)*V38*Y38*VLOOKUP('Données projet'!$B$9,Paramètres!$A$1:$I$89,3,0)*0.475*44/12</f>
        <v>2.1322232846215243</v>
      </c>
      <c r="AC38" s="22">
        <f t="shared" si="3"/>
        <v>36.47766638227381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13.2</v>
      </c>
      <c r="N39" s="13">
        <f>IF('Données projet'!$A$36&gt;35,N38+M39-V38,IF(A39&lt;'Données projet'!$A$36,$K$205^A39,IF(A39='Données projet'!$A$36,'Données projet'!$B$36,N38+M39-V38)))</f>
        <v>210.2</v>
      </c>
      <c r="O39" s="13">
        <f>N39*VLOOKUP('Données projet'!$B$9,Paramètres!$A$1:$I$89,3,0)*VLOOKUP('Données projet'!$B$9,Paramètres!$A$1:$I$89,5,0)</f>
        <v>170.51424</v>
      </c>
      <c r="P39" s="13">
        <f t="shared" si="33"/>
        <v>43.205175985246733</v>
      </c>
      <c r="Q39" s="20">
        <f t="shared" si="53"/>
        <v>372.22798284097138</v>
      </c>
      <c r="R39" s="59">
        <f t="shared" si="0"/>
        <v>665.56131617430469</v>
      </c>
      <c r="S39" s="59">
        <f ca="1">AVERAGE(OFFSET($R$3,0,0,'Données projet'!$E$9+1,1))-AVERAGE(OFFSET($H$3,0,0,'Données projet'!$E$9+1,1))</f>
        <v>412.59676769258488</v>
      </c>
      <c r="T39" s="59">
        <f t="shared" si="34"/>
        <v>399.90063795152133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15.676017888496155</v>
      </c>
      <c r="AA39" s="21">
        <f>EXP(-LN(2)/25)*AA38+(1-EXP(-LN(2)/25))/(LN(2)/25)*Calculateur!V39*Calculateur!X39*VLOOKUP('Données projet'!$B$9,Paramètres!$A$1:$I$89,3,0)*0.475*44/12</f>
        <v>17.853937128511419</v>
      </c>
      <c r="AB39" s="21">
        <f>EXP(-LN(2)/2)*AB38+(1-EXP(-LN(2)/2))/(LN(2)/2)*V39*Y39*VLOOKUP('Données projet'!$B$9,Paramètres!$A$1:$I$89,3,0)*0.475*44/12</f>
        <v>1.5077095435597339</v>
      </c>
      <c r="AC39" s="22">
        <f t="shared" si="3"/>
        <v>35.037664560567308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13.2</v>
      </c>
      <c r="N40" s="13">
        <f>IF('Données projet'!$A$36&gt;35,N39+M40-V39,IF(A40&lt;'Données projet'!$A$36,$K$205^A40,IF(A40='Données projet'!$A$36,'Données projet'!$B$36,N39+M40-V39)))</f>
        <v>223.39999999999998</v>
      </c>
      <c r="O40" s="13">
        <f>N40*VLOOKUP('Données projet'!$B$9,Paramètres!$A$1:$I$89,3,0)*VLOOKUP('Données projet'!$B$9,Paramètres!$A$1:$I$89,5,0)</f>
        <v>181.22208000000001</v>
      </c>
      <c r="P40" s="13">
        <f t="shared" si="33"/>
        <v>45.593969287032806</v>
      </c>
      <c r="Q40" s="20">
        <f t="shared" si="53"/>
        <v>395.03795250824879</v>
      </c>
      <c r="R40" s="59">
        <f t="shared" si="0"/>
        <v>688.37128584158211</v>
      </c>
      <c r="S40" s="59">
        <f ca="1">AVERAGE(OFFSET($R$3,0,0,'Données projet'!$E$9+1,1))-AVERAGE(OFFSET($H$3,0,0,'Données projet'!$E$9+1,1))</f>
        <v>412.59676769258488</v>
      </c>
      <c r="T40" s="59">
        <f t="shared" si="34"/>
        <v>399.90063795152133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15.368620739129545</v>
      </c>
      <c r="AA40" s="21">
        <f>EXP(-LN(2)/25)*AA39+(1-EXP(-LN(2)/25))/(LN(2)/25)*Calculateur!V40*Calculateur!X40*VLOOKUP('Données projet'!$B$9,Paramètres!$A$1:$I$89,3,0)*0.475*44/12</f>
        <v>17.365720278834527</v>
      </c>
      <c r="AB40" s="21">
        <f>EXP(-LN(2)/2)*AB39+(1-EXP(-LN(2)/2))/(LN(2)/2)*V40*Y40*VLOOKUP('Données projet'!$B$9,Paramètres!$A$1:$I$89,3,0)*0.475*44/12</f>
        <v>1.0661116423107622</v>
      </c>
      <c r="AC40" s="22">
        <f t="shared" si="3"/>
        <v>33.800452660274829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13.2</v>
      </c>
      <c r="N41" s="13">
        <f>IF('Données projet'!$A$36&gt;35,N40+M41-V40,IF(A41&lt;'Données projet'!$A$36,$K$205^A41,IF(A41='Données projet'!$A$36,'Données projet'!$B$36,N40+M41-V40)))</f>
        <v>236.59999999999997</v>
      </c>
      <c r="O41" s="13">
        <f>N41*VLOOKUP('Données projet'!$B$9,Paramètres!$A$1:$I$89,3,0)*VLOOKUP('Données projet'!$B$9,Paramètres!$A$1:$I$89,5,0)</f>
        <v>191.92991999999998</v>
      </c>
      <c r="P41" s="13">
        <f t="shared" si="33"/>
        <v>47.966379473124988</v>
      </c>
      <c r="Q41" s="20">
        <f t="shared" si="53"/>
        <v>417.81938824902596</v>
      </c>
      <c r="R41" s="59">
        <f t="shared" si="0"/>
        <v>711.15272158235928</v>
      </c>
      <c r="S41" s="59">
        <f ca="1">AVERAGE(OFFSET($R$3,0,0,'Données projet'!$E$9+1,1))-AVERAGE(OFFSET($H$3,0,0,'Données projet'!$E$9+1,1))</f>
        <v>412.59676769258488</v>
      </c>
      <c r="T41" s="59">
        <f t="shared" si="34"/>
        <v>399.90063795152133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15.067251460368267</v>
      </c>
      <c r="AA41" s="21">
        <f>EXP(-LN(2)/25)*AA40+(1-EXP(-LN(2)/25))/(LN(2)/25)*Calculateur!V41*Calculateur!X41*VLOOKUP('Données projet'!$B$9,Paramètres!$A$1:$I$89,3,0)*0.475*44/12</f>
        <v>16.890853744586256</v>
      </c>
      <c r="AB41" s="21">
        <f>EXP(-LN(2)/2)*AB40+(1-EXP(-LN(2)/2))/(LN(2)/2)*V41*Y41*VLOOKUP('Données projet'!$B$9,Paramètres!$A$1:$I$89,3,0)*0.475*44/12</f>
        <v>0.75385477177986693</v>
      </c>
      <c r="AC41" s="22">
        <f t="shared" si="3"/>
        <v>32.711959976734384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13.2</v>
      </c>
      <c r="N42" s="13">
        <f>IF('Données projet'!$A$36&gt;35,N41+M42-V41,IF(A42&lt;'Données projet'!$A$36,$K$205^A42,IF(A42='Données projet'!$A$36,'Données projet'!$B$36,N41+M42-V41)))</f>
        <v>249.79999999999995</v>
      </c>
      <c r="O42" s="13">
        <f>N42*VLOOKUP('Données projet'!$B$9,Paramètres!$A$1:$I$89,3,0)*VLOOKUP('Données projet'!$B$9,Paramètres!$A$1:$I$89,5,0)</f>
        <v>202.63775999999999</v>
      </c>
      <c r="P42" s="13">
        <f t="shared" si="33"/>
        <v>50.323424734415482</v>
      </c>
      <c r="Q42" s="20">
        <f t="shared" si="53"/>
        <v>440.57406341244024</v>
      </c>
      <c r="R42" s="59">
        <f t="shared" si="0"/>
        <v>733.90739674577355</v>
      </c>
      <c r="S42" s="59">
        <f ca="1">AVERAGE(OFFSET($R$3,0,0,'Données projet'!$E$9+1,1))-AVERAGE(OFFSET($H$3,0,0,'Données projet'!$E$9+1,1))</f>
        <v>412.59676769258488</v>
      </c>
      <c r="T42" s="59">
        <f t="shared" si="34"/>
        <v>399.90063795152133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14.771791849346387</v>
      </c>
      <c r="AA42" s="21">
        <f>EXP(-LN(2)/25)*AA41+(1-EXP(-LN(2)/25))/(LN(2)/25)*Calculateur!V42*Calculateur!X42*VLOOKUP('Données projet'!$B$9,Paramètres!$A$1:$I$89,3,0)*0.475*44/12</f>
        <v>16.428972460689149</v>
      </c>
      <c r="AB42" s="21">
        <f>EXP(-LN(2)/2)*AB41+(1-EXP(-LN(2)/2))/(LN(2)/2)*V42*Y42*VLOOKUP('Données projet'!$B$9,Paramètres!$A$1:$I$89,3,0)*0.475*44/12</f>
        <v>0.53305582115538108</v>
      </c>
      <c r="AC42" s="22">
        <f t="shared" si="3"/>
        <v>31.733820131190917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263</v>
      </c>
      <c r="L43" s="12">
        <f>VLOOKUP(A43,'Données projet'!$A$35:$I$55,9,0)</f>
        <v>13.2</v>
      </c>
      <c r="M43" s="12">
        <f t="array" ref="M43">INDEX(L:L,MIN(IF(ISNUMBER(L43:L239),ROW(L43:L239),"")))</f>
        <v>13.2</v>
      </c>
      <c r="N43" s="13">
        <f>IF('Données projet'!$A$36&gt;35,N42+M43-V42,IF(A43&lt;'Données projet'!$A$36,$K$205^A43,IF(A43='Données projet'!$A$36,'Données projet'!$B$36,N42+M43-V42)))</f>
        <v>262.99999999999994</v>
      </c>
      <c r="O43" s="13">
        <f>N43*VLOOKUP('Données projet'!$B$9,Paramètres!$A$1:$I$89,3,0)*VLOOKUP('Données projet'!$B$9,Paramètres!$A$1:$I$89,5,0)</f>
        <v>213.34559999999996</v>
      </c>
      <c r="P43" s="13">
        <f t="shared" si="33"/>
        <v>52.666009577179437</v>
      </c>
      <c r="Q43" s="20">
        <f t="shared" si="53"/>
        <v>463.30355334692075</v>
      </c>
      <c r="R43" s="59">
        <f t="shared" si="0"/>
        <v>756.63688668025407</v>
      </c>
      <c r="S43" s="59">
        <f ca="1">AVERAGE(OFFSET($R$3,0,0,'Données projet'!$E$9+1,1))-AVERAGE(OFFSET($H$3,0,0,'Données projet'!$E$9+1,1))</f>
        <v>412.59676769258488</v>
      </c>
      <c r="T43" s="59">
        <f t="shared" si="34"/>
        <v>399.90063795152133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14.482126021084079</v>
      </c>
      <c r="AA43" s="21">
        <f>EXP(-LN(2)/25)*AA42+(1-EXP(-LN(2)/25))/(LN(2)/25)*Calculateur!V43*Calculateur!X43*VLOOKUP('Données projet'!$B$9,Paramètres!$A$1:$I$89,3,0)*0.475*44/12</f>
        <v>15.979721344789491</v>
      </c>
      <c r="AB43" s="21">
        <f>EXP(-LN(2)/2)*AB42+(1-EXP(-LN(2)/2))/(LN(2)/2)*V43*Y43*VLOOKUP('Données projet'!$B$9,Paramètres!$A$1:$I$89,3,0)*0.475*44/12</f>
        <v>0.37692738588993346</v>
      </c>
      <c r="AC43" s="22">
        <f t="shared" si="3"/>
        <v>30.838774751763502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</v>
      </c>
      <c r="N44" s="13">
        <f>IF('Données projet'!$A$36&gt;35,N43+M44-V43,IF(A44&lt;'Données projet'!$A$36,$K$205^A44,IF(A44='Données projet'!$A$36,'Données projet'!$B$36,N43+M44-V43)))</f>
        <v>234.39999999999992</v>
      </c>
      <c r="O44" s="13">
        <f>N44*VLOOKUP('Données projet'!$B$9,Paramètres!$A$1:$I$89,3,0)*VLOOKUP('Données projet'!$B$9,Paramètres!$A$1:$I$89,5,0)</f>
        <v>190.14527999999996</v>
      </c>
      <c r="P44" s="13">
        <f t="shared" si="33"/>
        <v>47.572070767557179</v>
      </c>
      <c r="Q44" s="20">
        <f t="shared" si="53"/>
        <v>414.02438592016205</v>
      </c>
      <c r="R44" s="59">
        <f t="shared" si="0"/>
        <v>707.35771925349536</v>
      </c>
      <c r="S44" s="59">
        <f ca="1">AVERAGE(OFFSET($R$3,0,0,'Données projet'!$E$9+1,1))-AVERAGE(OFFSET($H$3,0,0,'Données projet'!$E$9+1,1))</f>
        <v>412.59676769258488</v>
      </c>
      <c r="T44" s="59">
        <f t="shared" si="34"/>
        <v>399.90063795152133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14.198140363035286</v>
      </c>
      <c r="AA44" s="21">
        <f>EXP(-LN(2)/25)*AA43+(1-EXP(-LN(2)/25))/(LN(2)/25)*Calculateur!V44*Calculateur!X44*VLOOKUP('Données projet'!$B$9,Paramètres!$A$1:$I$89,3,0)*0.475*44/12</f>
        <v>15.542755024279199</v>
      </c>
      <c r="AB44" s="21">
        <f>EXP(-LN(2)/2)*AB43+(1-EXP(-LN(2)/2))/(LN(2)/2)*V44*Y44*VLOOKUP('Données projet'!$B$9,Paramètres!$A$1:$I$89,3,0)*0.475*44/12</f>
        <v>0.26652791057769054</v>
      </c>
      <c r="AC44" s="22">
        <f t="shared" si="3"/>
        <v>30.007423297892174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</v>
      </c>
      <c r="N45" s="13">
        <f>IF('Données projet'!$A$36&gt;35,N44+M45-V44,IF(A45&lt;'Données projet'!$A$36,$K$205^A45,IF(A45='Données projet'!$A$36,'Données projet'!$B$36,N44+M45-V44)))</f>
        <v>245.79999999999993</v>
      </c>
      <c r="O45" s="13">
        <f>N45*VLOOKUP('Données projet'!$B$9,Paramètres!$A$1:$I$89,3,0)*VLOOKUP('Données projet'!$B$9,Paramètres!$A$1:$I$89,5,0)</f>
        <v>199.39295999999993</v>
      </c>
      <c r="P45" s="13">
        <f t="shared" si="33"/>
        <v>49.610735113473389</v>
      </c>
      <c r="Q45" s="20">
        <f t="shared" si="53"/>
        <v>433.68143565596597</v>
      </c>
      <c r="R45" s="59">
        <f t="shared" si="0"/>
        <v>727.01476898929923</v>
      </c>
      <c r="S45" s="59">
        <f ca="1">AVERAGE(OFFSET($R$3,0,0,'Données projet'!$E$9+1,1))-AVERAGE(OFFSET($H$3,0,0,'Données projet'!$E$9+1,1))</f>
        <v>412.59676769258488</v>
      </c>
      <c r="T45" s="59">
        <f t="shared" si="34"/>
        <v>399.90063795152133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13.91972349052668</v>
      </c>
      <c r="AA45" s="21">
        <f>EXP(-LN(2)/25)*AA44+(1-EXP(-LN(2)/25))/(LN(2)/25)*Calculateur!V45*Calculateur!X45*VLOOKUP('Données projet'!$B$9,Paramètres!$A$1:$I$89,3,0)*0.475*44/12</f>
        <v>15.117737570782321</v>
      </c>
      <c r="AB45" s="21">
        <f>EXP(-LN(2)/2)*AB44+(1-EXP(-LN(2)/2))/(LN(2)/2)*V45*Y45*VLOOKUP('Données projet'!$B$9,Paramètres!$A$1:$I$89,3,0)*0.475*44/12</f>
        <v>0.18846369294496673</v>
      </c>
      <c r="AC45" s="22">
        <f t="shared" si="3"/>
        <v>29.22592475425397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</v>
      </c>
      <c r="N46" s="13">
        <f>IF('Données projet'!$A$36&gt;35,N45+M46-V45,IF(A46&lt;'Données projet'!$A$36,$K$205^A46,IF(A46='Données projet'!$A$36,'Données projet'!$B$36,N45+M46-V45)))</f>
        <v>257.19999999999993</v>
      </c>
      <c r="O46" s="13">
        <f>N46*VLOOKUP('Données projet'!$B$9,Paramètres!$A$1:$I$89,3,0)*VLOOKUP('Données projet'!$B$9,Paramètres!$A$1:$I$89,5,0)</f>
        <v>208.64063999999996</v>
      </c>
      <c r="P46" s="13">
        <f t="shared" si="33"/>
        <v>51.638419155451118</v>
      </c>
      <c r="Q46" s="20">
        <f t="shared" si="53"/>
        <v>453.31936136241058</v>
      </c>
      <c r="R46" s="59">
        <f t="shared" si="0"/>
        <v>746.65269469574389</v>
      </c>
      <c r="S46" s="59">
        <f ca="1">AVERAGE(OFFSET($R$3,0,0,'Données projet'!$E$9+1,1))-AVERAGE(OFFSET($H$3,0,0,'Données projet'!$E$9+1,1))</f>
        <v>412.59676769258488</v>
      </c>
      <c r="T46" s="59">
        <f t="shared" si="34"/>
        <v>399.90063795152133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13.646766203070444</v>
      </c>
      <c r="AA46" s="21">
        <f>EXP(-LN(2)/25)*AA45+(1-EXP(-LN(2)/25))/(LN(2)/25)*Calculateur!V46*Calculateur!X46*VLOOKUP('Données projet'!$B$9,Paramètres!$A$1:$I$89,3,0)*0.475*44/12</f>
        <v>14.704342241902012</v>
      </c>
      <c r="AB46" s="21">
        <f>EXP(-LN(2)/2)*AB45+(1-EXP(-LN(2)/2))/(LN(2)/2)*V46*Y46*VLOOKUP('Données projet'!$B$9,Paramètres!$A$1:$I$89,3,0)*0.475*44/12</f>
        <v>0.13326395528884527</v>
      </c>
      <c r="AC46" s="22">
        <f t="shared" si="3"/>
        <v>28.4843724002613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</v>
      </c>
      <c r="N47" s="13">
        <f>IF('Données projet'!$A$36&gt;35,N46+M47-V46,IF(A47&lt;'Données projet'!$A$36,$K$205^A47,IF(A47='Données projet'!$A$36,'Données projet'!$B$36,N46+M47-V46)))</f>
        <v>268.59999999999991</v>
      </c>
      <c r="O47" s="13">
        <f>N47*VLOOKUP('Données projet'!$B$9,Paramètres!$A$1:$I$89,3,0)*VLOOKUP('Données projet'!$B$9,Paramètres!$A$1:$I$89,5,0)</f>
        <v>217.88831999999996</v>
      </c>
      <c r="P47" s="13">
        <f t="shared" si="33"/>
        <v>53.655665192423463</v>
      </c>
      <c r="Q47" s="20">
        <f t="shared" si="53"/>
        <v>472.93910754347075</v>
      </c>
      <c r="R47" s="59">
        <f t="shared" si="0"/>
        <v>766.27244087680401</v>
      </c>
      <c r="S47" s="59">
        <f ca="1">AVERAGE(OFFSET($R$3,0,0,'Données projet'!$E$9+1,1))-AVERAGE(OFFSET($H$3,0,0,'Données projet'!$E$9+1,1))</f>
        <v>412.59676769258488</v>
      </c>
      <c r="T47" s="59">
        <f t="shared" si="34"/>
        <v>399.90063795152133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13.379161441533718</v>
      </c>
      <c r="AA47" s="21">
        <f>EXP(-LN(2)/25)*AA46+(1-EXP(-LN(2)/25))/(LN(2)/25)*Calculateur!V47*Calculateur!X47*VLOOKUP('Données projet'!$B$9,Paramètres!$A$1:$I$89,3,0)*0.475*44/12</f>
        <v>14.30225123002945</v>
      </c>
      <c r="AB47" s="21">
        <f>EXP(-LN(2)/2)*AB46+(1-EXP(-LN(2)/2))/(LN(2)/2)*V47*Y47*VLOOKUP('Données projet'!$B$9,Paramètres!$A$1:$I$89,3,0)*0.475*44/12</f>
        <v>9.4231846472483366E-2</v>
      </c>
      <c r="AC47" s="22">
        <f t="shared" si="3"/>
        <v>27.775644518035648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280</v>
      </c>
      <c r="L48" s="12">
        <f>VLOOKUP(A48,'Données projet'!$A$35:$I$55,9,0)</f>
        <v>11.4</v>
      </c>
      <c r="M48" s="12">
        <f t="array" ref="M48">INDEX(L:L,MIN(IF(ISNUMBER(L48:L244),ROW(L48:L244),"")))</f>
        <v>11.4</v>
      </c>
      <c r="N48" s="13">
        <f>IF('Données projet'!$A$36&gt;35,N47+M48-V47,IF(A48&lt;'Données projet'!$A$36,$K$205^A48,IF(A48='Données projet'!$A$36,'Données projet'!$B$36,N47+M48-V47)))</f>
        <v>279.99999999999989</v>
      </c>
      <c r="O48" s="13">
        <f>N48*VLOOKUP('Données projet'!$B$9,Paramètres!$A$1:$I$89,3,0)*VLOOKUP('Données projet'!$B$9,Paramètres!$A$1:$I$89,5,0)</f>
        <v>227.13599999999991</v>
      </c>
      <c r="P48" s="13">
        <f t="shared" si="33"/>
        <v>55.662966886685133</v>
      </c>
      <c r="Q48" s="20">
        <f t="shared" si="53"/>
        <v>492.54153399430976</v>
      </c>
      <c r="R48" s="59">
        <f t="shared" si="0"/>
        <v>785.87486732764307</v>
      </c>
      <c r="S48" s="59">
        <f ca="1">AVERAGE(OFFSET($R$3,0,0,'Données projet'!$E$9+1,1))-AVERAGE(OFFSET($H$3,0,0,'Données projet'!$E$9+1,1))</f>
        <v>412.59676769258488</v>
      </c>
      <c r="T48" s="59">
        <f t="shared" si="34"/>
        <v>399.90063795152133</v>
      </c>
      <c r="U48" s="15">
        <f>IF(ISNA(VLOOKUP(A48,'Données projet'!$A$35:$I$55,3,0)),0,VLOOKUP(A48,'Données projet'!$A$35:$I$55,3,0))</f>
        <v>8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13.116804246147939</v>
      </c>
      <c r="AA48" s="21">
        <f>EXP(-LN(2)/25)*AA47+(1-EXP(-LN(2)/25))/(LN(2)/25)*Calculateur!V48*Calculateur!X48*VLOOKUP('Données projet'!$B$9,Paramètres!$A$1:$I$89,3,0)*0.475*44/12</f>
        <v>13.91115541802159</v>
      </c>
      <c r="AB48" s="21">
        <f>EXP(-LN(2)/2)*AB47+(1-EXP(-LN(2)/2))/(LN(2)/2)*V48*Y48*VLOOKUP('Données projet'!$B$9,Paramètres!$A$1:$I$89,3,0)*0.475*44/12</f>
        <v>6.6631977644422635E-2</v>
      </c>
      <c r="AC48" s="22">
        <f t="shared" si="3"/>
        <v>27.094591641813953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9.8000000000000007</v>
      </c>
      <c r="N49" s="13">
        <f>IF('Données projet'!$A$36&gt;35,N48+M49-V48,IF(A49&lt;'Données projet'!$A$36,$K$205^A49,IF(A49='Données projet'!$A$36,'Données projet'!$B$36,N48+M49-V48)))</f>
        <v>263.7999999999999</v>
      </c>
      <c r="O49" s="13">
        <f>N49*VLOOKUP('Données projet'!$B$9,Paramètres!$A$1:$I$89,3,0)*VLOOKUP('Données projet'!$B$9,Paramètres!$A$1:$I$89,5,0)</f>
        <v>213.99455999999995</v>
      </c>
      <c r="P49" s="13">
        <f t="shared" si="33"/>
        <v>52.807537963382018</v>
      </c>
      <c r="Q49" s="20">
        <f t="shared" si="53"/>
        <v>464.68032061955699</v>
      </c>
      <c r="R49" s="59">
        <f t="shared" si="0"/>
        <v>758.01365395289031</v>
      </c>
      <c r="S49" s="59">
        <f ca="1">AVERAGE(OFFSET($R$3,0,0,'Données projet'!$E$9+1,1))-AVERAGE(OFFSET($H$3,0,0,'Données projet'!$E$9+1,1))</f>
        <v>412.59676769258488</v>
      </c>
      <c r="T49" s="59">
        <f t="shared" si="34"/>
        <v>399.90063795152133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12.859591715341589</v>
      </c>
      <c r="AA49" s="21">
        <f>EXP(-LN(2)/25)*AA48+(1-EXP(-LN(2)/25))/(LN(2)/25)*Calculateur!V49*Calculateur!X49*VLOOKUP('Données projet'!$B$9,Paramètres!$A$1:$I$89,3,0)*0.475*44/12</f>
        <v>13.530754141559921</v>
      </c>
      <c r="AB49" s="21">
        <f>EXP(-LN(2)/2)*AB48+(1-EXP(-LN(2)/2))/(LN(2)/2)*V49*Y49*VLOOKUP('Données projet'!$B$9,Paramètres!$A$1:$I$89,3,0)*0.475*44/12</f>
        <v>4.7115923236241683E-2</v>
      </c>
      <c r="AC49" s="22">
        <f t="shared" si="3"/>
        <v>26.437461780137752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9.8000000000000007</v>
      </c>
      <c r="N50" s="13">
        <f>IF('Données projet'!$A$36&gt;35,N49+M50-V49,IF(A50&lt;'Données projet'!$A$36,$K$205^A50,IF(A50='Données projet'!$A$36,'Données projet'!$B$36,N49+M50-V49)))</f>
        <v>273.59999999999991</v>
      </c>
      <c r="O50" s="13">
        <f>N50*VLOOKUP('Données projet'!$B$9,Paramètres!$A$1:$I$89,3,0)*VLOOKUP('Données projet'!$B$9,Paramètres!$A$1:$I$89,5,0)</f>
        <v>221.94431999999995</v>
      </c>
      <c r="P50" s="13">
        <f t="shared" si="33"/>
        <v>54.537257414665724</v>
      </c>
      <c r="Q50" s="20">
        <f t="shared" si="53"/>
        <v>481.53874733054272</v>
      </c>
      <c r="R50" s="59">
        <f t="shared" si="0"/>
        <v>774.87208066387598</v>
      </c>
      <c r="S50" s="59">
        <f ca="1">AVERAGE(OFFSET($R$3,0,0,'Données projet'!$E$9+1,1))-AVERAGE(OFFSET($H$3,0,0,'Données projet'!$E$9+1,1))</f>
        <v>412.59676769258488</v>
      </c>
      <c r="T50" s="59">
        <f t="shared" si="34"/>
        <v>399.90063795152133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12.607422965380197</v>
      </c>
      <c r="AA50" s="21">
        <f>EXP(-LN(2)/25)*AA49+(1-EXP(-LN(2)/25))/(LN(2)/25)*Calculateur!V50*Calculateur!X50*VLOOKUP('Données projet'!$B$9,Paramètres!$A$1:$I$89,3,0)*0.475*44/12</f>
        <v>13.16075495800753</v>
      </c>
      <c r="AB50" s="21">
        <f>EXP(-LN(2)/2)*AB49+(1-EXP(-LN(2)/2))/(LN(2)/2)*V50*Y50*VLOOKUP('Données projet'!$B$9,Paramètres!$A$1:$I$89,3,0)*0.475*44/12</f>
        <v>3.3315988822211318E-2</v>
      </c>
      <c r="AC50" s="22">
        <f t="shared" si="3"/>
        <v>25.801493912209935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9.8000000000000007</v>
      </c>
      <c r="N51" s="13">
        <f>IF('Données projet'!$A$36&gt;35,N50+M51-V50,IF(A51&lt;'Données projet'!$A$36,$K$205^A51,IF(A51='Données projet'!$A$36,'Données projet'!$B$36,N50+M51-V50)))</f>
        <v>283.39999999999992</v>
      </c>
      <c r="O51" s="13">
        <f>N51*VLOOKUP('Données projet'!$B$9,Paramètres!$A$1:$I$89,3,0)*VLOOKUP('Données projet'!$B$9,Paramètres!$A$1:$I$89,5,0)</f>
        <v>229.89407999999995</v>
      </c>
      <c r="P51" s="13">
        <f t="shared" si="33"/>
        <v>56.259778536787771</v>
      </c>
      <c r="Q51" s="20">
        <f t="shared" si="53"/>
        <v>498.38463695157185</v>
      </c>
      <c r="R51" s="59">
        <f t="shared" si="0"/>
        <v>791.71797028490516</v>
      </c>
      <c r="S51" s="59">
        <f ca="1">AVERAGE(OFFSET($R$3,0,0,'Données projet'!$E$9+1,1))-AVERAGE(OFFSET($H$3,0,0,'Données projet'!$E$9+1,1))</f>
        <v>412.59676769258488</v>
      </c>
      <c r="T51" s="59">
        <f t="shared" si="34"/>
        <v>399.90063795152133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12.360199090797799</v>
      </c>
      <c r="AA51" s="21">
        <f>EXP(-LN(2)/25)*AA50+(1-EXP(-LN(2)/25))/(LN(2)/25)*Calculateur!V51*Calculateur!X51*VLOOKUP('Données projet'!$B$9,Paramètres!$A$1:$I$89,3,0)*0.475*44/12</f>
        <v>12.80087342158679</v>
      </c>
      <c r="AB51" s="21">
        <f>EXP(-LN(2)/2)*AB50+(1-EXP(-LN(2)/2))/(LN(2)/2)*V51*Y51*VLOOKUP('Données projet'!$B$9,Paramètres!$A$1:$I$89,3,0)*0.475*44/12</f>
        <v>2.3557961618120841E-2</v>
      </c>
      <c r="AC51" s="22">
        <f t="shared" si="3"/>
        <v>25.184630474002709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9.8000000000000007</v>
      </c>
      <c r="N52" s="13">
        <f>IF('Données projet'!$A$36&gt;35,N51+M52-V51,IF(A52&lt;'Données projet'!$A$36,$K$205^A52,IF(A52='Données projet'!$A$36,'Données projet'!$B$36,N51+M52-V51)))</f>
        <v>293.19999999999993</v>
      </c>
      <c r="O52" s="13">
        <f>N52*VLOOKUP('Données projet'!$B$9,Paramètres!$A$1:$I$89,3,0)*VLOOKUP('Données projet'!$B$9,Paramètres!$A$1:$I$89,5,0)</f>
        <v>237.84383999999997</v>
      </c>
      <c r="P52" s="13">
        <f t="shared" si="33"/>
        <v>57.975378776698456</v>
      </c>
      <c r="Q52" s="20">
        <f t="shared" si="53"/>
        <v>515.21847270274975</v>
      </c>
      <c r="R52" s="59">
        <f t="shared" si="0"/>
        <v>808.55180603608301</v>
      </c>
      <c r="S52" s="59">
        <f ca="1">AVERAGE(OFFSET($R$3,0,0,'Données projet'!$E$9+1,1))-AVERAGE(OFFSET($H$3,0,0,'Données projet'!$E$9+1,1))</f>
        <v>412.59676769258488</v>
      </c>
      <c r="T52" s="59">
        <f t="shared" si="34"/>
        <v>399.90063795152133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12.117823125604287</v>
      </c>
      <c r="AA52" s="21">
        <f>EXP(-LN(2)/25)*AA51+(1-EXP(-LN(2)/25))/(LN(2)/25)*Calculateur!V52*Calculateur!X52*VLOOKUP('Données projet'!$B$9,Paramètres!$A$1:$I$89,3,0)*0.475*44/12</f>
        <v>12.450832864704822</v>
      </c>
      <c r="AB52" s="21">
        <f>EXP(-LN(2)/2)*AB51+(1-EXP(-LN(2)/2))/(LN(2)/2)*V52*Y52*VLOOKUP('Données projet'!$B$9,Paramètres!$A$1:$I$89,3,0)*0.475*44/12</f>
        <v>1.6657994411105659E-2</v>
      </c>
      <c r="AC52" s="22">
        <f t="shared" si="3"/>
        <v>24.585313984720216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303</v>
      </c>
      <c r="L53" s="12">
        <f>VLOOKUP(A53,'Données projet'!$A$35:$I$55,9,0)</f>
        <v>9.8000000000000007</v>
      </c>
      <c r="M53" s="12">
        <f t="array" ref="M53">INDEX(L:L,MIN(IF(ISNUMBER(L53:L249),ROW(L53:L249),"")))</f>
        <v>9.8000000000000007</v>
      </c>
      <c r="N53" s="13">
        <f>IF('Données projet'!$A$36&gt;35,N52+M53-V52,IF(A53&lt;'Données projet'!$A$36,$K$205^A53,IF(A53='Données projet'!$A$36,'Données projet'!$B$36,N52+M53-V52)))</f>
        <v>302.99999999999994</v>
      </c>
      <c r="O53" s="13">
        <f>N53*VLOOKUP('Données projet'!$B$9,Paramètres!$A$1:$I$89,3,0)*VLOOKUP('Données projet'!$B$9,Paramètres!$A$1:$I$89,5,0)</f>
        <v>245.79359999999997</v>
      </c>
      <c r="P53" s="13">
        <f t="shared" si="33"/>
        <v>59.684315982017168</v>
      </c>
      <c r="Q53" s="20">
        <f t="shared" si="53"/>
        <v>532.04070366867984</v>
      </c>
      <c r="R53" s="59">
        <f t="shared" si="0"/>
        <v>825.37403700201321</v>
      </c>
      <c r="S53" s="59">
        <f ca="1">AVERAGE(OFFSET($R$3,0,0,'Données projet'!$E$9+1,1))-AVERAGE(OFFSET($H$3,0,0,'Données projet'!$E$9+1,1))</f>
        <v>412.59676769258488</v>
      </c>
      <c r="T53" s="59">
        <f t="shared" si="34"/>
        <v>399.90063795152133</v>
      </c>
      <c r="U53" s="15">
        <f>IF(ISNA(VLOOKUP(A53,'Données projet'!$A$35:$I$55,3,0)),0,VLOOKUP(A53,'Données projet'!$A$35:$I$55,3,0))</f>
        <v>9</v>
      </c>
      <c r="V53" s="15">
        <f>IF(ISNA(VLOOKUP(A53,'Données projet'!$A$35:$I$55,4,0)),0,VLOOKUP(A53,'Données projet'!$A$35:$I$55,4,0))</f>
        <v>21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11.88020000525348</v>
      </c>
      <c r="AA53" s="21">
        <f>EXP(-LN(2)/25)*AA52+(1-EXP(-LN(2)/25))/(LN(2)/25)*Calculateur!V53*Calculateur!X53*VLOOKUP('Données projet'!$B$9,Paramètres!$A$1:$I$89,3,0)*0.475*44/12</f>
        <v>12.110364185258625</v>
      </c>
      <c r="AB53" s="21">
        <f>EXP(-LN(2)/2)*AB52+(1-EXP(-LN(2)/2))/(LN(2)/2)*V53*Y53*VLOOKUP('Données projet'!$B$9,Paramètres!$A$1:$I$89,3,0)*0.475*44/12</f>
        <v>1.1778980809060421E-2</v>
      </c>
      <c r="AC53" s="22">
        <f t="shared" si="3"/>
        <v>24.002343171321165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8.4</v>
      </c>
      <c r="N54" s="13">
        <f>IF('Données projet'!$A$36&gt;35,N53+M54-V53,IF(A54&lt;'Données projet'!$A$36,$K$205^A54,IF(A54='Données projet'!$A$36,'Données projet'!$B$36,N53+M54-V53)))</f>
        <v>290.39999999999992</v>
      </c>
      <c r="O54" s="13">
        <f>N54*VLOOKUP('Données projet'!$B$9,Paramètres!$A$1:$I$89,3,0)*VLOOKUP('Données projet'!$B$9,Paramètres!$A$1:$I$89,5,0)</f>
        <v>235.57247999999993</v>
      </c>
      <c r="P54" s="13">
        <f t="shared" si="33"/>
        <v>57.485898111011707</v>
      </c>
      <c r="Q54" s="20">
        <f t="shared" si="53"/>
        <v>510.41000854334516</v>
      </c>
      <c r="R54" s="59">
        <f t="shared" si="0"/>
        <v>803.74334187667841</v>
      </c>
      <c r="S54" s="59">
        <f ca="1">AVERAGE(OFFSET($R$3,0,0,'Données projet'!$E$9+1,1))-AVERAGE(OFFSET($H$3,0,0,'Données projet'!$E$9+1,1))</f>
        <v>412.59676769258488</v>
      </c>
      <c r="T54" s="59">
        <f t="shared" si="34"/>
        <v>399.90063795152133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11.64723652935696</v>
      </c>
      <c r="AA54" s="21">
        <f>EXP(-LN(2)/25)*AA53+(1-EXP(-LN(2)/25))/(LN(2)/25)*Calculateur!V54*Calculateur!X54*VLOOKUP('Données projet'!$B$9,Paramètres!$A$1:$I$89,3,0)*0.475*44/12</f>
        <v>11.779205639756354</v>
      </c>
      <c r="AB54" s="21">
        <f>EXP(-LN(2)/2)*AB53+(1-EXP(-LN(2)/2))/(LN(2)/2)*V54*Y54*VLOOKUP('Données projet'!$B$9,Paramètres!$A$1:$I$89,3,0)*0.475*44/12</f>
        <v>8.3289972055528294E-3</v>
      </c>
      <c r="AC54" s="22">
        <f t="shared" si="3"/>
        <v>23.434771166318868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8.4</v>
      </c>
      <c r="N55" s="13">
        <f>IF('Données projet'!$A$36&gt;35,N54+M55-V54,IF(A55&lt;'Données projet'!$A$36,$K$205^A55,IF(A55='Données projet'!$A$36,'Données projet'!$B$36,N54+M55-V54)))</f>
        <v>298.7999999999999</v>
      </c>
      <c r="O55" s="13">
        <f>N55*VLOOKUP('Données projet'!$B$9,Paramètres!$A$1:$I$89,3,0)*VLOOKUP('Données projet'!$B$9,Paramètres!$A$1:$I$89,5,0)</f>
        <v>242.38655999999992</v>
      </c>
      <c r="P55" s="13">
        <f t="shared" si="33"/>
        <v>58.952714414184484</v>
      </c>
      <c r="Q55" s="20">
        <f t="shared" si="53"/>
        <v>524.83256960470442</v>
      </c>
      <c r="R55" s="59">
        <f t="shared" si="0"/>
        <v>818.16590293803779</v>
      </c>
      <c r="S55" s="59">
        <f ca="1">AVERAGE(OFFSET($R$3,0,0,'Données projet'!$E$9+1,1))-AVERAGE(OFFSET($H$3,0,0,'Données projet'!$E$9+1,1))</f>
        <v>412.59676769258488</v>
      </c>
      <c r="T55" s="59">
        <f t="shared" si="34"/>
        <v>399.90063795152133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11.41884132512908</v>
      </c>
      <c r="AA55" s="21">
        <f>EXP(-LN(2)/25)*AA54+(1-EXP(-LN(2)/25))/(LN(2)/25)*Calculateur!V55*Calculateur!X55*VLOOKUP('Données projet'!$B$9,Paramètres!$A$1:$I$89,3,0)*0.475*44/12</f>
        <v>11.457102642095714</v>
      </c>
      <c r="AB55" s="21">
        <f>EXP(-LN(2)/2)*AB54+(1-EXP(-LN(2)/2))/(LN(2)/2)*V55*Y55*VLOOKUP('Données projet'!$B$9,Paramètres!$A$1:$I$89,3,0)*0.475*44/12</f>
        <v>5.8894904045302104E-3</v>
      </c>
      <c r="AC55" s="22">
        <f t="shared" si="3"/>
        <v>22.881833457629323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8.4</v>
      </c>
      <c r="N56" s="13">
        <f>IF('Données projet'!$A$36&gt;35,N55+M56-V55,IF(A56&lt;'Données projet'!$A$36,$K$205^A56,IF(A56='Données projet'!$A$36,'Données projet'!$B$36,N55+M56-V55)))</f>
        <v>307.19999999999987</v>
      </c>
      <c r="O56" s="13">
        <f>N56*VLOOKUP('Données projet'!$B$9,Paramètres!$A$1:$I$89,3,0)*VLOOKUP('Données projet'!$B$9,Paramètres!$A$1:$I$89,5,0)</f>
        <v>249.20063999999991</v>
      </c>
      <c r="P56" s="13">
        <f t="shared" si="33"/>
        <v>60.414738047899995</v>
      </c>
      <c r="Q56" s="20">
        <f t="shared" si="53"/>
        <v>539.24678343342566</v>
      </c>
      <c r="R56" s="59">
        <f t="shared" si="0"/>
        <v>832.58011676675892</v>
      </c>
      <c r="S56" s="59">
        <f ca="1">AVERAGE(OFFSET($R$3,0,0,'Données projet'!$E$9+1,1))-AVERAGE(OFFSET($H$3,0,0,'Données projet'!$E$9+1,1))</f>
        <v>412.59676769258488</v>
      </c>
      <c r="T56" s="59">
        <f t="shared" si="34"/>
        <v>399.90063795152133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11.194924811548789</v>
      </c>
      <c r="AA56" s="21">
        <f>EXP(-LN(2)/25)*AA55+(1-EXP(-LN(2)/25))/(LN(2)/25)*Calculateur!V56*Calculateur!X56*VLOOKUP('Données projet'!$B$9,Paramètres!$A$1:$I$89,3,0)*0.475*44/12</f>
        <v>11.143807567844764</v>
      </c>
      <c r="AB56" s="21">
        <f>EXP(-LN(2)/2)*AB55+(1-EXP(-LN(2)/2))/(LN(2)/2)*V56*Y56*VLOOKUP('Données projet'!$B$9,Paramètres!$A$1:$I$89,3,0)*0.475*44/12</f>
        <v>4.1644986027764147E-3</v>
      </c>
      <c r="AC56" s="22">
        <f t="shared" si="3"/>
        <v>22.342896877996331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8.4</v>
      </c>
      <c r="N57" s="13">
        <f>IF('Données projet'!$A$36&gt;35,N56+M57-V56,IF(A57&lt;'Données projet'!$A$36,$K$205^A57,IF(A57='Données projet'!$A$36,'Données projet'!$B$36,N56+M57-V56)))</f>
        <v>315.59999999999985</v>
      </c>
      <c r="O57" s="13">
        <f>N57*VLOOKUP('Données projet'!$B$9,Paramètres!$A$1:$I$89,3,0)*VLOOKUP('Données projet'!$B$9,Paramètres!$A$1:$I$89,5,0)</f>
        <v>256.0147199999999</v>
      </c>
      <c r="P57" s="13">
        <f t="shared" si="33"/>
        <v>61.87211512017457</v>
      </c>
      <c r="Q57" s="20">
        <f t="shared" si="53"/>
        <v>553.65290450097052</v>
      </c>
      <c r="R57" s="59">
        <f t="shared" si="0"/>
        <v>846.98623783430389</v>
      </c>
      <c r="S57" s="59">
        <f ca="1">AVERAGE(OFFSET($R$3,0,0,'Données projet'!$E$9+1,1))-AVERAGE(OFFSET($H$3,0,0,'Données projet'!$E$9+1,1))</f>
        <v>412.59676769258488</v>
      </c>
      <c r="T57" s="59">
        <f t="shared" si="34"/>
        <v>399.90063795152133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10.975399164224221</v>
      </c>
      <c r="AA57" s="21">
        <f>EXP(-LN(2)/25)*AA56+(1-EXP(-LN(2)/25))/(LN(2)/25)*Calculateur!V57*Calculateur!X57*VLOOKUP('Données projet'!$B$9,Paramètres!$A$1:$I$89,3,0)*0.475*44/12</f>
        <v>10.839079563874678</v>
      </c>
      <c r="AB57" s="21">
        <f>EXP(-LN(2)/2)*AB56+(1-EXP(-LN(2)/2))/(LN(2)/2)*V57*Y57*VLOOKUP('Données projet'!$B$9,Paramètres!$A$1:$I$89,3,0)*0.475*44/12</f>
        <v>2.9447452022651052E-3</v>
      </c>
      <c r="AC57" s="22">
        <f t="shared" si="3"/>
        <v>21.817423473301162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324</v>
      </c>
      <c r="L58" s="12">
        <f>VLOOKUP(A58,'Données projet'!$A$35:$I$55,9,0)</f>
        <v>8.4</v>
      </c>
      <c r="M58" s="12">
        <f t="array" ref="M58">INDEX(L:L,MIN(IF(ISNUMBER(L58:L254),ROW(L58:L254),"")))</f>
        <v>8.4</v>
      </c>
      <c r="N58" s="13">
        <f>IF('Données projet'!$A$36&gt;35,N57+M58-V57,IF(A58&lt;'Données projet'!$A$36,$K$205^A58,IF(A58='Données projet'!$A$36,'Données projet'!$B$36,N57+M58-V57)))</f>
        <v>323.99999999999983</v>
      </c>
      <c r="O58" s="13">
        <f>N58*VLOOKUP('Données projet'!$B$9,Paramètres!$A$1:$I$89,3,0)*VLOOKUP('Données projet'!$B$9,Paramètres!$A$1:$I$89,5,0)</f>
        <v>262.82879999999989</v>
      </c>
      <c r="P58" s="13">
        <f t="shared" si="33"/>
        <v>63.324983518559428</v>
      </c>
      <c r="Q58" s="20">
        <f t="shared" si="53"/>
        <v>568.05117296149081</v>
      </c>
      <c r="R58" s="59">
        <f t="shared" si="0"/>
        <v>861.38450629482418</v>
      </c>
      <c r="S58" s="59">
        <f ca="1">AVERAGE(OFFSET($R$3,0,0,'Données projet'!$E$9+1,1))-AVERAGE(OFFSET($H$3,0,0,'Données projet'!$E$9+1,1))</f>
        <v>412.59676769258488</v>
      </c>
      <c r="T58" s="59">
        <f t="shared" si="34"/>
        <v>399.90063795152133</v>
      </c>
      <c r="U58" s="15">
        <f>IF(ISNA(VLOOKUP(A58,'Données projet'!$A$35:$I$55,3,0)),0,VLOOKUP(A58,'Données projet'!$A$35:$I$55,3,0))</f>
        <v>10</v>
      </c>
      <c r="V58" s="15">
        <f>IF(ISNA(VLOOKUP(A58,'Données projet'!$A$35:$I$55,4,0)),0,VLOOKUP(A58,'Données projet'!$A$35:$I$55,4,0))</f>
        <v>18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10.760178280946263</v>
      </c>
      <c r="AA58" s="21">
        <f>EXP(-LN(2)/25)*AA57+(1-EXP(-LN(2)/25))/(LN(2)/25)*Calculateur!V58*Calculateur!X58*VLOOKUP('Données projet'!$B$9,Paramètres!$A$1:$I$89,3,0)*0.475*44/12</f>
        <v>10.542684363198104</v>
      </c>
      <c r="AB58" s="21">
        <f>EXP(-LN(2)/2)*AB57+(1-EXP(-LN(2)/2))/(LN(2)/2)*V58*Y58*VLOOKUP('Données projet'!$B$9,Paramètres!$A$1:$I$89,3,0)*0.475*44/12</f>
        <v>2.0822493013882074E-3</v>
      </c>
      <c r="AC58" s="22">
        <f t="shared" si="3"/>
        <v>21.304944893445757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7.4</v>
      </c>
      <c r="N59" s="13">
        <f>IF('Données projet'!$A$36&gt;35,N58+M59-V58,IF(A59&lt;'Données projet'!$A$36,$K$205^A59,IF(A59='Données projet'!$A$36,'Données projet'!$B$36,N58+M59-V58)))</f>
        <v>313.39999999999981</v>
      </c>
      <c r="O59" s="13">
        <f>N59*VLOOKUP('Données projet'!$B$9,Paramètres!$A$1:$I$89,3,0)*VLOOKUP('Données projet'!$B$9,Paramètres!$A$1:$I$89,5,0)</f>
        <v>254.23007999999987</v>
      </c>
      <c r="P59" s="13">
        <f t="shared" si="33"/>
        <v>61.490862379913594</v>
      </c>
      <c r="Q59" s="20">
        <f t="shared" si="53"/>
        <v>549.88064131168267</v>
      </c>
      <c r="R59" s="59">
        <f t="shared" si="0"/>
        <v>843.21397464501592</v>
      </c>
      <c r="S59" s="59">
        <f ca="1">AVERAGE(OFFSET($R$3,0,0,'Données projet'!$E$9+1,1))-AVERAGE(OFFSET($H$3,0,0,'Données projet'!$E$9+1,1))</f>
        <v>412.59676769258488</v>
      </c>
      <c r="T59" s="59">
        <f t="shared" si="34"/>
        <v>399.90063795152133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10.549177747917611</v>
      </c>
      <c r="AA59" s="21">
        <f>EXP(-LN(2)/25)*AA58+(1-EXP(-LN(2)/25))/(LN(2)/25)*Calculateur!V59*Calculateur!X59*VLOOKUP('Données projet'!$B$9,Paramètres!$A$1:$I$89,3,0)*0.475*44/12</f>
        <v>10.254394104870777</v>
      </c>
      <c r="AB59" s="21">
        <f>EXP(-LN(2)/2)*AB58+(1-EXP(-LN(2)/2))/(LN(2)/2)*V59*Y59*VLOOKUP('Données projet'!$B$9,Paramètres!$A$1:$I$89,3,0)*0.475*44/12</f>
        <v>1.4723726011325526E-3</v>
      </c>
      <c r="AC59" s="22">
        <f t="shared" si="3"/>
        <v>20.805044225389519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7.4</v>
      </c>
      <c r="N60" s="13">
        <f>IF('Données projet'!$A$36&gt;35,N59+M60-V59,IF(A60&lt;'Données projet'!$A$36,$K$205^A60,IF(A60='Données projet'!$A$36,'Données projet'!$B$36,N59+M60-V59)))</f>
        <v>320.79999999999978</v>
      </c>
      <c r="O60" s="13">
        <f>N60*VLOOKUP('Données projet'!$B$9,Paramètres!$A$1:$I$89,3,0)*VLOOKUP('Données projet'!$B$9,Paramètres!$A$1:$I$89,5,0)</f>
        <v>260.23295999999982</v>
      </c>
      <c r="P60" s="13">
        <f t="shared" si="33"/>
        <v>62.772033025391018</v>
      </c>
      <c r="Q60" s="20">
        <f t="shared" si="53"/>
        <v>562.56702951922227</v>
      </c>
      <c r="R60" s="59">
        <f t="shared" si="0"/>
        <v>855.90036285255565</v>
      </c>
      <c r="S60" s="59">
        <f ca="1">AVERAGE(OFFSET($R$3,0,0,'Données projet'!$E$9+1,1))-AVERAGE(OFFSET($H$3,0,0,'Données projet'!$E$9+1,1))</f>
        <v>412.59676769258488</v>
      </c>
      <c r="T60" s="59">
        <f t="shared" si="34"/>
        <v>399.90063795152133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10.342314806644032</v>
      </c>
      <c r="AA60" s="21">
        <f>EXP(-LN(2)/25)*AA59+(1-EXP(-LN(2)/25))/(LN(2)/25)*Calculateur!V60*Calculateur!X60*VLOOKUP('Données projet'!$B$9,Paramètres!$A$1:$I$89,3,0)*0.475*44/12</f>
        <v>9.9739871588179358</v>
      </c>
      <c r="AB60" s="21">
        <f>EXP(-LN(2)/2)*AB59+(1-EXP(-LN(2)/2))/(LN(2)/2)*V60*Y60*VLOOKUP('Données projet'!$B$9,Paramètres!$A$1:$I$89,3,0)*0.475*44/12</f>
        <v>1.0411246506941037E-3</v>
      </c>
      <c r="AC60" s="22">
        <f t="shared" si="3"/>
        <v>20.317343090112661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7.4</v>
      </c>
      <c r="N61" s="13">
        <f>IF('Données projet'!$A$36&gt;35,N60+M61-V60,IF(A61&lt;'Données projet'!$A$36,$K$205^A61,IF(A61='Données projet'!$A$36,'Données projet'!$B$36,N60+M61-V60)))</f>
        <v>328.19999999999976</v>
      </c>
      <c r="O61" s="13">
        <f>N61*VLOOKUP('Données projet'!$B$9,Paramètres!$A$1:$I$89,3,0)*VLOOKUP('Données projet'!$B$9,Paramètres!$A$1:$I$89,5,0)</f>
        <v>266.23583999999983</v>
      </c>
      <c r="P61" s="13">
        <f t="shared" si="33"/>
        <v>64.04976797185104</v>
      </c>
      <c r="Q61" s="20">
        <f t="shared" si="53"/>
        <v>575.24743388430682</v>
      </c>
      <c r="R61" s="59">
        <f t="shared" si="0"/>
        <v>868.58076721764019</v>
      </c>
      <c r="S61" s="59">
        <f ca="1">AVERAGE(OFFSET($R$3,0,0,'Données projet'!$E$9+1,1))-AVERAGE(OFFSET($H$3,0,0,'Données projet'!$E$9+1,1))</f>
        <v>412.59676769258488</v>
      </c>
      <c r="T61" s="59">
        <f t="shared" si="34"/>
        <v>399.90063795152133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10.139508321474892</v>
      </c>
      <c r="AA61" s="21">
        <f>EXP(-LN(2)/25)*AA60+(1-EXP(-LN(2)/25))/(LN(2)/25)*Calculateur!V61*Calculateur!X61*VLOOKUP('Données projet'!$B$9,Paramètres!$A$1:$I$89,3,0)*0.475*44/12</f>
        <v>9.7012479554508708</v>
      </c>
      <c r="AB61" s="21">
        <f>EXP(-LN(2)/2)*AB60+(1-EXP(-LN(2)/2))/(LN(2)/2)*V61*Y61*VLOOKUP('Données projet'!$B$9,Paramètres!$A$1:$I$89,3,0)*0.475*44/12</f>
        <v>7.361863005662763E-4</v>
      </c>
      <c r="AC61" s="22">
        <f t="shared" si="3"/>
        <v>19.841492463226331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7.4</v>
      </c>
      <c r="N62" s="13">
        <f>IF('Données projet'!$A$36&gt;35,N61+M62-V61,IF(A62&lt;'Données projet'!$A$36,$K$205^A62,IF(A62='Données projet'!$A$36,'Données projet'!$B$36,N61+M62-V61)))</f>
        <v>335.59999999999974</v>
      </c>
      <c r="O62" s="13">
        <f>N62*VLOOKUP('Données projet'!$B$9,Paramètres!$A$1:$I$89,3,0)*VLOOKUP('Données projet'!$B$9,Paramètres!$A$1:$I$89,5,0)</f>
        <v>272.23871999999977</v>
      </c>
      <c r="P62" s="13">
        <f t="shared" si="33"/>
        <v>65.324153603165357</v>
      </c>
      <c r="Q62" s="20">
        <f t="shared" si="53"/>
        <v>587.92200485884598</v>
      </c>
      <c r="R62" s="59">
        <f t="shared" si="0"/>
        <v>881.25533819217935</v>
      </c>
      <c r="S62" s="59">
        <f ca="1">AVERAGE(OFFSET($R$3,0,0,'Données projet'!$E$9+1,1))-AVERAGE(OFFSET($H$3,0,0,'Données projet'!$E$9+1,1))</f>
        <v>412.59676769258488</v>
      </c>
      <c r="T62" s="59">
        <f t="shared" si="34"/>
        <v>399.90063795152133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9.9406787477801775</v>
      </c>
      <c r="AA62" s="21">
        <f>EXP(-LN(2)/25)*AA61+(1-EXP(-LN(2)/25))/(LN(2)/25)*Calculateur!V62*Calculateur!X62*VLOOKUP('Données projet'!$B$9,Paramètres!$A$1:$I$89,3,0)*0.475*44/12</f>
        <v>9.4359668199426086</v>
      </c>
      <c r="AB62" s="21">
        <f>EXP(-LN(2)/2)*AB61+(1-EXP(-LN(2)/2))/(LN(2)/2)*V62*Y62*VLOOKUP('Données projet'!$B$9,Paramètres!$A$1:$I$89,3,0)*0.475*44/12</f>
        <v>5.2056232534705184E-4</v>
      </c>
      <c r="AC62" s="22">
        <f t="shared" si="3"/>
        <v>19.377166130048135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343</v>
      </c>
      <c r="L63" s="12">
        <f>VLOOKUP(A63,'Données projet'!$A$35:$I$55,9,0)</f>
        <v>7.4</v>
      </c>
      <c r="M63" s="12">
        <f t="array" ref="M63">INDEX(L:L,MIN(IF(ISNUMBER(L63:L259),ROW(L63:L259),"")))</f>
        <v>7.4</v>
      </c>
      <c r="N63" s="13">
        <f>IF('Données projet'!$A$36&gt;35,N62+M63-V62,IF(A63&lt;'Données projet'!$A$36,$K$205^A63,IF(A63='Données projet'!$A$36,'Données projet'!$B$36,N62+M63-V62)))</f>
        <v>342.99999999999972</v>
      </c>
      <c r="O63" s="13">
        <f>N63*VLOOKUP('Données projet'!$B$9,Paramètres!$A$1:$I$89,3,0)*VLOOKUP('Données projet'!$B$9,Paramètres!$A$1:$I$89,5,0)</f>
        <v>278.24159999999983</v>
      </c>
      <c r="P63" s="13">
        <f t="shared" si="33"/>
        <v>66.595272276139738</v>
      </c>
      <c r="Q63" s="20">
        <f t="shared" si="53"/>
        <v>600.59088588094301</v>
      </c>
      <c r="R63" s="59">
        <f t="shared" si="0"/>
        <v>893.92421921427626</v>
      </c>
      <c r="S63" s="59">
        <f ca="1">AVERAGE(OFFSET($R$3,0,0,'Données projet'!$E$9+1,1))-AVERAGE(OFFSET($H$3,0,0,'Données projet'!$E$9+1,1))</f>
        <v>412.59676769258488</v>
      </c>
      <c r="T63" s="59">
        <f t="shared" si="34"/>
        <v>399.90063795152133</v>
      </c>
      <c r="U63" s="15">
        <f>IF(ISNA(VLOOKUP(A63,'Données projet'!$A$35:$I$55,3,0)),0,VLOOKUP(A63,'Données projet'!$A$35:$I$55,3,0))</f>
        <v>11</v>
      </c>
      <c r="V63" s="15">
        <f>IF(ISNA(VLOOKUP(A63,'Données projet'!$A$35:$I$55,4,0)),0,VLOOKUP(A63,'Données projet'!$A$35:$I$55,4,0))</f>
        <v>17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9.7457481007515518</v>
      </c>
      <c r="AA63" s="21">
        <f>EXP(-LN(2)/25)*AA62+(1-EXP(-LN(2)/25))/(LN(2)/25)*Calculateur!V63*Calculateur!X63*VLOOKUP('Données projet'!$B$9,Paramètres!$A$1:$I$89,3,0)*0.475*44/12</f>
        <v>9.1779398110353494</v>
      </c>
      <c r="AB63" s="21">
        <f>EXP(-LN(2)/2)*AB62+(1-EXP(-LN(2)/2))/(LN(2)/2)*V63*Y63*VLOOKUP('Données projet'!$B$9,Paramètres!$A$1:$I$89,3,0)*0.475*44/12</f>
        <v>3.6809315028313815E-4</v>
      </c>
      <c r="AC63" s="22">
        <f t="shared" si="3"/>
        <v>18.924056004937182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6</v>
      </c>
      <c r="N64" s="13">
        <f>IF('Données projet'!$A$36&gt;35,N63+M64-V63,IF(A64&lt;'Données projet'!$A$36,$K$205^A64,IF(A64='Données projet'!$A$36,'Données projet'!$B$36,N63+M64-V63)))</f>
        <v>331.99999999999972</v>
      </c>
      <c r="O64" s="13">
        <f>N64*VLOOKUP('Données projet'!$B$9,Paramètres!$A$1:$I$89,3,0)*VLOOKUP('Données projet'!$B$9,Paramètres!$A$1:$I$89,5,0)</f>
        <v>269.31839999999977</v>
      </c>
      <c r="P64" s="13">
        <f t="shared" si="33"/>
        <v>64.70459529265311</v>
      </c>
      <c r="Q64" s="20">
        <f t="shared" si="53"/>
        <v>581.75671680137043</v>
      </c>
      <c r="R64" s="59">
        <f t="shared" si="0"/>
        <v>875.09005013470369</v>
      </c>
      <c r="S64" s="59">
        <f ca="1">AVERAGE(OFFSET($R$3,0,0,'Données projet'!$E$9+1,1))-AVERAGE(OFFSET($H$3,0,0,'Données projet'!$E$9+1,1))</f>
        <v>412.59676769258488</v>
      </c>
      <c r="T64" s="59">
        <f t="shared" si="34"/>
        <v>399.90063795152133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9.5546399248152021</v>
      </c>
      <c r="AA64" s="21">
        <f>EXP(-LN(2)/25)*AA63+(1-EXP(-LN(2)/25))/(LN(2)/25)*Calculateur!V64*Calculateur!X64*VLOOKUP('Données projet'!$B$9,Paramètres!$A$1:$I$89,3,0)*0.475*44/12</f>
        <v>8.9269685642557093</v>
      </c>
      <c r="AB64" s="21">
        <f>EXP(-LN(2)/2)*AB63+(1-EXP(-LN(2)/2))/(LN(2)/2)*V64*Y64*VLOOKUP('Données projet'!$B$9,Paramètres!$A$1:$I$89,3,0)*0.475*44/12</f>
        <v>2.6028116267352592E-4</v>
      </c>
      <c r="AC64" s="22">
        <f t="shared" si="3"/>
        <v>18.481868770233586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6</v>
      </c>
      <c r="N65" s="13">
        <f>IF('Données projet'!$A$36&gt;35,N64+M65-V64,IF(A65&lt;'Données projet'!$A$36,$K$205^A65,IF(A65='Données projet'!$A$36,'Données projet'!$B$36,N64+M65-V64)))</f>
        <v>337.99999999999972</v>
      </c>
      <c r="O65" s="13">
        <f>N65*VLOOKUP('Données projet'!$B$9,Paramètres!$A$1:$I$89,3,0)*VLOOKUP('Données projet'!$B$9,Paramètres!$A$1:$I$89,5,0)</f>
        <v>274.18559999999979</v>
      </c>
      <c r="P65" s="13">
        <f t="shared" si="33"/>
        <v>65.736762389907383</v>
      </c>
      <c r="Q65" s="20">
        <f t="shared" si="53"/>
        <v>592.03144782908828</v>
      </c>
      <c r="R65" s="59">
        <f t="shared" si="0"/>
        <v>885.36478116242165</v>
      </c>
      <c r="S65" s="59">
        <f ca="1">AVERAGE(OFFSET($R$3,0,0,'Données projet'!$E$9+1,1))-AVERAGE(OFFSET($H$3,0,0,'Données projet'!$E$9+1,1))</f>
        <v>412.59676769258488</v>
      </c>
      <c r="T65" s="59">
        <f t="shared" si="34"/>
        <v>399.90063795152133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9.3672792636444875</v>
      </c>
      <c r="AA65" s="21">
        <f>EXP(-LN(2)/25)*AA64+(1-EXP(-LN(2)/25))/(LN(2)/25)*Calculateur!V65*Calculateur!X65*VLOOKUP('Données projet'!$B$9,Paramètres!$A$1:$I$89,3,0)*0.475*44/12</f>
        <v>8.6828601394172633</v>
      </c>
      <c r="AB65" s="21">
        <f>EXP(-LN(2)/2)*AB64+(1-EXP(-LN(2)/2))/(LN(2)/2)*V65*Y65*VLOOKUP('Données projet'!$B$9,Paramètres!$A$1:$I$89,3,0)*0.475*44/12</f>
        <v>1.8404657514156907E-4</v>
      </c>
      <c r="AC65" s="22">
        <f t="shared" si="3"/>
        <v>18.050323449636892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6</v>
      </c>
      <c r="N66" s="13">
        <f>IF('Données projet'!$A$36&gt;35,N65+M66-V65,IF(A66&lt;'Données projet'!$A$36,$K$205^A66,IF(A66='Données projet'!$A$36,'Données projet'!$B$36,N65+M66-V65)))</f>
        <v>343.99999999999972</v>
      </c>
      <c r="O66" s="13">
        <f>N66*VLOOKUP('Données projet'!$B$9,Paramètres!$A$1:$I$89,3,0)*VLOOKUP('Données projet'!$B$9,Paramètres!$A$1:$I$89,5,0)</f>
        <v>279.05279999999976</v>
      </c>
      <c r="P66" s="13">
        <f t="shared" si="33"/>
        <v>66.766798832586332</v>
      </c>
      <c r="Q66" s="20">
        <f t="shared" si="53"/>
        <v>602.30246796675408</v>
      </c>
      <c r="R66" s="59">
        <f t="shared" si="0"/>
        <v>895.63580130008745</v>
      </c>
      <c r="S66" s="59">
        <f ca="1">AVERAGE(OFFSET($R$3,0,0,'Données projet'!$E$9+1,1))-AVERAGE(OFFSET($H$3,0,0,'Données projet'!$E$9+1,1))</f>
        <v>412.59676769258488</v>
      </c>
      <c r="T66" s="59">
        <f t="shared" si="34"/>
        <v>399.90063795152133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9.1835926307606108</v>
      </c>
      <c r="AA66" s="21">
        <f>EXP(-LN(2)/25)*AA65+(1-EXP(-LN(2)/25))/(LN(2)/25)*Calculateur!V66*Calculateur!X66*VLOOKUP('Données projet'!$B$9,Paramètres!$A$1:$I$89,3,0)*0.475*44/12</f>
        <v>8.4454268722931278</v>
      </c>
      <c r="AB66" s="21">
        <f>EXP(-LN(2)/2)*AB65+(1-EXP(-LN(2)/2))/(LN(2)/2)*V66*Y66*VLOOKUP('Données projet'!$B$9,Paramètres!$A$1:$I$89,3,0)*0.475*44/12</f>
        <v>1.3014058133676296E-4</v>
      </c>
      <c r="AC66" s="22">
        <f t="shared" si="3"/>
        <v>17.629149643635078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6</v>
      </c>
      <c r="N67" s="13">
        <f>IF('Données projet'!$A$36&gt;35,N66+M67-V66,IF(A67&lt;'Données projet'!$A$36,$K$205^A67,IF(A67='Données projet'!$A$36,'Données projet'!$B$36,N66+M67-V66)))</f>
        <v>349.99999999999972</v>
      </c>
      <c r="O67" s="13">
        <f>N67*VLOOKUP('Données projet'!$B$9,Paramètres!$A$1:$I$89,3,0)*VLOOKUP('Données projet'!$B$9,Paramètres!$A$1:$I$89,5,0)</f>
        <v>283.91999999999979</v>
      </c>
      <c r="P67" s="13">
        <f t="shared" si="33"/>
        <v>67.794746071143578</v>
      </c>
      <c r="Q67" s="20">
        <f t="shared" ref="Q67:Q98" si="54">(O67+P67)*0.475*44/12</f>
        <v>612.56984940724135</v>
      </c>
      <c r="R67" s="59">
        <f t="shared" ref="R67:R130" si="55">Q67+(I67+J67)*44/12</f>
        <v>905.90318274057472</v>
      </c>
      <c r="S67" s="59">
        <f ca="1">AVERAGE(OFFSET($R$3,0,0,'Données projet'!$E$9+1,1))-AVERAGE(OFFSET($H$3,0,0,'Données projet'!$E$9+1,1))</f>
        <v>412.59676769258488</v>
      </c>
      <c r="T67" s="59">
        <f t="shared" si="34"/>
        <v>399.90063795152133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9.003507980709804</v>
      </c>
      <c r="AA67" s="21">
        <f>EXP(-LN(2)/25)*AA66+(1-EXP(-LN(2)/25))/(LN(2)/25)*Calculateur!V67*Calculateur!X67*VLOOKUP('Données projet'!$B$9,Paramètres!$A$1:$I$89,3,0)*0.475*44/12</f>
        <v>8.2144862303445745</v>
      </c>
      <c r="AB67" s="21">
        <f>EXP(-LN(2)/2)*AB66+(1-EXP(-LN(2)/2))/(LN(2)/2)*V67*Y67*VLOOKUP('Données projet'!$B$9,Paramètres!$A$1:$I$89,3,0)*0.475*44/12</f>
        <v>9.2023287570784537E-5</v>
      </c>
      <c r="AC67" s="22">
        <f t="shared" si="3"/>
        <v>17.21808623434195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356</v>
      </c>
      <c r="L68" s="12">
        <f>VLOOKUP(A68,'Données projet'!$A$35:$I$55,9,0)</f>
        <v>6</v>
      </c>
      <c r="M68" s="12">
        <f t="array" ref="M68">INDEX(L:L,MIN(IF(ISNUMBER(L68:L264),ROW(L68:L264),"")))</f>
        <v>6</v>
      </c>
      <c r="N68" s="13">
        <f>IF('Données projet'!$A$36&gt;35,N67+M68-V67,IF(A68&lt;'Données projet'!$A$36,$K$205^A68,IF(A68='Données projet'!$A$36,'Données projet'!$B$36,N67+M68-V67)))</f>
        <v>355.99999999999972</v>
      </c>
      <c r="O68" s="13">
        <f>N68*VLOOKUP('Données projet'!$B$9,Paramètres!$A$1:$I$89,3,0)*VLOOKUP('Données projet'!$B$9,Paramètres!$A$1:$I$89,5,0)</f>
        <v>288.78719999999981</v>
      </c>
      <c r="P68" s="13">
        <f t="shared" si="33"/>
        <v>68.820644053442436</v>
      </c>
      <c r="Q68" s="20">
        <f t="shared" si="54"/>
        <v>622.83366172641195</v>
      </c>
      <c r="R68" s="59">
        <f t="shared" si="55"/>
        <v>916.1669950597452</v>
      </c>
      <c r="S68" s="59">
        <f ca="1">AVERAGE(OFFSET($R$3,0,0,'Données projet'!$E$9+1,1))-AVERAGE(OFFSET($H$3,0,0,'Données projet'!$E$9+1,1))</f>
        <v>412.59676769258488</v>
      </c>
      <c r="T68" s="59">
        <f t="shared" si="34"/>
        <v>399.90063795152133</v>
      </c>
      <c r="U68" s="15">
        <f>IF(ISNA(VLOOKUP(A68,'Données projet'!$A$35:$I$55,3,0)),0,VLOOKUP(A68,'Données projet'!$A$35:$I$55,3,0))</f>
        <v>12</v>
      </c>
      <c r="V68" s="15">
        <f>IF(ISNA(VLOOKUP(A68,'Données projet'!$A$35:$I$55,4,0)),0,VLOOKUP(A68,'Données projet'!$A$35:$I$55,4,0))</f>
        <v>16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8.8269546808057022</v>
      </c>
      <c r="AA68" s="21">
        <f>EXP(-LN(2)/25)*AA67+(1-EXP(-LN(2)/25))/(LN(2)/25)*Calculateur!V68*Calculateur!X68*VLOOKUP('Données projet'!$B$9,Paramètres!$A$1:$I$89,3,0)*0.475*44/12</f>
        <v>7.9898606723947454</v>
      </c>
      <c r="AB68" s="21">
        <f>EXP(-LN(2)/2)*AB67+(1-EXP(-LN(2)/2))/(LN(2)/2)*V68*Y68*VLOOKUP('Données projet'!$B$9,Paramètres!$A$1:$I$89,3,0)*0.475*44/12</f>
        <v>6.507029066838148E-5</v>
      </c>
      <c r="AC68" s="22">
        <f t="shared" ref="AC68:AC131" si="57">SUM(Z68:AB68)</f>
        <v>16.816880423491114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5.2</v>
      </c>
      <c r="N69" s="13">
        <f>IF('Données projet'!$A$36&gt;35,N68+M69-V68,IF(A69&lt;'Données projet'!$A$36,$K$205^A69,IF(A69='Données projet'!$A$36,'Données projet'!$B$36,N68+M69-V68)))</f>
        <v>345.1999999999997</v>
      </c>
      <c r="O69" s="13">
        <f>N69*VLOOKUP('Données projet'!$B$9,Paramètres!$A$1:$I$89,3,0)*VLOOKUP('Données projet'!$B$9,Paramètres!$A$1:$I$89,5,0)</f>
        <v>280.02623999999975</v>
      </c>
      <c r="P69" s="13">
        <f t="shared" ref="P69:P132" si="87">EXP(-1.0587+0.8836*LN(O69)+0.284)</f>
        <v>66.97255411717488</v>
      </c>
      <c r="Q69" s="20">
        <f t="shared" si="54"/>
        <v>604.35623308741242</v>
      </c>
      <c r="R69" s="59">
        <f t="shared" si="55"/>
        <v>897.68956642074568</v>
      </c>
      <c r="S69" s="59">
        <f ca="1">AVERAGE(OFFSET($R$3,0,0,'Données projet'!$E$9+1,1))-AVERAGE(OFFSET($H$3,0,0,'Données projet'!$E$9+1,1))</f>
        <v>412.59676769258488</v>
      </c>
      <c r="T69" s="59">
        <f t="shared" ref="T69:T132" si="88">$T$3</f>
        <v>399.90063795152133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8.653863483425841</v>
      </c>
      <c r="AA69" s="21">
        <f>EXP(-LN(2)/25)*AA68+(1-EXP(-LN(2)/25))/(LN(2)/25)*Calculateur!V69*Calculateur!X69*VLOOKUP('Données projet'!$B$9,Paramètres!$A$1:$I$89,3,0)*0.475*44/12</f>
        <v>7.7713775121395994</v>
      </c>
      <c r="AB69" s="21">
        <f>EXP(-LN(2)/2)*AB68+(1-EXP(-LN(2)/2))/(LN(2)/2)*V69*Y69*VLOOKUP('Données projet'!$B$9,Paramètres!$A$1:$I$89,3,0)*0.475*44/12</f>
        <v>4.6011643785392269E-5</v>
      </c>
      <c r="AC69" s="22">
        <f t="shared" si="57"/>
        <v>16.425287007209224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5.2</v>
      </c>
      <c r="N70" s="13">
        <f>IF('Données projet'!$A$36&gt;35,N69+M70-V69,IF(A70&lt;'Données projet'!$A$36,$K$205^A70,IF(A70='Données projet'!$A$36,'Données projet'!$B$36,N69+M70-V69)))</f>
        <v>350.39999999999969</v>
      </c>
      <c r="O70" s="13">
        <f>N70*VLOOKUP('Données projet'!$B$9,Paramètres!$A$1:$I$89,3,0)*VLOOKUP('Données projet'!$B$9,Paramètres!$A$1:$I$89,5,0)</f>
        <v>284.24447999999978</v>
      </c>
      <c r="P70" s="13">
        <f t="shared" si="87"/>
        <v>67.863202591015138</v>
      </c>
      <c r="Q70" s="20">
        <f t="shared" si="54"/>
        <v>613.25421384601759</v>
      </c>
      <c r="R70" s="59">
        <f t="shared" si="55"/>
        <v>906.58754717935085</v>
      </c>
      <c r="S70" s="59">
        <f ca="1">AVERAGE(OFFSET($R$3,0,0,'Données projet'!$E$9+1,1))-AVERAGE(OFFSET($H$3,0,0,'Données projet'!$E$9+1,1))</f>
        <v>412.59676769258488</v>
      </c>
      <c r="T70" s="59">
        <f t="shared" si="88"/>
        <v>399.90063795152133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8.4841664988513923</v>
      </c>
      <c r="AA70" s="21">
        <f>EXP(-LN(2)/25)*AA69+(1-EXP(-LN(2)/25))/(LN(2)/25)*Calculateur!V70*Calculateur!X70*VLOOKUP('Données projet'!$B$9,Paramètres!$A$1:$I$89,3,0)*0.475*44/12</f>
        <v>7.5588687853911605</v>
      </c>
      <c r="AB70" s="21">
        <f>EXP(-LN(2)/2)*AB69+(1-EXP(-LN(2)/2))/(LN(2)/2)*V70*Y70*VLOOKUP('Données projet'!$B$9,Paramètres!$A$1:$I$89,3,0)*0.475*44/12</f>
        <v>3.253514533419074E-5</v>
      </c>
      <c r="AC70" s="22">
        <f t="shared" si="57"/>
        <v>16.043067819387886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5.2</v>
      </c>
      <c r="N71" s="13">
        <f>IF('Données projet'!$A$36&gt;35,N70+M71-V70,IF(A71&lt;'Données projet'!$A$36,$K$205^A71,IF(A71='Données projet'!$A$36,'Données projet'!$B$36,N70+M71-V70)))</f>
        <v>355.59999999999968</v>
      </c>
      <c r="O71" s="13">
        <f>N71*VLOOKUP('Données projet'!$B$9,Paramètres!$A$1:$I$89,3,0)*VLOOKUP('Données projet'!$B$9,Paramètres!$A$1:$I$89,5,0)</f>
        <v>288.46271999999976</v>
      </c>
      <c r="P71" s="13">
        <f t="shared" si="87"/>
        <v>68.752313829500608</v>
      </c>
      <c r="Q71" s="20">
        <f t="shared" si="54"/>
        <v>622.14951725304638</v>
      </c>
      <c r="R71" s="59">
        <f t="shared" si="55"/>
        <v>915.48285058637975</v>
      </c>
      <c r="S71" s="59">
        <f ca="1">AVERAGE(OFFSET($R$3,0,0,'Données projet'!$E$9+1,1))-AVERAGE(OFFSET($H$3,0,0,'Données projet'!$E$9+1,1))</f>
        <v>412.59676769258488</v>
      </c>
      <c r="T71" s="59">
        <f t="shared" si="88"/>
        <v>399.90063795152133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8.3177971686395082</v>
      </c>
      <c r="AA71" s="21">
        <f>EXP(-LN(2)/25)*AA70+(1-EXP(-LN(2)/25))/(LN(2)/25)*Calculateur!V71*Calculateur!X71*VLOOKUP('Données projet'!$B$9,Paramètres!$A$1:$I$89,3,0)*0.475*44/12</f>
        <v>7.3521711209510059</v>
      </c>
      <c r="AB71" s="21">
        <f>EXP(-LN(2)/2)*AB70+(1-EXP(-LN(2)/2))/(LN(2)/2)*V71*Y71*VLOOKUP('Données projet'!$B$9,Paramètres!$A$1:$I$89,3,0)*0.475*44/12</f>
        <v>2.3005821892696134E-5</v>
      </c>
      <c r="AC71" s="22">
        <f t="shared" si="57"/>
        <v>15.669991295412407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5.2</v>
      </c>
      <c r="N72" s="13">
        <f>IF('Données projet'!$A$36&gt;35,N71+M72-V71,IF(A72&lt;'Données projet'!$A$36,$K$205^A72,IF(A72='Données projet'!$A$36,'Données projet'!$B$36,N71+M72-V71)))</f>
        <v>360.79999999999967</v>
      </c>
      <c r="O72" s="13">
        <f>N72*VLOOKUP('Données projet'!$B$9,Paramètres!$A$1:$I$89,3,0)*VLOOKUP('Données projet'!$B$9,Paramètres!$A$1:$I$89,5,0)</f>
        <v>292.68095999999974</v>
      </c>
      <c r="P72" s="13">
        <f t="shared" si="87"/>
        <v>69.639912908926974</v>
      </c>
      <c r="Q72" s="20">
        <f t="shared" si="54"/>
        <v>631.04218698304737</v>
      </c>
      <c r="R72" s="59">
        <f t="shared" si="55"/>
        <v>924.37552031638074</v>
      </c>
      <c r="S72" s="59">
        <f ca="1">AVERAGE(OFFSET($R$3,0,0,'Données projet'!$E$9+1,1))-AVERAGE(OFFSET($H$3,0,0,'Données projet'!$E$9+1,1))</f>
        <v>412.59676769258488</v>
      </c>
      <c r="T72" s="59">
        <f t="shared" si="88"/>
        <v>399.90063795152133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8.1546902395178087</v>
      </c>
      <c r="AA72" s="21">
        <f>EXP(-LN(2)/25)*AA71+(1-EXP(-LN(2)/25))/(LN(2)/25)*Calculateur!V72*Calculateur!X72*VLOOKUP('Données projet'!$B$9,Paramètres!$A$1:$I$89,3,0)*0.475*44/12</f>
        <v>7.1511256150147249</v>
      </c>
      <c r="AB72" s="21">
        <f>EXP(-LN(2)/2)*AB71+(1-EXP(-LN(2)/2))/(LN(2)/2)*V72*Y72*VLOOKUP('Données projet'!$B$9,Paramètres!$A$1:$I$89,3,0)*0.475*44/12</f>
        <v>1.626757266709537E-5</v>
      </c>
      <c r="AC72" s="22">
        <f t="shared" si="57"/>
        <v>15.305832122105199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366</v>
      </c>
      <c r="L73" s="12">
        <f>VLOOKUP(A73,'Données projet'!$A$35:$I$55,9,0)</f>
        <v>5.2</v>
      </c>
      <c r="M73" s="12">
        <f t="array" ref="M73">INDEX(L:L,MIN(IF(ISNUMBER(L73:L269),ROW(L73:L269),"")))</f>
        <v>5.2</v>
      </c>
      <c r="N73" s="13">
        <f>IF('Données projet'!$A$36&gt;35,N72+M73-V72,IF(A73&lt;'Données projet'!$A$36,$K$205^A73,IF(A73='Données projet'!$A$36,'Données projet'!$B$36,N72+M73-V72)))</f>
        <v>365.99999999999966</v>
      </c>
      <c r="O73" s="13">
        <f>N73*VLOOKUP('Données projet'!$B$9,Paramètres!$A$1:$I$89,3,0)*VLOOKUP('Données projet'!$B$9,Paramètres!$A$1:$I$89,5,0)</f>
        <v>296.89919999999972</v>
      </c>
      <c r="P73" s="13">
        <f t="shared" si="87"/>
        <v>70.526024141264102</v>
      </c>
      <c r="Q73" s="20">
        <f t="shared" si="54"/>
        <v>639.93226537936778</v>
      </c>
      <c r="R73" s="59">
        <f t="shared" si="55"/>
        <v>933.26559871270115</v>
      </c>
      <c r="S73" s="59">
        <f ca="1">AVERAGE(OFFSET($R$3,0,0,'Données projet'!$E$9+1,1))-AVERAGE(OFFSET($H$3,0,0,'Données projet'!$E$9+1,1))</f>
        <v>412.59676769258488</v>
      </c>
      <c r="T73" s="59">
        <f t="shared" si="88"/>
        <v>399.90063795152133</v>
      </c>
      <c r="U73" s="15">
        <f>IF(ISNA(VLOOKUP(A73,'Données projet'!$A$35:$I$55,3,0)),0,VLOOKUP(A73,'Données projet'!$A$35:$I$55,3,0))</f>
        <v>13</v>
      </c>
      <c r="V73" s="15">
        <f>IF(ISNA(VLOOKUP(A73,'Données projet'!$A$35:$I$55,4,0)),0,VLOOKUP(A73,'Données projet'!$A$35:$I$55,4,0))</f>
        <v>15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7.9947817377907819</v>
      </c>
      <c r="AA73" s="21">
        <f>EXP(-LN(2)/25)*AA72+(1-EXP(-LN(2)/25))/(LN(2)/25)*Calculateur!V73*Calculateur!X73*VLOOKUP('Données projet'!$B$9,Paramètres!$A$1:$I$89,3,0)*0.475*44/12</f>
        <v>6.9555777090107949</v>
      </c>
      <c r="AB73" s="21">
        <f>EXP(-LN(2)/2)*AB72+(1-EXP(-LN(2)/2))/(LN(2)/2)*V73*Y73*VLOOKUP('Données projet'!$B$9,Paramètres!$A$1:$I$89,3,0)*0.475*44/12</f>
        <v>1.1502910946348067E-5</v>
      </c>
      <c r="AC73" s="22">
        <f t="shared" si="57"/>
        <v>14.950370949712523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4.8</v>
      </c>
      <c r="N74" s="13">
        <f>IF('Données projet'!$A$36&gt;35,N73+M74-V73,IF(A74&lt;'Données projet'!$A$36,$K$205^A74,IF(A74='Données projet'!$A$36,'Données projet'!$B$36,N73+M74-V73)))</f>
        <v>355.79999999999967</v>
      </c>
      <c r="O74" s="13">
        <f>N74*VLOOKUP('Données projet'!$B$9,Paramètres!$A$1:$I$89,3,0)*VLOOKUP('Données projet'!$B$9,Paramètres!$A$1:$I$89,5,0)</f>
        <v>288.62495999999976</v>
      </c>
      <c r="P74" s="13">
        <f t="shared" si="87"/>
        <v>68.786480059183503</v>
      </c>
      <c r="Q74" s="20">
        <f t="shared" si="54"/>
        <v>622.49159143641089</v>
      </c>
      <c r="R74" s="59">
        <f t="shared" si="55"/>
        <v>915.82492476974426</v>
      </c>
      <c r="S74" s="59">
        <f ca="1">AVERAGE(OFFSET($R$3,0,0,'Données projet'!$E$9+1,1))-AVERAGE(OFFSET($H$3,0,0,'Données projet'!$E$9+1,1))</f>
        <v>412.59676769258488</v>
      </c>
      <c r="T74" s="59">
        <f t="shared" si="88"/>
        <v>399.90063795152133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7.8380089442480667</v>
      </c>
      <c r="AA74" s="21">
        <f>EXP(-LN(2)/25)*AA73+(1-EXP(-LN(2)/25))/(LN(2)/25)*Calculateur!V74*Calculateur!X74*VLOOKUP('Données projet'!$B$9,Paramètres!$A$1:$I$89,3,0)*0.475*44/12</f>
        <v>6.7653770707799605</v>
      </c>
      <c r="AB74" s="21">
        <f>EXP(-LN(2)/2)*AB73+(1-EXP(-LN(2)/2))/(LN(2)/2)*V74*Y74*VLOOKUP('Données projet'!$B$9,Paramètres!$A$1:$I$89,3,0)*0.475*44/12</f>
        <v>8.133786333547685E-6</v>
      </c>
      <c r="AC74" s="22">
        <f t="shared" si="57"/>
        <v>14.603394148814361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4.8</v>
      </c>
      <c r="N75" s="13">
        <f>IF('Données projet'!$A$36&gt;35,N74+M75-V74,IF(A75&lt;'Données projet'!$A$36,$K$205^A75,IF(A75='Données projet'!$A$36,'Données projet'!$B$36,N74+M75-V74)))</f>
        <v>360.59999999999968</v>
      </c>
      <c r="O75" s="13">
        <f>N75*VLOOKUP('Données projet'!$B$9,Paramètres!$A$1:$I$89,3,0)*VLOOKUP('Données projet'!$B$9,Paramètres!$A$1:$I$89,5,0)</f>
        <v>292.51871999999975</v>
      </c>
      <c r="P75" s="13">
        <f t="shared" si="87"/>
        <v>69.60580214804105</v>
      </c>
      <c r="Q75" s="20">
        <f t="shared" si="54"/>
        <v>630.70020940783763</v>
      </c>
      <c r="R75" s="59">
        <f t="shared" si="55"/>
        <v>924.033542741171</v>
      </c>
      <c r="S75" s="59">
        <f ca="1">AVERAGE(OFFSET($R$3,0,0,'Données projet'!$E$9+1,1))-AVERAGE(OFFSET($H$3,0,0,'Données projet'!$E$9+1,1))</f>
        <v>412.59676769258488</v>
      </c>
      <c r="T75" s="59">
        <f t="shared" si="88"/>
        <v>399.90063795152133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7.6843103695647619</v>
      </c>
      <c r="AA75" s="21">
        <f>EXP(-LN(2)/25)*AA74+(1-EXP(-LN(2)/25))/(LN(2)/25)*Calculateur!V75*Calculateur!X75*VLOOKUP('Données projet'!$B$9,Paramètres!$A$1:$I$89,3,0)*0.475*44/12</f>
        <v>6.580377479003765</v>
      </c>
      <c r="AB75" s="21">
        <f>EXP(-LN(2)/2)*AB74+(1-EXP(-LN(2)/2))/(LN(2)/2)*V75*Y75*VLOOKUP('Données projet'!$B$9,Paramètres!$A$1:$I$89,3,0)*0.475*44/12</f>
        <v>5.7514554731740336E-6</v>
      </c>
      <c r="AC75" s="22">
        <f t="shared" si="57"/>
        <v>14.264693600024001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4.8</v>
      </c>
      <c r="N76" s="13">
        <f>IF('Données projet'!$A$36&gt;35,N75+M76-V75,IF(A76&lt;'Données projet'!$A$36,$K$205^A76,IF(A76='Données projet'!$A$36,'Données projet'!$B$36,N75+M76-V75)))</f>
        <v>365.39999999999969</v>
      </c>
      <c r="O76" s="13">
        <f>N76*VLOOKUP('Données projet'!$B$9,Paramètres!$A$1:$I$89,3,0)*VLOOKUP('Données projet'!$B$9,Paramètres!$A$1:$I$89,5,0)</f>
        <v>296.41247999999973</v>
      </c>
      <c r="P76" s="13">
        <f t="shared" si="87"/>
        <v>70.423855708154704</v>
      </c>
      <c r="Q76" s="20">
        <f t="shared" si="54"/>
        <v>638.90661802503564</v>
      </c>
      <c r="R76" s="59">
        <f t="shared" si="55"/>
        <v>932.2399513583689</v>
      </c>
      <c r="S76" s="59">
        <f ca="1">AVERAGE(OFFSET($R$3,0,0,'Données projet'!$E$9+1,1))-AVERAGE(OFFSET($H$3,0,0,'Données projet'!$E$9+1,1))</f>
        <v>412.59676769258488</v>
      </c>
      <c r="T76" s="59">
        <f t="shared" si="88"/>
        <v>399.90063795152133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7.5336257301841227</v>
      </c>
      <c r="AA76" s="21">
        <f>EXP(-LN(2)/25)*AA75+(1-EXP(-LN(2)/25))/(LN(2)/25)*Calculateur!V76*Calculateur!X76*VLOOKUP('Données projet'!$B$9,Paramètres!$A$1:$I$89,3,0)*0.475*44/12</f>
        <v>6.4004367107933948</v>
      </c>
      <c r="AB76" s="21">
        <f>EXP(-LN(2)/2)*AB75+(1-EXP(-LN(2)/2))/(LN(2)/2)*V76*Y76*VLOOKUP('Données projet'!$B$9,Paramètres!$A$1:$I$89,3,0)*0.475*44/12</f>
        <v>4.0668931667738425E-6</v>
      </c>
      <c r="AC76" s="22">
        <f t="shared" si="57"/>
        <v>13.934066507870684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4.8</v>
      </c>
      <c r="N77" s="13">
        <f>IF('Données projet'!$A$36&gt;35,N76+M77-V76,IF(A77&lt;'Données projet'!$A$36,$K$205^A77,IF(A77='Données projet'!$A$36,'Données projet'!$B$36,N76+M77-V76)))</f>
        <v>370.1999999999997</v>
      </c>
      <c r="O77" s="13">
        <f>N77*VLOOKUP('Données projet'!$B$9,Paramètres!$A$1:$I$89,3,0)*VLOOKUP('Données projet'!$B$9,Paramètres!$A$1:$I$89,5,0)</f>
        <v>300.30623999999978</v>
      </c>
      <c r="P77" s="13">
        <f t="shared" si="87"/>
        <v>71.240659329806377</v>
      </c>
      <c r="Q77" s="20">
        <f t="shared" si="54"/>
        <v>647.11084966607893</v>
      </c>
      <c r="R77" s="59">
        <f t="shared" si="55"/>
        <v>940.44418299941231</v>
      </c>
      <c r="S77" s="59">
        <f ca="1">AVERAGE(OFFSET($R$3,0,0,'Données projet'!$E$9+1,1))-AVERAGE(OFFSET($H$3,0,0,'Données projet'!$E$9+1,1))</f>
        <v>412.59676769258488</v>
      </c>
      <c r="T77" s="59">
        <f t="shared" si="88"/>
        <v>399.90063795152133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7.385895924673183</v>
      </c>
      <c r="AA77" s="21">
        <f>EXP(-LN(2)/25)*AA76+(1-EXP(-LN(2)/25))/(LN(2)/25)*Calculateur!V77*Calculateur!X77*VLOOKUP('Données projet'!$B$9,Paramètres!$A$1:$I$89,3,0)*0.475*44/12</f>
        <v>6.2254164323524108</v>
      </c>
      <c r="AB77" s="21">
        <f>EXP(-LN(2)/2)*AB76+(1-EXP(-LN(2)/2))/(LN(2)/2)*V77*Y77*VLOOKUP('Données projet'!$B$9,Paramètres!$A$1:$I$89,3,0)*0.475*44/12</f>
        <v>2.8757277365870168E-6</v>
      </c>
      <c r="AC77" s="22">
        <f t="shared" si="57"/>
        <v>13.611315232753329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375</v>
      </c>
      <c r="L78" s="12">
        <f>VLOOKUP(A78,'Données projet'!$A$35:$I$55,9,0)</f>
        <v>4.8</v>
      </c>
      <c r="M78" s="12">
        <f t="array" ref="M78">INDEX(L:L,MIN(IF(ISNUMBER(L78:L274),ROW(L78:L274),"")))</f>
        <v>4.8</v>
      </c>
      <c r="N78" s="13">
        <f>IF('Données projet'!$A$36&gt;35,N77+M78-V77,IF(A78&lt;'Données projet'!$A$36,$K$205^A78,IF(A78='Données projet'!$A$36,'Données projet'!$B$36,N77+M78-V77)))</f>
        <v>374.99999999999972</v>
      </c>
      <c r="O78" s="13">
        <f>N78*VLOOKUP('Données projet'!$B$9,Paramètres!$A$1:$I$89,3,0)*VLOOKUP('Données projet'!$B$9,Paramètres!$A$1:$I$89,5,0)</f>
        <v>304.19999999999976</v>
      </c>
      <c r="P78" s="13">
        <f t="shared" si="87"/>
        <v>72.056231093481074</v>
      </c>
      <c r="Q78" s="20">
        <f t="shared" si="54"/>
        <v>655.31293582114574</v>
      </c>
      <c r="R78" s="59">
        <f t="shared" si="55"/>
        <v>948.64626915447911</v>
      </c>
      <c r="S78" s="59">
        <f ca="1">AVERAGE(OFFSET($R$3,0,0,'Données projet'!$E$9+1,1))-AVERAGE(OFFSET($H$3,0,0,'Données projet'!$E$9+1,1))</f>
        <v>412.59676769258488</v>
      </c>
      <c r="T78" s="59">
        <f t="shared" si="88"/>
        <v>399.90063795152133</v>
      </c>
      <c r="U78" s="15">
        <f>IF(ISNA(VLOOKUP(A78,'Données projet'!$A$35:$I$55,3,0)),0,VLOOKUP(A78,'Données projet'!$A$35:$I$55,3,0))</f>
        <v>14</v>
      </c>
      <c r="V78" s="15">
        <f>IF(ISNA(VLOOKUP(A78,'Données projet'!$A$35:$I$55,4,0)),0,VLOOKUP(A78,'Données projet'!$A$35:$I$55,4,0))</f>
        <v>14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7.2410630105420291</v>
      </c>
      <c r="AA78" s="21">
        <f>EXP(-LN(2)/25)*AA77+(1-EXP(-LN(2)/25))/(LN(2)/25)*Calculateur!V78*Calculateur!X78*VLOOKUP('Données projet'!$B$9,Paramètres!$A$1:$I$89,3,0)*0.475*44/12</f>
        <v>6.0551820926293125</v>
      </c>
      <c r="AB78" s="21">
        <f>EXP(-LN(2)/2)*AB77+(1-EXP(-LN(2)/2))/(LN(2)/2)*V78*Y78*VLOOKUP('Données projet'!$B$9,Paramètres!$A$1:$I$89,3,0)*0.475*44/12</f>
        <v>2.0334465833869212E-6</v>
      </c>
      <c r="AC78" s="22">
        <f t="shared" si="57"/>
        <v>13.296247136617923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</v>
      </c>
      <c r="N79" s="13">
        <f>IF('Données projet'!$A$36&gt;35,N78+M79-V78,IF(A79&lt;'Données projet'!$A$36,$K$205^A79,IF(A79='Données projet'!$A$36,'Données projet'!$B$36,N78+M79-V78)))</f>
        <v>364.99999999999972</v>
      </c>
      <c r="O79" s="13">
        <f>N79*VLOOKUP('Données projet'!$B$9,Paramètres!$A$1:$I$89,3,0)*VLOOKUP('Données projet'!$B$9,Paramètres!$A$1:$I$89,5,0)</f>
        <v>296.08799999999979</v>
      </c>
      <c r="P79" s="13">
        <f t="shared" si="87"/>
        <v>70.35573257182898</v>
      </c>
      <c r="Q79" s="20">
        <f t="shared" si="54"/>
        <v>638.22283422926841</v>
      </c>
      <c r="R79" s="59">
        <f t="shared" si="55"/>
        <v>931.55616756260179</v>
      </c>
      <c r="S79" s="59">
        <f ca="1">AVERAGE(OFFSET($R$3,0,0,'Données projet'!$E$9+1,1))-AVERAGE(OFFSET($H$3,0,0,'Données projet'!$E$9+1,1))</f>
        <v>412.59676769258488</v>
      </c>
      <c r="T79" s="59">
        <f t="shared" si="88"/>
        <v>399.90063795152133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7.0990701815176322</v>
      </c>
      <c r="AA79" s="21">
        <f>EXP(-LN(2)/25)*AA78+(1-EXP(-LN(2)/25))/(LN(2)/25)*Calculateur!V79*Calculateur!X79*VLOOKUP('Données projet'!$B$9,Paramètres!$A$1:$I$89,3,0)*0.475*44/12</f>
        <v>5.8896028198781769</v>
      </c>
      <c r="AB79" s="21">
        <f>EXP(-LN(2)/2)*AB78+(1-EXP(-LN(2)/2))/(LN(2)/2)*V79*Y79*VLOOKUP('Données projet'!$B$9,Paramètres!$A$1:$I$89,3,0)*0.475*44/12</f>
        <v>1.4378638682935084E-6</v>
      </c>
      <c r="AC79" s="22">
        <f t="shared" si="57"/>
        <v>12.988674439259679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</v>
      </c>
      <c r="N80" s="13">
        <f>IF('Données projet'!$A$36&gt;35,N79+M80-V79,IF(A80&lt;'Données projet'!$A$36,$K$205^A80,IF(A80='Données projet'!$A$36,'Données projet'!$B$36,N79+M80-V79)))</f>
        <v>368.99999999999972</v>
      </c>
      <c r="O80" s="13">
        <f>N80*VLOOKUP('Données projet'!$B$9,Paramètres!$A$1:$I$89,3,0)*VLOOKUP('Données projet'!$B$9,Paramètres!$A$1:$I$89,5,0)</f>
        <v>299.33279999999979</v>
      </c>
      <c r="P80" s="13">
        <f t="shared" si="87"/>
        <v>71.03657460883025</v>
      </c>
      <c r="Q80" s="20">
        <f t="shared" si="54"/>
        <v>645.05999411037908</v>
      </c>
      <c r="R80" s="59">
        <f t="shared" si="55"/>
        <v>938.39332744371245</v>
      </c>
      <c r="S80" s="59">
        <f ca="1">AVERAGE(OFFSET($R$3,0,0,'Données projet'!$E$9+1,1))-AVERAGE(OFFSET($H$3,0,0,'Données projet'!$E$9+1,1))</f>
        <v>412.59676769258488</v>
      </c>
      <c r="T80" s="59">
        <f t="shared" si="88"/>
        <v>399.90063795152133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6.9598617452633293</v>
      </c>
      <c r="AA80" s="21">
        <f>EXP(-LN(2)/25)*AA79+(1-EXP(-LN(2)/25))/(LN(2)/25)*Calculateur!V80*Calculateur!X80*VLOOKUP('Données projet'!$B$9,Paramètres!$A$1:$I$89,3,0)*0.475*44/12</f>
        <v>5.7285513210478571</v>
      </c>
      <c r="AB80" s="21">
        <f>EXP(-LN(2)/2)*AB79+(1-EXP(-LN(2)/2))/(LN(2)/2)*V80*Y80*VLOOKUP('Données projet'!$B$9,Paramètres!$A$1:$I$89,3,0)*0.475*44/12</f>
        <v>1.0167232916934606E-6</v>
      </c>
      <c r="AC80" s="22">
        <f t="shared" si="57"/>
        <v>12.688414083034479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</v>
      </c>
      <c r="N81" s="13">
        <f>IF('Données projet'!$A$36&gt;35,N80+M81-V80,IF(A81&lt;'Données projet'!$A$36,$K$205^A81,IF(A81='Données projet'!$A$36,'Données projet'!$B$36,N80+M81-V80)))</f>
        <v>372.99999999999972</v>
      </c>
      <c r="O81" s="13">
        <f>N81*VLOOKUP('Données projet'!$B$9,Paramètres!$A$1:$I$89,3,0)*VLOOKUP('Données projet'!$B$9,Paramètres!$A$1:$I$89,5,0)</f>
        <v>302.57759999999979</v>
      </c>
      <c r="P81" s="13">
        <f t="shared" si="87"/>
        <v>71.716558091076237</v>
      </c>
      <c r="Q81" s="20">
        <f t="shared" si="54"/>
        <v>651.89565867529075</v>
      </c>
      <c r="R81" s="59">
        <f t="shared" si="55"/>
        <v>945.22899200862412</v>
      </c>
      <c r="S81" s="59">
        <f ca="1">AVERAGE(OFFSET($R$3,0,0,'Données projet'!$E$9+1,1))-AVERAGE(OFFSET($H$3,0,0,'Données projet'!$E$9+1,1))</f>
        <v>412.59676769258488</v>
      </c>
      <c r="T81" s="59">
        <f t="shared" si="88"/>
        <v>399.90063795152133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6.823383101535212</v>
      </c>
      <c r="AA81" s="21">
        <f>EXP(-LN(2)/25)*AA80+(1-EXP(-LN(2)/25))/(LN(2)/25)*Calculateur!V81*Calculateur!X81*VLOOKUP('Données projet'!$B$9,Paramètres!$A$1:$I$89,3,0)*0.475*44/12</f>
        <v>5.5719037839223819</v>
      </c>
      <c r="AB81" s="21">
        <f>EXP(-LN(2)/2)*AB80+(1-EXP(-LN(2)/2))/(LN(2)/2)*V81*Y81*VLOOKUP('Données projet'!$B$9,Paramètres!$A$1:$I$89,3,0)*0.475*44/12</f>
        <v>7.189319341467542E-7</v>
      </c>
      <c r="AC81" s="22">
        <f t="shared" si="57"/>
        <v>12.395287604389528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</v>
      </c>
      <c r="N82" s="13">
        <f>IF('Données projet'!$A$36&gt;35,N81+M82-V81,IF(A82&lt;'Données projet'!$A$36,$K$205^A82,IF(A82='Données projet'!$A$36,'Données projet'!$B$36,N81+M82-V81)))</f>
        <v>376.99999999999972</v>
      </c>
      <c r="O82" s="13">
        <f>N82*VLOOKUP('Données projet'!$B$9,Paramètres!$A$1:$I$89,3,0)*VLOOKUP('Données projet'!$B$9,Paramètres!$A$1:$I$89,5,0)</f>
        <v>305.82239999999979</v>
      </c>
      <c r="P82" s="13">
        <f t="shared" si="87"/>
        <v>72.39569329126887</v>
      </c>
      <c r="Q82" s="20">
        <f t="shared" si="54"/>
        <v>658.72984581562616</v>
      </c>
      <c r="R82" s="59">
        <f t="shared" si="55"/>
        <v>952.06317914895953</v>
      </c>
      <c r="S82" s="59">
        <f ca="1">AVERAGE(OFFSET($R$3,0,0,'Données projet'!$E$9+1,1))-AVERAGE(OFFSET($H$3,0,0,'Données projet'!$E$9+1,1))</f>
        <v>412.59676769258488</v>
      </c>
      <c r="T82" s="59">
        <f t="shared" si="88"/>
        <v>399.90063795152133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6.6895807207668492</v>
      </c>
      <c r="AA82" s="21">
        <f>EXP(-LN(2)/25)*AA81+(1-EXP(-LN(2)/25))/(LN(2)/25)*Calculateur!V82*Calculateur!X82*VLOOKUP('Données projet'!$B$9,Paramètres!$A$1:$I$89,3,0)*0.475*44/12</f>
        <v>5.4195397819373392</v>
      </c>
      <c r="AB82" s="21">
        <f>EXP(-LN(2)/2)*AB81+(1-EXP(-LN(2)/2))/(LN(2)/2)*V82*Y82*VLOOKUP('Données projet'!$B$9,Paramètres!$A$1:$I$89,3,0)*0.475*44/12</f>
        <v>5.0836164584673031E-7</v>
      </c>
      <c r="AC82" s="22">
        <f t="shared" si="57"/>
        <v>12.109121011065834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381</v>
      </c>
      <c r="L83" s="12">
        <f>VLOOKUP(A83,'Données projet'!$A$35:$I$55,9,0)</f>
        <v>4</v>
      </c>
      <c r="M83" s="12">
        <f t="array" ref="M83">INDEX(L:L,MIN(IF(ISNUMBER(L83:L279),ROW(L83:L279),"")))</f>
        <v>4</v>
      </c>
      <c r="N83" s="13">
        <f>IF('Données projet'!$A$36&gt;35,N82+M83-V82,IF(A83&lt;'Données projet'!$A$36,$K$205^A83,IF(A83='Données projet'!$A$36,'Données projet'!$B$36,N82+M83-V82)))</f>
        <v>380.99999999999972</v>
      </c>
      <c r="O83" s="13">
        <f>N83*VLOOKUP('Données projet'!$B$9,Paramètres!$A$1:$I$89,3,0)*VLOOKUP('Données projet'!$B$9,Paramètres!$A$1:$I$89,5,0)</f>
        <v>309.06719999999979</v>
      </c>
      <c r="P83" s="13">
        <f t="shared" si="87"/>
        <v>73.073990251564354</v>
      </c>
      <c r="Q83" s="20">
        <f t="shared" si="54"/>
        <v>665.56257302147412</v>
      </c>
      <c r="R83" s="59">
        <f t="shared" si="55"/>
        <v>958.89590635480749</v>
      </c>
      <c r="S83" s="59">
        <f ca="1">AVERAGE(OFFSET($R$3,0,0,'Données projet'!$E$9+1,1))-AVERAGE(OFFSET($H$3,0,0,'Données projet'!$E$9+1,1))</f>
        <v>412.59676769258488</v>
      </c>
      <c r="T83" s="59">
        <f t="shared" si="88"/>
        <v>399.90063795152133</v>
      </c>
      <c r="U83" s="15">
        <f>IF(ISNA(VLOOKUP(A83,'Données projet'!$A$35:$I$55,3,0)),0,VLOOKUP(A83,'Données projet'!$A$35:$I$55,3,0))</f>
        <v>15</v>
      </c>
      <c r="V83" s="15">
        <f>IF(ISNA(VLOOKUP(A83,'Données projet'!$A$35:$I$55,4,0)),0,VLOOKUP(A83,'Données projet'!$A$35:$I$55,4,0))</f>
        <v>381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6.5584021230739609</v>
      </c>
      <c r="AA83" s="21">
        <f>EXP(-LN(2)/25)*AA82+(1-EXP(-LN(2)/25))/(LN(2)/25)*Calculateur!V83*Calculateur!X83*VLOOKUP('Données projet'!$B$9,Paramètres!$A$1:$I$89,3,0)*0.475*44/12</f>
        <v>5.271342181599052</v>
      </c>
      <c r="AB83" s="21">
        <f>EXP(-LN(2)/2)*AB82+(1-EXP(-LN(2)/2))/(LN(2)/2)*V83*Y83*VLOOKUP('Données projet'!$B$9,Paramètres!$A$1:$I$89,3,0)*0.475*44/12</f>
        <v>3.594659670733771E-7</v>
      </c>
      <c r="AC83" s="22">
        <f t="shared" si="57"/>
        <v>11.82974466413898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-2.3055690689943731E-13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412.59676769258488</v>
      </c>
      <c r="T84" s="59">
        <f t="shared" si="88"/>
        <v>399.90063795152133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6.4297958576707854</v>
      </c>
      <c r="AA84" s="21">
        <f>EXP(-LN(2)/25)*AA83+(1-EXP(-LN(2)/25))/(LN(2)/25)*Calculateur!V84*Calculateur!X84*VLOOKUP('Données projet'!$B$9,Paramètres!$A$1:$I$89,3,0)*0.475*44/12</f>
        <v>5.1271970524353883</v>
      </c>
      <c r="AB84" s="21">
        <f>EXP(-LN(2)/2)*AB83+(1-EXP(-LN(2)/2))/(LN(2)/2)*V84*Y84*VLOOKUP('Données projet'!$B$9,Paramètres!$A$1:$I$89,3,0)*0.475*44/12</f>
        <v>2.5418082292336516E-7</v>
      </c>
      <c r="AC84" s="22">
        <f t="shared" si="57"/>
        <v>11.556993164286997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-2.3055690689943731E-13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412.59676769258488</v>
      </c>
      <c r="T85" s="59">
        <f t="shared" si="88"/>
        <v>399.90063795152133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6.3037114826900904</v>
      </c>
      <c r="AA85" s="21">
        <f>EXP(-LN(2)/25)*AA84+(1-EXP(-LN(2)/25))/(LN(2)/25)*Calculateur!V85*Calculateur!X85*VLOOKUP('Données projet'!$B$9,Paramètres!$A$1:$I$89,3,0)*0.475*44/12</f>
        <v>4.9869935794089679</v>
      </c>
      <c r="AB85" s="21">
        <f>EXP(-LN(2)/2)*AB84+(1-EXP(-LN(2)/2))/(LN(2)/2)*V85*Y85*VLOOKUP('Données projet'!$B$9,Paramètres!$A$1:$I$89,3,0)*0.475*44/12</f>
        <v>1.7973298353668855E-7</v>
      </c>
      <c r="AC85" s="22">
        <f t="shared" si="57"/>
        <v>11.290705241832041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-2.3055690689943731E-13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412.59676769258488</v>
      </c>
      <c r="T86" s="59">
        <f t="shared" si="88"/>
        <v>399.90063795152133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6.1800995453988916</v>
      </c>
      <c r="AA86" s="21">
        <f>EXP(-LN(2)/25)*AA85+(1-EXP(-LN(2)/25))/(LN(2)/25)*Calculateur!V86*Calculateur!X86*VLOOKUP('Données projet'!$B$9,Paramètres!$A$1:$I$89,3,0)*0.475*44/12</f>
        <v>4.8506239777254354</v>
      </c>
      <c r="AB86" s="21">
        <f>EXP(-LN(2)/2)*AB85+(1-EXP(-LN(2)/2))/(LN(2)/2)*V86*Y86*VLOOKUP('Données projet'!$B$9,Paramètres!$A$1:$I$89,3,0)*0.475*44/12</f>
        <v>1.2709041146168258E-7</v>
      </c>
      <c r="AC86" s="22">
        <f t="shared" si="57"/>
        <v>11.030723650214737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-2.3055690689943731E-13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412.59676769258488</v>
      </c>
      <c r="T87" s="59">
        <f t="shared" si="88"/>
        <v>399.90063795152133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6.0589115628021357</v>
      </c>
      <c r="AA87" s="21">
        <f>EXP(-LN(2)/25)*AA86+(1-EXP(-LN(2)/25))/(LN(2)/25)*Calculateur!V87*Calculateur!X87*VLOOKUP('Données projet'!$B$9,Paramètres!$A$1:$I$89,3,0)*0.475*44/12</f>
        <v>4.7179834099713043</v>
      </c>
      <c r="AB87" s="21">
        <f>EXP(-LN(2)/2)*AB86+(1-EXP(-LN(2)/2))/(LN(2)/2)*V87*Y87*VLOOKUP('Données projet'!$B$9,Paramètres!$A$1:$I$89,3,0)*0.475*44/12</f>
        <v>8.9866491768344275E-8</v>
      </c>
      <c r="AC87" s="22">
        <f t="shared" si="57"/>
        <v>10.776895062639932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-2.3055690689943731E-13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412.59676769258488</v>
      </c>
      <c r="T88" s="59">
        <f t="shared" si="88"/>
        <v>399.90063795152133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5.9401000026267319</v>
      </c>
      <c r="AA88" s="21">
        <f>EXP(-LN(2)/25)*AA87+(1-EXP(-LN(2)/25))/(LN(2)/25)*Calculateur!V88*Calculateur!X88*VLOOKUP('Données projet'!$B$9,Paramètres!$A$1:$I$89,3,0)*0.475*44/12</f>
        <v>4.5889699055176747</v>
      </c>
      <c r="AB88" s="21">
        <f>EXP(-LN(2)/2)*AB87+(1-EXP(-LN(2)/2))/(LN(2)/2)*V88*Y88*VLOOKUP('Données projet'!$B$9,Paramètres!$A$1:$I$89,3,0)*0.475*44/12</f>
        <v>6.3545205730841289E-8</v>
      </c>
      <c r="AC88" s="22">
        <f t="shared" si="57"/>
        <v>10.529069971689614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-2.3055690689943731E-13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412.59676769258488</v>
      </c>
      <c r="T89" s="59">
        <f t="shared" si="88"/>
        <v>399.90063795152133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5.8236182646784718</v>
      </c>
      <c r="AA89" s="21">
        <f>EXP(-LN(2)/25)*AA88+(1-EXP(-LN(2)/25))/(LN(2)/25)*Calculateur!V89*Calculateur!X89*VLOOKUP('Données projet'!$B$9,Paramètres!$A$1:$I$89,3,0)*0.475*44/12</f>
        <v>4.4634842821278546</v>
      </c>
      <c r="AB89" s="21">
        <f>EXP(-LN(2)/2)*AB88+(1-EXP(-LN(2)/2))/(LN(2)/2)*V89*Y89*VLOOKUP('Données projet'!$B$9,Paramètres!$A$1:$I$89,3,0)*0.475*44/12</f>
        <v>4.4933245884172137E-8</v>
      </c>
      <c r="AC89" s="22">
        <f t="shared" si="57"/>
        <v>10.287102591739574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-2.3055690689943731E-13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412.59676769258488</v>
      </c>
      <c r="T90" s="59">
        <f t="shared" si="88"/>
        <v>399.90063795152133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5.7094206625645318</v>
      </c>
      <c r="AA90" s="21">
        <f>EXP(-LN(2)/25)*AA89+(1-EXP(-LN(2)/25))/(LN(2)/25)*Calculateur!V90*Calculateur!X90*VLOOKUP('Données projet'!$B$9,Paramètres!$A$1:$I$89,3,0)*0.475*44/12</f>
        <v>4.3414300697086317</v>
      </c>
      <c r="AB90" s="21">
        <f>EXP(-LN(2)/2)*AB89+(1-EXP(-LN(2)/2))/(LN(2)/2)*V90*Y90*VLOOKUP('Données projet'!$B$9,Paramètres!$A$1:$I$89,3,0)*0.475*44/12</f>
        <v>3.1772602865420644E-8</v>
      </c>
      <c r="AC90" s="22">
        <f t="shared" si="57"/>
        <v>10.050850764045766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-2.3055690689943731E-13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412.59676769258488</v>
      </c>
      <c r="T91" s="59">
        <f t="shared" si="88"/>
        <v>399.90063795152133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5.5974624057743867</v>
      </c>
      <c r="AA91" s="21">
        <f>EXP(-LN(2)/25)*AA90+(1-EXP(-LN(2)/25))/(LN(2)/25)*Calculateur!V91*Calculateur!X91*VLOOKUP('Données projet'!$B$9,Paramètres!$A$1:$I$89,3,0)*0.475*44/12</f>
        <v>4.2227134361465639</v>
      </c>
      <c r="AB91" s="21">
        <f>EXP(-LN(2)/2)*AB90+(1-EXP(-LN(2)/2))/(LN(2)/2)*V91*Y91*VLOOKUP('Données projet'!$B$9,Paramètres!$A$1:$I$89,3,0)*0.475*44/12</f>
        <v>2.2466622942086069E-8</v>
      </c>
      <c r="AC91" s="22">
        <f t="shared" si="57"/>
        <v>9.8201758643875721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-2.3055690689943731E-13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412.59676769258488</v>
      </c>
      <c r="T92" s="59">
        <f t="shared" si="88"/>
        <v>399.90063795152133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5.4876995821121026</v>
      </c>
      <c r="AA92" s="21">
        <f>EXP(-LN(2)/25)*AA91+(1-EXP(-LN(2)/25))/(LN(2)/25)*Calculateur!V92*Calculateur!X92*VLOOKUP('Données projet'!$B$9,Paramètres!$A$1:$I$89,3,0)*0.475*44/12</f>
        <v>4.1072431151722872</v>
      </c>
      <c r="AB92" s="21">
        <f>EXP(-LN(2)/2)*AB91+(1-EXP(-LN(2)/2))/(LN(2)/2)*V92*Y92*VLOOKUP('Données projet'!$B$9,Paramètres!$A$1:$I$89,3,0)*0.475*44/12</f>
        <v>1.5886301432710322E-8</v>
      </c>
      <c r="AC92" s="22">
        <f t="shared" si="57"/>
        <v>9.5949427131706919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-2.3055690689943731E-13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412.59676769258488</v>
      </c>
      <c r="T93" s="59">
        <f t="shared" si="88"/>
        <v>399.90063795152133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5.3800891404731246</v>
      </c>
      <c r="AA93" s="21">
        <f>EXP(-LN(2)/25)*AA92+(1-EXP(-LN(2)/25))/(LN(2)/25)*Calculateur!V93*Calculateur!X93*VLOOKUP('Données projet'!$B$9,Paramètres!$A$1:$I$89,3,0)*0.475*44/12</f>
        <v>3.9949303361973727</v>
      </c>
      <c r="AB93" s="21">
        <f>EXP(-LN(2)/2)*AB92+(1-EXP(-LN(2)/2))/(LN(2)/2)*V93*Y93*VLOOKUP('Données projet'!$B$9,Paramètres!$A$1:$I$89,3,0)*0.475*44/12</f>
        <v>1.1233311471043034E-8</v>
      </c>
      <c r="AC93" s="22">
        <f t="shared" si="57"/>
        <v>9.375019487903808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-2.3055690689943731E-13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412.59676769258488</v>
      </c>
      <c r="T94" s="59">
        <f t="shared" si="88"/>
        <v>399.90063795152133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5.2745888739587983</v>
      </c>
      <c r="AA94" s="21">
        <f>EXP(-LN(2)/25)*AA93+(1-EXP(-LN(2)/25))/(LN(2)/25)*Calculateur!V94*Calculateur!X94*VLOOKUP('Données projet'!$B$9,Paramètres!$A$1:$I$89,3,0)*0.475*44/12</f>
        <v>3.8856887560697997</v>
      </c>
      <c r="AB94" s="21">
        <f>EXP(-LN(2)/2)*AB93+(1-EXP(-LN(2)/2))/(LN(2)/2)*V94*Y94*VLOOKUP('Données projet'!$B$9,Paramètres!$A$1:$I$89,3,0)*0.475*44/12</f>
        <v>7.9431507163551611E-9</v>
      </c>
      <c r="AC94" s="22">
        <f t="shared" si="57"/>
        <v>9.160277637971749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-2.3055690689943731E-13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412.59676769258488</v>
      </c>
      <c r="T95" s="59">
        <f t="shared" si="88"/>
        <v>399.90063795152133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5.1711574033220087</v>
      </c>
      <c r="AA95" s="21">
        <f>EXP(-LN(2)/25)*AA94+(1-EXP(-LN(2)/25))/(LN(2)/25)*Calculateur!V95*Calculateur!X95*VLOOKUP('Données projet'!$B$9,Paramètres!$A$1:$I$89,3,0)*0.475*44/12</f>
        <v>3.7794343926955802</v>
      </c>
      <c r="AB95" s="21">
        <f>EXP(-LN(2)/2)*AB94+(1-EXP(-LN(2)/2))/(LN(2)/2)*V95*Y95*VLOOKUP('Données projet'!$B$9,Paramètres!$A$1:$I$89,3,0)*0.475*44/12</f>
        <v>5.6166557355215172E-9</v>
      </c>
      <c r="AC95" s="22">
        <f t="shared" si="57"/>
        <v>8.9505918016342445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-2.3055690689943731E-13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412.59676769258488</v>
      </c>
      <c r="T96" s="59">
        <f t="shared" si="88"/>
        <v>399.90063795152133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5.069754160737439</v>
      </c>
      <c r="AA96" s="21">
        <f>EXP(-LN(2)/25)*AA95+(1-EXP(-LN(2)/25))/(LN(2)/25)*Calculateur!V96*Calculateur!X96*VLOOKUP('Données projet'!$B$9,Paramètres!$A$1:$I$89,3,0)*0.475*44/12</f>
        <v>3.6760855604755029</v>
      </c>
      <c r="AB96" s="21">
        <f>EXP(-LN(2)/2)*AB95+(1-EXP(-LN(2)/2))/(LN(2)/2)*V96*Y96*VLOOKUP('Données projet'!$B$9,Paramètres!$A$1:$I$89,3,0)*0.475*44/12</f>
        <v>3.9715753581775806E-9</v>
      </c>
      <c r="AC96" s="22">
        <f t="shared" si="57"/>
        <v>8.745839725184517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-2.3055690689943731E-13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412.59676769258488</v>
      </c>
      <c r="T97" s="59">
        <f t="shared" si="88"/>
        <v>399.90063795152133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4.9703393738900825</v>
      </c>
      <c r="AA97" s="21">
        <f>EXP(-LN(2)/25)*AA96+(1-EXP(-LN(2)/25))/(LN(2)/25)*Calculateur!V97*Calculateur!X97*VLOOKUP('Données projet'!$B$9,Paramètres!$A$1:$I$89,3,0)*0.475*44/12</f>
        <v>3.5755628075073624</v>
      </c>
      <c r="AB97" s="21">
        <f>EXP(-LN(2)/2)*AB96+(1-EXP(-LN(2)/2))/(LN(2)/2)*V97*Y97*VLOOKUP('Données projet'!$B$9,Paramètres!$A$1:$I$89,3,0)*0.475*44/12</f>
        <v>2.8083278677607586E-9</v>
      </c>
      <c r="AC97" s="22">
        <f t="shared" si="57"/>
        <v>8.5459021842057723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-2.3055690689943731E-13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412.59676769258488</v>
      </c>
      <c r="T98" s="59">
        <f t="shared" si="88"/>
        <v>399.90063795152133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4.8728740503757697</v>
      </c>
      <c r="AA98" s="21">
        <f>EXP(-LN(2)/25)*AA97+(1-EXP(-LN(2)/25))/(LN(2)/25)*Calculateur!V98*Calculateur!X98*VLOOKUP('Données projet'!$B$9,Paramètres!$A$1:$I$89,3,0)*0.475*44/12</f>
        <v>3.4777888545053974</v>
      </c>
      <c r="AB98" s="21">
        <f>EXP(-LN(2)/2)*AB97+(1-EXP(-LN(2)/2))/(LN(2)/2)*V98*Y98*VLOOKUP('Données projet'!$B$9,Paramètres!$A$1:$I$89,3,0)*0.475*44/12</f>
        <v>1.9857876790887903E-9</v>
      </c>
      <c r="AC98" s="22">
        <f t="shared" si="57"/>
        <v>8.3506629068669547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-2.3055690689943731E-13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412.59676769258488</v>
      </c>
      <c r="T99" s="59">
        <f t="shared" si="88"/>
        <v>399.90063795152133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4.7773199624075948</v>
      </c>
      <c r="AA99" s="21">
        <f>EXP(-LN(2)/25)*AA98+(1-EXP(-LN(2)/25))/(LN(2)/25)*Calculateur!V99*Calculateur!X99*VLOOKUP('Données projet'!$B$9,Paramètres!$A$1:$I$89,3,0)*0.475*44/12</f>
        <v>3.3826885353899803</v>
      </c>
      <c r="AB99" s="21">
        <f>EXP(-LN(2)/2)*AB98+(1-EXP(-LN(2)/2))/(LN(2)/2)*V99*Y99*VLOOKUP('Données projet'!$B$9,Paramètres!$A$1:$I$89,3,0)*0.475*44/12</f>
        <v>1.4041639338803793E-9</v>
      </c>
      <c r="AC99" s="22">
        <f t="shared" si="57"/>
        <v>8.160008499201739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-2.3055690689943731E-13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412.59676769258488</v>
      </c>
      <c r="T100" s="59">
        <f t="shared" si="88"/>
        <v>399.90063795152133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4.6836396318222375</v>
      </c>
      <c r="AA100" s="21">
        <f>EXP(-LN(2)/25)*AA99+(1-EXP(-LN(2)/25))/(LN(2)/25)*Calculateur!V100*Calculateur!X100*VLOOKUP('Données projet'!$B$9,Paramètres!$A$1:$I$89,3,0)*0.475*44/12</f>
        <v>3.2901887395018825</v>
      </c>
      <c r="AB100" s="21">
        <f>EXP(-LN(2)/2)*AB99+(1-EXP(-LN(2)/2))/(LN(2)/2)*V100*Y100*VLOOKUP('Données projet'!$B$9,Paramètres!$A$1:$I$89,3,0)*0.475*44/12</f>
        <v>9.9289383954439514E-10</v>
      </c>
      <c r="AC100" s="22">
        <f t="shared" si="57"/>
        <v>7.9738283723170138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-2.3055690689943731E-13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412.59676769258488</v>
      </c>
      <c r="T101" s="59">
        <f t="shared" si="88"/>
        <v>399.90063795152133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4.5917963153802992</v>
      </c>
      <c r="AA101" s="21">
        <f>EXP(-LN(2)/25)*AA100+(1-EXP(-LN(2)/25))/(LN(2)/25)*Calculateur!V101*Calculateur!X101*VLOOKUP('Données projet'!$B$9,Paramètres!$A$1:$I$89,3,0)*0.475*44/12</f>
        <v>3.2002183553966974</v>
      </c>
      <c r="AB101" s="21">
        <f>EXP(-LN(2)/2)*AB100+(1-EXP(-LN(2)/2))/(LN(2)/2)*V101*Y101*VLOOKUP('Données projet'!$B$9,Paramètres!$A$1:$I$89,3,0)*0.475*44/12</f>
        <v>7.0208196694018964E-10</v>
      </c>
      <c r="AC101" s="22">
        <f t="shared" si="57"/>
        <v>7.7920146714790786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-2.3055690689943731E-13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412.59676769258488</v>
      </c>
      <c r="T102" s="59">
        <f t="shared" si="88"/>
        <v>399.90063795152133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4.5017539903548958</v>
      </c>
      <c r="AA102" s="21">
        <f>EXP(-LN(2)/25)*AA101+(1-EXP(-LN(2)/25))/(LN(2)/25)*Calculateur!V102*Calculateur!X102*VLOOKUP('Données projet'!$B$9,Paramètres!$A$1:$I$89,3,0)*0.475*44/12</f>
        <v>3.1127082161762054</v>
      </c>
      <c r="AB102" s="21">
        <f>EXP(-LN(2)/2)*AB101+(1-EXP(-LN(2)/2))/(LN(2)/2)*V102*Y102*VLOOKUP('Données projet'!$B$9,Paramètres!$A$1:$I$89,3,0)*0.475*44/12</f>
        <v>4.9644691977219757E-10</v>
      </c>
      <c r="AC102" s="22">
        <f t="shared" si="57"/>
        <v>7.6144622070275485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-2.3055690689943731E-13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412.59676769258488</v>
      </c>
      <c r="T103" s="59">
        <f t="shared" si="88"/>
        <v>399.90063795152133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4.4134773404028449</v>
      </c>
      <c r="AA103" s="21">
        <f>EXP(-LN(2)/25)*AA102+(1-EXP(-LN(2)/25))/(LN(2)/25)*Calculateur!V103*Calculateur!X103*VLOOKUP('Données projet'!$B$9,Paramètres!$A$1:$I$89,3,0)*0.475*44/12</f>
        <v>3.0275910463146563</v>
      </c>
      <c r="AB103" s="21">
        <f>EXP(-LN(2)/2)*AB102+(1-EXP(-LN(2)/2))/(LN(2)/2)*V103*Y103*VLOOKUP('Données projet'!$B$9,Paramètres!$A$1:$I$89,3,0)*0.475*44/12</f>
        <v>3.5104098347009482E-10</v>
      </c>
      <c r="AC103" s="22">
        <f t="shared" si="57"/>
        <v>7.4410683870685421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-2.3055690689943731E-13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412.59676769258488</v>
      </c>
      <c r="T104" s="59">
        <f t="shared" si="88"/>
        <v>399.90063795152133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4.3269317417129143</v>
      </c>
      <c r="AA104" s="21">
        <f>EXP(-LN(2)/25)*AA103+(1-EXP(-LN(2)/25))/(LN(2)/25)*Calculateur!V104*Calculateur!X104*VLOOKUP('Données projet'!$B$9,Paramètres!$A$1:$I$89,3,0)*0.475*44/12</f>
        <v>2.9448014099390885</v>
      </c>
      <c r="AB104" s="21">
        <f>EXP(-LN(2)/2)*AB103+(1-EXP(-LN(2)/2))/(LN(2)/2)*V104*Y104*VLOOKUP('Données projet'!$B$9,Paramètres!$A$1:$I$89,3,0)*0.475*44/12</f>
        <v>2.4822345988609878E-10</v>
      </c>
      <c r="AC104" s="22">
        <f t="shared" si="57"/>
        <v>7.271733151900226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-2.3055690689943731E-13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412.59676769258488</v>
      </c>
      <c r="T105" s="59">
        <f t="shared" si="88"/>
        <v>399.90063795152133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4.2420832494256899</v>
      </c>
      <c r="AA105" s="21">
        <f>EXP(-LN(2)/25)*AA104+(1-EXP(-LN(2)/25))/(LN(2)/25)*Calculateur!V105*Calculateur!X105*VLOOKUP('Données projet'!$B$9,Paramètres!$A$1:$I$89,3,0)*0.475*44/12</f>
        <v>2.8642756605239286</v>
      </c>
      <c r="AB105" s="21">
        <f>EXP(-LN(2)/2)*AB104+(1-EXP(-LN(2)/2))/(LN(2)/2)*V105*Y105*VLOOKUP('Données projet'!$B$9,Paramètres!$A$1:$I$89,3,0)*0.475*44/12</f>
        <v>1.7552049173504741E-10</v>
      </c>
      <c r="AC105" s="22">
        <f t="shared" si="57"/>
        <v>7.106358910125139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-2.3055690689943731E-13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412.59676769258488</v>
      </c>
      <c r="T106" s="59">
        <f t="shared" si="88"/>
        <v>399.90063795152133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4.1588985843197479</v>
      </c>
      <c r="AA106" s="21">
        <f>EXP(-LN(2)/25)*AA105+(1-EXP(-LN(2)/25))/(LN(2)/25)*Calculateur!V106*Calculateur!X106*VLOOKUP('Données projet'!$B$9,Paramètres!$A$1:$I$89,3,0)*0.475*44/12</f>
        <v>2.785951891961191</v>
      </c>
      <c r="AB106" s="21">
        <f>EXP(-LN(2)/2)*AB105+(1-EXP(-LN(2)/2))/(LN(2)/2)*V106*Y106*VLOOKUP('Données projet'!$B$9,Paramètres!$A$1:$I$89,3,0)*0.475*44/12</f>
        <v>1.2411172994304939E-10</v>
      </c>
      <c r="AC106" s="22">
        <f t="shared" si="57"/>
        <v>6.9448504764050503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-2.3055690689943731E-13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412.59676769258488</v>
      </c>
      <c r="T107" s="59">
        <f t="shared" si="88"/>
        <v>399.90063795152133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4.0773451197588981</v>
      </c>
      <c r="AA107" s="21">
        <f>EXP(-LN(2)/25)*AA106+(1-EXP(-LN(2)/25))/(LN(2)/25)*Calculateur!V107*Calculateur!X107*VLOOKUP('Données projet'!$B$9,Paramètres!$A$1:$I$89,3,0)*0.475*44/12</f>
        <v>2.7097698909686696</v>
      </c>
      <c r="AB107" s="21">
        <f>EXP(-LN(2)/2)*AB106+(1-EXP(-LN(2)/2))/(LN(2)/2)*V107*Y107*VLOOKUP('Données projet'!$B$9,Paramètres!$A$1:$I$89,3,0)*0.475*44/12</f>
        <v>8.7760245867523706E-11</v>
      </c>
      <c r="AC107" s="22">
        <f t="shared" si="57"/>
        <v>6.7871150108153282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-2.3055690689943731E-13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412.59676769258488</v>
      </c>
      <c r="T108" s="59">
        <f t="shared" si="88"/>
        <v>399.90063795152133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3.9973908688953848</v>
      </c>
      <c r="AA108" s="21">
        <f>EXP(-LN(2)/25)*AA107+(1-EXP(-LN(2)/25))/(LN(2)/25)*Calculateur!V108*Calculateur!X108*VLOOKUP('Données projet'!$B$9,Paramètres!$A$1:$I$89,3,0)*0.475*44/12</f>
        <v>2.635671090799526</v>
      </c>
      <c r="AB108" s="21">
        <f>EXP(-LN(2)/2)*AB107+(1-EXP(-LN(2)/2))/(LN(2)/2)*V108*Y108*VLOOKUP('Données projet'!$B$9,Paramètres!$A$1:$I$89,3,0)*0.475*44/12</f>
        <v>6.2055864971524696E-11</v>
      </c>
      <c r="AC108" s="22">
        <f t="shared" si="57"/>
        <v>6.6330619597569669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-2.3055690689943731E-13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412.59676769258488</v>
      </c>
      <c r="T109" s="59">
        <f t="shared" si="88"/>
        <v>399.90063795152133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3.9190044721240271</v>
      </c>
      <c r="AA109" s="21">
        <f>EXP(-LN(2)/25)*AA108+(1-EXP(-LN(2)/25))/(LN(2)/25)*Calculateur!V109*Calculateur!X109*VLOOKUP('Données projet'!$B$9,Paramètres!$A$1:$I$89,3,0)*0.475*44/12</f>
        <v>2.5635985262176941</v>
      </c>
      <c r="AB109" s="21">
        <f>EXP(-LN(2)/2)*AB108+(1-EXP(-LN(2)/2))/(LN(2)/2)*V109*Y109*VLOOKUP('Données projet'!$B$9,Paramètres!$A$1:$I$89,3,0)*0.475*44/12</f>
        <v>4.3880122933761853E-11</v>
      </c>
      <c r="AC109" s="22">
        <f t="shared" si="57"/>
        <v>6.4826029983856017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-2.3055690689943731E-13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412.59676769258488</v>
      </c>
      <c r="T110" s="59">
        <f t="shared" si="88"/>
        <v>399.90063795152133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3.8421551847823747</v>
      </c>
      <c r="AA110" s="21">
        <f>EXP(-LN(2)/25)*AA109+(1-EXP(-LN(2)/25))/(LN(2)/25)*Calculateur!V110*Calculateur!X110*VLOOKUP('Données projet'!$B$9,Paramètres!$A$1:$I$89,3,0)*0.475*44/12</f>
        <v>2.493496789704484</v>
      </c>
      <c r="AB110" s="21">
        <f>EXP(-LN(2)/2)*AB109+(1-EXP(-LN(2)/2))/(LN(2)/2)*V110*Y110*VLOOKUP('Données projet'!$B$9,Paramètres!$A$1:$I$89,3,0)*0.475*44/12</f>
        <v>3.1027932485762348E-11</v>
      </c>
      <c r="AC110" s="22">
        <f t="shared" si="57"/>
        <v>6.3356519745178863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-2.3055690689943731E-13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412.59676769258488</v>
      </c>
      <c r="T111" s="59">
        <f t="shared" si="88"/>
        <v>399.90063795152133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3.7668128650920552</v>
      </c>
      <c r="AA111" s="21">
        <f>EXP(-LN(2)/25)*AA110+(1-EXP(-LN(2)/25))/(LN(2)/25)*Calculateur!V111*Calculateur!X111*VLOOKUP('Données projet'!$B$9,Paramètres!$A$1:$I$89,3,0)*0.475*44/12</f>
        <v>2.4253119888627177</v>
      </c>
      <c r="AB111" s="21">
        <f>EXP(-LN(2)/2)*AB110+(1-EXP(-LN(2)/2))/(LN(2)/2)*V111*Y111*VLOOKUP('Données projet'!$B$9,Paramètres!$A$1:$I$89,3,0)*0.475*44/12</f>
        <v>2.1940061466880926E-11</v>
      </c>
      <c r="AC111" s="22">
        <f t="shared" si="57"/>
        <v>6.1921248539767131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-2.3055690689943731E-13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412.59676769258488</v>
      </c>
      <c r="T112" s="59">
        <f t="shared" si="88"/>
        <v>399.90063795152133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3.6929479623365857</v>
      </c>
      <c r="AA112" s="21">
        <f>EXP(-LN(2)/25)*AA111+(1-EXP(-LN(2)/25))/(LN(2)/25)*Calculateur!V112*Calculateur!X112*VLOOKUP('Données projet'!$B$9,Paramètres!$A$1:$I$89,3,0)*0.475*44/12</f>
        <v>2.3589917049856521</v>
      </c>
      <c r="AB112" s="21">
        <f>EXP(-LN(2)/2)*AB111+(1-EXP(-LN(2)/2))/(LN(2)/2)*V112*Y112*VLOOKUP('Données projet'!$B$9,Paramètres!$A$1:$I$89,3,0)*0.475*44/12</f>
        <v>1.5513966242881174E-11</v>
      </c>
      <c r="AC112" s="22">
        <f t="shared" si="57"/>
        <v>6.0519396673377512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-2.3055690689943731E-13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412.59676769258488</v>
      </c>
      <c r="T113" s="59">
        <f t="shared" si="88"/>
        <v>399.90063795152133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3.6205315052710088</v>
      </c>
      <c r="AA113" s="21">
        <f>EXP(-LN(2)/25)*AA112+(1-EXP(-LN(2)/25))/(LN(2)/25)*Calculateur!V113*Calculateur!X113*VLOOKUP('Données projet'!$B$9,Paramètres!$A$1:$I$89,3,0)*0.475*44/12</f>
        <v>2.2944849527588373</v>
      </c>
      <c r="AB113" s="21">
        <f>EXP(-LN(2)/2)*AB112+(1-EXP(-LN(2)/2))/(LN(2)/2)*V113*Y113*VLOOKUP('Données projet'!$B$9,Paramètres!$A$1:$I$89,3,0)*0.475*44/12</f>
        <v>1.0970030733440463E-11</v>
      </c>
      <c r="AC113" s="22">
        <f t="shared" si="57"/>
        <v>5.9150164580408164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-2.3055690689943731E-13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412.59676769258488</v>
      </c>
      <c r="T114" s="59">
        <f t="shared" si="88"/>
        <v>399.90063795152133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3.5495350907588104</v>
      </c>
      <c r="AA114" s="21">
        <f>EXP(-LN(2)/25)*AA113+(1-EXP(-LN(2)/25))/(LN(2)/25)*Calculateur!V114*Calculateur!X114*VLOOKUP('Données projet'!$B$9,Paramètres!$A$1:$I$89,3,0)*0.475*44/12</f>
        <v>2.2317421410639273</v>
      </c>
      <c r="AB114" s="21">
        <f>EXP(-LN(2)/2)*AB113+(1-EXP(-LN(2)/2))/(LN(2)/2)*V114*Y114*VLOOKUP('Données projet'!$B$9,Paramètres!$A$1:$I$89,3,0)*0.475*44/12</f>
        <v>7.756983121440587E-12</v>
      </c>
      <c r="AC114" s="22">
        <f t="shared" si="57"/>
        <v>5.7812772318304955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-2.3055690689943731E-13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412.59676769258488</v>
      </c>
      <c r="T115" s="59">
        <f t="shared" si="88"/>
        <v>399.90063795152133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3.4799308726316593</v>
      </c>
      <c r="AA115" s="21">
        <f>EXP(-LN(2)/25)*AA114+(1-EXP(-LN(2)/25))/(LN(2)/25)*Calculateur!V115*Calculateur!X115*VLOOKUP('Données projet'!$B$9,Paramètres!$A$1:$I$89,3,0)*0.475*44/12</f>
        <v>2.1707150348543158</v>
      </c>
      <c r="AB115" s="21">
        <f>EXP(-LN(2)/2)*AB114+(1-EXP(-LN(2)/2))/(LN(2)/2)*V115*Y115*VLOOKUP('Données projet'!$B$9,Paramètres!$A$1:$I$89,3,0)*0.475*44/12</f>
        <v>5.4850153667202316E-12</v>
      </c>
      <c r="AC115" s="22">
        <f t="shared" si="57"/>
        <v>5.6506459074914606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-2.3055690689943731E-13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412.59676769258488</v>
      </c>
      <c r="T116" s="59">
        <f t="shared" si="88"/>
        <v>399.90063795152133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3.4116915507676007</v>
      </c>
      <c r="AA116" s="21">
        <f>EXP(-LN(2)/25)*AA115+(1-EXP(-LN(2)/25))/(LN(2)/25)*Calculateur!V116*Calculateur!X116*VLOOKUP('Données projet'!$B$9,Paramètres!$A$1:$I$89,3,0)*0.475*44/12</f>
        <v>2.111356718073282</v>
      </c>
      <c r="AB116" s="21">
        <f>EXP(-LN(2)/2)*AB115+(1-EXP(-LN(2)/2))/(LN(2)/2)*V116*Y116*VLOOKUP('Données projet'!$B$9,Paramètres!$A$1:$I$89,3,0)*0.475*44/12</f>
        <v>3.8784915607202935E-12</v>
      </c>
      <c r="AC116" s="22">
        <f t="shared" si="57"/>
        <v>5.5230482688447617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-2.3055690689943731E-13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412.59676769258488</v>
      </c>
      <c r="T117" s="59">
        <f t="shared" si="88"/>
        <v>399.90063795152133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3.3447903603834197</v>
      </c>
      <c r="AA117" s="21">
        <f>EXP(-LN(2)/25)*AA116+(1-EXP(-LN(2)/25))/(LN(2)/25)*Calculateur!V117*Calculateur!X117*VLOOKUP('Données projet'!$B$9,Paramètres!$A$1:$I$89,3,0)*0.475*44/12</f>
        <v>2.0536215575861436</v>
      </c>
      <c r="AB117" s="21">
        <f>EXP(-LN(2)/2)*AB116+(1-EXP(-LN(2)/2))/(LN(2)/2)*V117*Y117*VLOOKUP('Données projet'!$B$9,Paramètres!$A$1:$I$89,3,0)*0.475*44/12</f>
        <v>2.7425076833601158E-12</v>
      </c>
      <c r="AC117" s="22">
        <f t="shared" si="57"/>
        <v>5.3984119179723056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-2.3055690689943731E-13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412.59676769258488</v>
      </c>
      <c r="T118" s="59">
        <f t="shared" si="88"/>
        <v>399.90063795152133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3.2792010615369755</v>
      </c>
      <c r="AA118" s="21">
        <f>EXP(-LN(2)/25)*AA117+(1-EXP(-LN(2)/25))/(LN(2)/25)*Calculateur!V118*Calculateur!X118*VLOOKUP('Données projet'!$B$9,Paramètres!$A$1:$I$89,3,0)*0.475*44/12</f>
        <v>1.9974651680986864</v>
      </c>
      <c r="AB118" s="21">
        <f>EXP(-LN(2)/2)*AB117+(1-EXP(-LN(2)/2))/(LN(2)/2)*V118*Y118*VLOOKUP('Données projet'!$B$9,Paramètres!$A$1:$I$89,3,0)*0.475*44/12</f>
        <v>1.9392457803601468E-12</v>
      </c>
      <c r="AC118" s="22">
        <f t="shared" si="57"/>
        <v>5.276666229637601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-2.3055690689943731E-13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412.59676769258488</v>
      </c>
      <c r="T119" s="59">
        <f t="shared" si="88"/>
        <v>399.90063795152133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3.2148979288353878</v>
      </c>
      <c r="AA119" s="21">
        <f>EXP(-LN(2)/25)*AA118+(1-EXP(-LN(2)/25))/(LN(2)/25)*Calculateur!V119*Calculateur!X119*VLOOKUP('Données projet'!$B$9,Paramètres!$A$1:$I$89,3,0)*0.475*44/12</f>
        <v>1.9428443780348998</v>
      </c>
      <c r="AB119" s="21">
        <f>EXP(-LN(2)/2)*AB118+(1-EXP(-LN(2)/2))/(LN(2)/2)*V119*Y119*VLOOKUP('Données projet'!$B$9,Paramètres!$A$1:$I$89,3,0)*0.475*44/12</f>
        <v>1.3712538416800579E-12</v>
      </c>
      <c r="AC119" s="22">
        <f t="shared" si="57"/>
        <v>5.1577423068716595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-2.3055690689943731E-13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412.59676769258488</v>
      </c>
      <c r="T120" s="59">
        <f t="shared" si="88"/>
        <v>399.90063795152133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3.1518557413450403</v>
      </c>
      <c r="AA120" s="21">
        <f>EXP(-LN(2)/25)*AA119+(1-EXP(-LN(2)/25))/(LN(2)/25)*Calculateur!V120*Calculateur!X120*VLOOKUP('Données projet'!$B$9,Paramètres!$A$1:$I$89,3,0)*0.475*44/12</f>
        <v>1.8897171963477901</v>
      </c>
      <c r="AB120" s="21">
        <f>EXP(-LN(2)/2)*AB119+(1-EXP(-LN(2)/2))/(LN(2)/2)*V120*Y120*VLOOKUP('Données projet'!$B$9,Paramètres!$A$1:$I$89,3,0)*0.475*44/12</f>
        <v>9.6962289018007338E-13</v>
      </c>
      <c r="AC120" s="22">
        <f t="shared" si="57"/>
        <v>5.0415729376938003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-2.3055690689943731E-13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412.59676769258488</v>
      </c>
      <c r="T121" s="59">
        <f t="shared" si="88"/>
        <v>399.90063795152133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3.0900497726994409</v>
      </c>
      <c r="AA121" s="21">
        <f>EXP(-LN(2)/25)*AA120+(1-EXP(-LN(2)/25))/(LN(2)/25)*Calculateur!V121*Calculateur!X121*VLOOKUP('Données projet'!$B$9,Paramètres!$A$1:$I$89,3,0)*0.475*44/12</f>
        <v>1.8380427802377515</v>
      </c>
      <c r="AB121" s="21">
        <f>EXP(-LN(2)/2)*AB120+(1-EXP(-LN(2)/2))/(LN(2)/2)*V121*Y121*VLOOKUP('Données projet'!$B$9,Paramètres!$A$1:$I$89,3,0)*0.475*44/12</f>
        <v>6.8562692084002895E-13</v>
      </c>
      <c r="AC121" s="22">
        <f t="shared" si="57"/>
        <v>4.9280925529378781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-2.3055690689943731E-13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412.59676769258488</v>
      </c>
      <c r="T122" s="59">
        <f t="shared" si="88"/>
        <v>399.90063795152133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3.029455781401063</v>
      </c>
      <c r="AA122" s="21">
        <f>EXP(-LN(2)/25)*AA121+(1-EXP(-LN(2)/25))/(LN(2)/25)*Calculateur!V122*Calculateur!X122*VLOOKUP('Données projet'!$B$9,Paramètres!$A$1:$I$89,3,0)*0.475*44/12</f>
        <v>1.7877814037536812</v>
      </c>
      <c r="AB122" s="21">
        <f>EXP(-LN(2)/2)*AB121+(1-EXP(-LN(2)/2))/(LN(2)/2)*V122*Y122*VLOOKUP('Données projet'!$B$9,Paramètres!$A$1:$I$89,3,0)*0.475*44/12</f>
        <v>4.8481144509003669E-13</v>
      </c>
      <c r="AC122" s="22">
        <f t="shared" si="57"/>
        <v>4.8172371851552294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-2.3055690689943731E-13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412.59676769258488</v>
      </c>
      <c r="T123" s="59">
        <f t="shared" si="88"/>
        <v>399.90063795152133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2.9700500013133611</v>
      </c>
      <c r="AA123" s="21">
        <f>EXP(-LN(2)/25)*AA122+(1-EXP(-LN(2)/25))/(LN(2)/25)*Calculateur!V123*Calculateur!X123*VLOOKUP('Données projet'!$B$9,Paramètres!$A$1:$I$89,3,0)*0.475*44/12</f>
        <v>1.7388944272526987</v>
      </c>
      <c r="AB123" s="21">
        <f>EXP(-LN(2)/2)*AB122+(1-EXP(-LN(2)/2))/(LN(2)/2)*V123*Y123*VLOOKUP('Données projet'!$B$9,Paramètres!$A$1:$I$89,3,0)*0.475*44/12</f>
        <v>3.4281346042001447E-13</v>
      </c>
      <c r="AC123" s="22">
        <f t="shared" si="57"/>
        <v>4.7089444285664026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-2.3055690689943731E-13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412.59676769258488</v>
      </c>
      <c r="T124" s="59">
        <f t="shared" si="88"/>
        <v>399.90063795152133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2.911809132339231</v>
      </c>
      <c r="AA124" s="21">
        <f>EXP(-LN(2)/25)*AA123+(1-EXP(-LN(2)/25))/(LN(2)/25)*Calculateur!V124*Calculateur!X124*VLOOKUP('Données projet'!$B$9,Paramètres!$A$1:$I$89,3,0)*0.475*44/12</f>
        <v>1.6913442676949901</v>
      </c>
      <c r="AB124" s="21">
        <f>EXP(-LN(2)/2)*AB123+(1-EXP(-LN(2)/2))/(LN(2)/2)*V124*Y124*VLOOKUP('Données projet'!$B$9,Paramètres!$A$1:$I$89,3,0)*0.475*44/12</f>
        <v>2.4240572254501834E-13</v>
      </c>
      <c r="AC124" s="22">
        <f t="shared" si="57"/>
        <v>4.603153400034464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-2.3055690689943731E-13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412.59676769258488</v>
      </c>
      <c r="T125" s="59">
        <f t="shared" si="88"/>
        <v>399.90063795152133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2.854710331282261</v>
      </c>
      <c r="AA125" s="21">
        <f>EXP(-LN(2)/25)*AA124+(1-EXP(-LN(2)/25))/(LN(2)/25)*Calculateur!V125*Calculateur!X125*VLOOKUP('Données projet'!$B$9,Paramètres!$A$1:$I$89,3,0)*0.475*44/12</f>
        <v>1.6450943697509413</v>
      </c>
      <c r="AB125" s="21">
        <f>EXP(-LN(2)/2)*AB124+(1-EXP(-LN(2)/2))/(LN(2)/2)*V125*Y125*VLOOKUP('Données projet'!$B$9,Paramètres!$A$1:$I$89,3,0)*0.475*44/12</f>
        <v>1.7140673021000724E-13</v>
      </c>
      <c r="AC125" s="22">
        <f t="shared" si="57"/>
        <v>4.4998047010333737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-2.3055690689943731E-13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412.59676769258488</v>
      </c>
      <c r="T126" s="59">
        <f t="shared" si="88"/>
        <v>399.90063795152133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2.7987312028871885</v>
      </c>
      <c r="AA126" s="21">
        <f>EXP(-LN(2)/25)*AA125+(1-EXP(-LN(2)/25))/(LN(2)/25)*Calculateur!V126*Calculateur!X126*VLOOKUP('Données projet'!$B$9,Paramètres!$A$1:$I$89,3,0)*0.475*44/12</f>
        <v>1.6001091776983487</v>
      </c>
      <c r="AB126" s="21">
        <f>EXP(-LN(2)/2)*AB125+(1-EXP(-LN(2)/2))/(LN(2)/2)*V126*Y126*VLOOKUP('Données projet'!$B$9,Paramètres!$A$1:$I$89,3,0)*0.475*44/12</f>
        <v>1.2120286127250917E-13</v>
      </c>
      <c r="AC126" s="22">
        <f t="shared" si="57"/>
        <v>4.398840380585658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-2.3055690689943731E-13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412.59676769258488</v>
      </c>
      <c r="T127" s="59">
        <f t="shared" si="88"/>
        <v>399.90063795152133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2.7438497910560464</v>
      </c>
      <c r="AA127" s="21">
        <f>EXP(-LN(2)/25)*AA126+(1-EXP(-LN(2)/25))/(LN(2)/25)*Calculateur!V127*Calculateur!X127*VLOOKUP('Données projet'!$B$9,Paramètres!$A$1:$I$89,3,0)*0.475*44/12</f>
        <v>1.5563541080881027</v>
      </c>
      <c r="AB127" s="21">
        <f>EXP(-LN(2)/2)*AB126+(1-EXP(-LN(2)/2))/(LN(2)/2)*V127*Y127*VLOOKUP('Données projet'!$B$9,Paramètres!$A$1:$I$89,3,0)*0.475*44/12</f>
        <v>8.5703365105003619E-14</v>
      </c>
      <c r="AC127" s="22">
        <f t="shared" si="57"/>
        <v>4.3002038991442344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-2.3055690689943731E-13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412.59676769258488</v>
      </c>
      <c r="T128" s="59">
        <f t="shared" si="88"/>
        <v>399.90063795152133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2.6900445702365574</v>
      </c>
      <c r="AA128" s="21">
        <f>EXP(-LN(2)/25)*AA127+(1-EXP(-LN(2)/25))/(LN(2)/25)*Calculateur!V128*Calculateur!X128*VLOOKUP('Données projet'!$B$9,Paramètres!$A$1:$I$89,3,0)*0.475*44/12</f>
        <v>1.5137955231573281</v>
      </c>
      <c r="AB128" s="21">
        <f>EXP(-LN(2)/2)*AB127+(1-EXP(-LN(2)/2))/(LN(2)/2)*V128*Y128*VLOOKUP('Données projet'!$B$9,Paramètres!$A$1:$I$89,3,0)*0.475*44/12</f>
        <v>6.0601430636254586E-14</v>
      </c>
      <c r="AC128" s="22">
        <f t="shared" si="57"/>
        <v>4.2038400933939464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-2.3055690689943731E-13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412.59676769258488</v>
      </c>
      <c r="T129" s="59">
        <f t="shared" si="88"/>
        <v>399.90063795152133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2.6372944369793943</v>
      </c>
      <c r="AA129" s="21">
        <f>EXP(-LN(2)/25)*AA128+(1-EXP(-LN(2)/25))/(LN(2)/25)*Calculateur!V129*Calculateur!X129*VLOOKUP('Données projet'!$B$9,Paramètres!$A$1:$I$89,3,0)*0.475*44/12</f>
        <v>1.4724007049695442</v>
      </c>
      <c r="AB129" s="21">
        <f>EXP(-LN(2)/2)*AB128+(1-EXP(-LN(2)/2))/(LN(2)/2)*V129*Y129*VLOOKUP('Données projet'!$B$9,Paramètres!$A$1:$I$89,3,0)*0.475*44/12</f>
        <v>4.2851682552501809E-14</v>
      </c>
      <c r="AC129" s="22">
        <f t="shared" si="57"/>
        <v>4.1096951419489809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-2.3055690689943731E-13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412.59676769258488</v>
      </c>
      <c r="T130" s="59">
        <f t="shared" si="88"/>
        <v>399.90063795152133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2.5855787016609999</v>
      </c>
      <c r="AA130" s="21">
        <f>EXP(-LN(2)/25)*AA129+(1-EXP(-LN(2)/25))/(LN(2)/25)*Calculateur!V130*Calculateur!X130*VLOOKUP('Données projet'!$B$9,Paramètres!$A$1:$I$89,3,0)*0.475*44/12</f>
        <v>1.4321378302619643</v>
      </c>
      <c r="AB130" s="21">
        <f>EXP(-LN(2)/2)*AB129+(1-EXP(-LN(2)/2))/(LN(2)/2)*V130*Y130*VLOOKUP('Données projet'!$B$9,Paramètres!$A$1:$I$89,3,0)*0.475*44/12</f>
        <v>3.0300715318127293E-14</v>
      </c>
      <c r="AC130" s="22">
        <f t="shared" si="57"/>
        <v>4.0177165319229946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-2.3055690689943731E-13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412.59676769258488</v>
      </c>
      <c r="T131" s="59">
        <f t="shared" si="88"/>
        <v>399.90063795152133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2.5348770803687151</v>
      </c>
      <c r="AA131" s="21">
        <f>EXP(-LN(2)/25)*AA130+(1-EXP(-LN(2)/25))/(LN(2)/25)*Calculateur!V131*Calculateur!X131*VLOOKUP('Données projet'!$B$9,Paramètres!$A$1:$I$89,3,0)*0.475*44/12</f>
        <v>1.3929759459805955</v>
      </c>
      <c r="AB131" s="21">
        <f>EXP(-LN(2)/2)*AB130+(1-EXP(-LN(2)/2))/(LN(2)/2)*V131*Y131*VLOOKUP('Données projet'!$B$9,Paramètres!$A$1:$I$89,3,0)*0.475*44/12</f>
        <v>2.1425841276250905E-14</v>
      </c>
      <c r="AC131" s="22">
        <f t="shared" si="57"/>
        <v>3.9278530263493319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-2.3055690689943731E-13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412.59676769258488</v>
      </c>
      <c r="T132" s="59">
        <f t="shared" si="88"/>
        <v>399.90063795152133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2.4851696869450368</v>
      </c>
      <c r="AA132" s="21">
        <f>EXP(-LN(2)/25)*AA131+(1-EXP(-LN(2)/25))/(LN(2)/25)*Calculateur!V132*Calculateur!X132*VLOOKUP('Données projet'!$B$9,Paramètres!$A$1:$I$89,3,0)*0.475*44/12</f>
        <v>1.3548849454843348</v>
      </c>
      <c r="AB132" s="21">
        <f>EXP(-LN(2)/2)*AB131+(1-EXP(-LN(2)/2))/(LN(2)/2)*V132*Y132*VLOOKUP('Données projet'!$B$9,Paramètres!$A$1:$I$89,3,0)*0.475*44/12</f>
        <v>1.5150357659063647E-14</v>
      </c>
      <c r="AC132" s="22">
        <f t="shared" ref="AC132:AC153" si="111">SUM(Z132:AB132)</f>
        <v>3.8400546324293865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-2.3055690689943731E-13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412.59676769258488</v>
      </c>
      <c r="T133" s="59">
        <f t="shared" ref="T133:T196" si="142">$T$3</f>
        <v>399.90063795152133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2.4364370251878804</v>
      </c>
      <c r="AA133" s="21">
        <f>EXP(-LN(2)/25)*AA132+(1-EXP(-LN(2)/25))/(LN(2)/25)*Calculateur!V133*Calculateur!X133*VLOOKUP('Données projet'!$B$9,Paramètres!$A$1:$I$89,3,0)*0.475*44/12</f>
        <v>1.317835545399763</v>
      </c>
      <c r="AB133" s="21">
        <f>EXP(-LN(2)/2)*AB132+(1-EXP(-LN(2)/2))/(LN(2)/2)*V133*Y133*VLOOKUP('Données projet'!$B$9,Paramètres!$A$1:$I$89,3,0)*0.475*44/12</f>
        <v>1.0712920638125452E-14</v>
      </c>
      <c r="AC133" s="22">
        <f t="shared" si="111"/>
        <v>3.7542725705876538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-2.3055690689943731E-13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412.59676769258488</v>
      </c>
      <c r="T134" s="59">
        <f t="shared" si="142"/>
        <v>399.90063795152133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2.3886599812037934</v>
      </c>
      <c r="AA134" s="21">
        <f>EXP(-LN(2)/25)*AA133+(1-EXP(-LN(2)/25))/(LN(2)/25)*Calculateur!V134*Calculateur!X134*VLOOKUP('Données projet'!$B$9,Paramètres!$A$1:$I$89,3,0)*0.475*44/12</f>
        <v>1.2817992631088471</v>
      </c>
      <c r="AB134" s="21">
        <f>EXP(-LN(2)/2)*AB133+(1-EXP(-LN(2)/2))/(LN(2)/2)*V134*Y134*VLOOKUP('Données projet'!$B$9,Paramètres!$A$1:$I$89,3,0)*0.475*44/12</f>
        <v>7.5751788295318233E-15</v>
      </c>
      <c r="AC134" s="22">
        <f t="shared" si="111"/>
        <v>3.670459244312648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-2.3055690689943731E-13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412.59676769258488</v>
      </c>
      <c r="T135" s="59">
        <f t="shared" si="142"/>
        <v>399.90063795152133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2.3418198159111148</v>
      </c>
      <c r="AA135" s="21">
        <f>EXP(-LN(2)/25)*AA134+(1-EXP(-LN(2)/25))/(LN(2)/25)*Calculateur!V135*Calculateur!X135*VLOOKUP('Données projet'!$B$9,Paramètres!$A$1:$I$89,3,0)*0.475*44/12</f>
        <v>1.246748394852242</v>
      </c>
      <c r="AB135" s="21">
        <f>EXP(-LN(2)/2)*AB134+(1-EXP(-LN(2)/2))/(LN(2)/2)*V135*Y135*VLOOKUP('Données projet'!$B$9,Paramètres!$A$1:$I$89,3,0)*0.475*44/12</f>
        <v>5.3564603190627262E-15</v>
      </c>
      <c r="AC135" s="22">
        <f t="shared" si="111"/>
        <v>3.5885682107633619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-2.3055690689943731E-13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412.59676769258488</v>
      </c>
      <c r="T136" s="59">
        <f t="shared" si="142"/>
        <v>399.90063795152133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2.2958981576901456</v>
      </c>
      <c r="AA136" s="21">
        <f>EXP(-LN(2)/25)*AA135+(1-EXP(-LN(2)/25))/(LN(2)/25)*Calculateur!V136*Calculateur!X136*VLOOKUP('Données projet'!$B$9,Paramètres!$A$1:$I$89,3,0)*0.475*44/12</f>
        <v>1.2126559944313589</v>
      </c>
      <c r="AB136" s="21">
        <f>EXP(-LN(2)/2)*AB135+(1-EXP(-LN(2)/2))/(LN(2)/2)*V136*Y136*VLOOKUP('Données projet'!$B$9,Paramètres!$A$1:$I$89,3,0)*0.475*44/12</f>
        <v>3.7875894147659116E-15</v>
      </c>
      <c r="AC136" s="22">
        <f t="shared" si="111"/>
        <v>3.5085541521215085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-2.3055690689943731E-13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412.59676769258488</v>
      </c>
      <c r="T137" s="59">
        <f t="shared" si="142"/>
        <v>399.90063795152133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2.2508769951774439</v>
      </c>
      <c r="AA137" s="21">
        <f>EXP(-LN(2)/25)*AA136+(1-EXP(-LN(2)/25))/(LN(2)/25)*Calculateur!V137*Calculateur!X137*VLOOKUP('Données projet'!$B$9,Paramètres!$A$1:$I$89,3,0)*0.475*44/12</f>
        <v>1.1794958524928261</v>
      </c>
      <c r="AB137" s="21">
        <f>EXP(-LN(2)/2)*AB136+(1-EXP(-LN(2)/2))/(LN(2)/2)*V137*Y137*VLOOKUP('Données projet'!$B$9,Paramètres!$A$1:$I$89,3,0)*0.475*44/12</f>
        <v>2.6782301595313631E-15</v>
      </c>
      <c r="AC137" s="22">
        <f t="shared" si="111"/>
        <v>3.4303728476702728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-2.3055690689943731E-13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412.59676769258488</v>
      </c>
      <c r="T138" s="59">
        <f t="shared" si="142"/>
        <v>399.90063795152133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2.2067386702014189</v>
      </c>
      <c r="AA138" s="21">
        <f>EXP(-LN(2)/25)*AA137+(1-EXP(-LN(2)/25))/(LN(2)/25)*Calculateur!V138*Calculateur!X138*VLOOKUP('Données projet'!$B$9,Paramètres!$A$1:$I$89,3,0)*0.475*44/12</f>
        <v>1.1472424763794187</v>
      </c>
      <c r="AB138" s="21">
        <f>EXP(-LN(2)/2)*AB137+(1-EXP(-LN(2)/2))/(LN(2)/2)*V138*Y138*VLOOKUP('Données projet'!$B$9,Paramètres!$A$1:$I$89,3,0)*0.475*44/12</f>
        <v>1.8937947073829558E-15</v>
      </c>
      <c r="AC138" s="22">
        <f t="shared" si="111"/>
        <v>3.3539811465808391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-2.3055690689943731E-13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412.59676769258488</v>
      </c>
      <c r="T139" s="59">
        <f t="shared" si="142"/>
        <v>399.90063795152133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2.1634658708564536</v>
      </c>
      <c r="AA139" s="21">
        <f>EXP(-LN(2)/25)*AA138+(1-EXP(-LN(2)/25))/(LN(2)/25)*Calculateur!V139*Calculateur!X139*VLOOKUP('Données projet'!$B$9,Paramètres!$A$1:$I$89,3,0)*0.475*44/12</f>
        <v>1.1158710705319637</v>
      </c>
      <c r="AB139" s="21">
        <f>EXP(-LN(2)/2)*AB138+(1-EXP(-LN(2)/2))/(LN(2)/2)*V139*Y139*VLOOKUP('Données projet'!$B$9,Paramètres!$A$1:$I$89,3,0)*0.475*44/12</f>
        <v>1.3391150797656815E-15</v>
      </c>
      <c r="AC139" s="22">
        <f t="shared" si="111"/>
        <v>3.2793369413884186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-2.3055690689943731E-13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412.59676769258488</v>
      </c>
      <c r="T140" s="59">
        <f t="shared" si="142"/>
        <v>399.90063795152133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2.1210416247128419</v>
      </c>
      <c r="AA140" s="21">
        <f>EXP(-LN(2)/25)*AA139+(1-EXP(-LN(2)/25))/(LN(2)/25)*Calculateur!V140*Calculateur!X140*VLOOKUP('Données projet'!$B$9,Paramètres!$A$1:$I$89,3,0)*0.475*44/12</f>
        <v>1.0853575174271579</v>
      </c>
      <c r="AB140" s="21">
        <f>EXP(-LN(2)/2)*AB139+(1-EXP(-LN(2)/2))/(LN(2)/2)*V140*Y140*VLOOKUP('Données projet'!$B$9,Paramètres!$A$1:$I$89,3,0)*0.475*44/12</f>
        <v>9.4689735369147791E-16</v>
      </c>
      <c r="AC140" s="22">
        <f t="shared" si="111"/>
        <v>3.2063991421400004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-2.3055690689943731E-13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412.59676769258488</v>
      </c>
      <c r="T141" s="59">
        <f t="shared" si="142"/>
        <v>399.90063795152133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2.0794492921598713</v>
      </c>
      <c r="AA141" s="21">
        <f>EXP(-LN(2)/25)*AA140+(1-EXP(-LN(2)/25))/(LN(2)/25)*Calculateur!V141*Calculateur!X141*VLOOKUP('Données projet'!$B$9,Paramètres!$A$1:$I$89,3,0)*0.475*44/12</f>
        <v>1.055678359036641</v>
      </c>
      <c r="AB141" s="21">
        <f>EXP(-LN(2)/2)*AB140+(1-EXP(-LN(2)/2))/(LN(2)/2)*V141*Y141*VLOOKUP('Données projet'!$B$9,Paramètres!$A$1:$I$89,3,0)*0.475*44/12</f>
        <v>6.6955753988284077E-16</v>
      </c>
      <c r="AC141" s="22">
        <f t="shared" si="111"/>
        <v>3.1351276511965134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-2.3055690689943731E-13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412.59676769258488</v>
      </c>
      <c r="T142" s="59">
        <f t="shared" si="142"/>
        <v>399.90063795152133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2.0386725598794464</v>
      </c>
      <c r="AA142" s="21">
        <f>EXP(-LN(2)/25)*AA141+(1-EXP(-LN(2)/25))/(LN(2)/25)*Calculateur!V142*Calculateur!X142*VLOOKUP('Données projet'!$B$9,Paramètres!$A$1:$I$89,3,0)*0.475*44/12</f>
        <v>1.0268107787930718</v>
      </c>
      <c r="AB142" s="21">
        <f>EXP(-LN(2)/2)*AB141+(1-EXP(-LN(2)/2))/(LN(2)/2)*V142*Y142*VLOOKUP('Données projet'!$B$9,Paramètres!$A$1:$I$89,3,0)*0.475*44/12</f>
        <v>4.7344867684573895E-16</v>
      </c>
      <c r="AC142" s="22">
        <f t="shared" si="111"/>
        <v>3.0654833386725184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-2.3055690689943731E-13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412.59676769258488</v>
      </c>
      <c r="T143" s="59">
        <f t="shared" si="142"/>
        <v>399.90063795152133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1.9986954344476897</v>
      </c>
      <c r="AA143" s="21">
        <f>EXP(-LN(2)/25)*AA142+(1-EXP(-LN(2)/25))/(LN(2)/25)*Calculateur!V143*Calculateur!X143*VLOOKUP('Données projet'!$B$9,Paramètres!$A$1:$I$89,3,0)*0.475*44/12</f>
        <v>0.99873258404934318</v>
      </c>
      <c r="AB143" s="21">
        <f>EXP(-LN(2)/2)*AB142+(1-EXP(-LN(2)/2))/(LN(2)/2)*V143*Y143*VLOOKUP('Données projet'!$B$9,Paramètres!$A$1:$I$89,3,0)*0.475*44/12</f>
        <v>3.3477876994142039E-16</v>
      </c>
      <c r="AC143" s="22">
        <f t="shared" si="111"/>
        <v>2.9974280184970334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-2.3055690689943731E-13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412.59676769258488</v>
      </c>
      <c r="T144" s="59">
        <f t="shared" si="142"/>
        <v>399.90063795152133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1.9595022360620109</v>
      </c>
      <c r="AA144" s="21">
        <f>EXP(-LN(2)/25)*AA143+(1-EXP(-LN(2)/25))/(LN(2)/25)*Calculateur!V144*Calculateur!X144*VLOOKUP('Données projet'!$B$9,Paramètres!$A$1:$I$89,3,0)*0.475*44/12</f>
        <v>0.97142218901744992</v>
      </c>
      <c r="AB144" s="21">
        <f>EXP(-LN(2)/2)*AB143+(1-EXP(-LN(2)/2))/(LN(2)/2)*V144*Y144*VLOOKUP('Données projet'!$B$9,Paramètres!$A$1:$I$89,3,0)*0.475*44/12</f>
        <v>2.3672433842286948E-16</v>
      </c>
      <c r="AC144" s="22">
        <f t="shared" si="111"/>
        <v>2.930924425079461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-2.3055690689943731E-13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412.59676769258488</v>
      </c>
      <c r="T145" s="59">
        <f t="shared" si="142"/>
        <v>399.90063795152133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1.9210775923911849</v>
      </c>
      <c r="AA145" s="21">
        <f>EXP(-LN(2)/25)*AA144+(1-EXP(-LN(2)/25))/(LN(2)/25)*Calculateur!V145*Calculateur!X145*VLOOKUP('Données projet'!$B$9,Paramètres!$A$1:$I$89,3,0)*0.475*44/12</f>
        <v>0.94485859817389506</v>
      </c>
      <c r="AB145" s="21">
        <f>EXP(-LN(2)/2)*AB144+(1-EXP(-LN(2)/2))/(LN(2)/2)*V145*Y145*VLOOKUP('Données projet'!$B$9,Paramètres!$A$1:$I$89,3,0)*0.475*44/12</f>
        <v>1.6738938497071019E-16</v>
      </c>
      <c r="AC145" s="22">
        <f t="shared" si="111"/>
        <v>2.8659361905650798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-2.3055690689943731E-13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412.59676769258488</v>
      </c>
      <c r="T146" s="59">
        <f t="shared" si="142"/>
        <v>399.90063795152133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1.8834064325460254</v>
      </c>
      <c r="AA146" s="21">
        <f>EXP(-LN(2)/25)*AA145+(1-EXP(-LN(2)/25))/(LN(2)/25)*Calculateur!V146*Calculateur!X146*VLOOKUP('Données projet'!$B$9,Paramètres!$A$1:$I$89,3,0)*0.475*44/12</f>
        <v>0.91902139011887574</v>
      </c>
      <c r="AB146" s="21">
        <f>EXP(-LN(2)/2)*AB145+(1-EXP(-LN(2)/2))/(LN(2)/2)*V146*Y146*VLOOKUP('Données projet'!$B$9,Paramètres!$A$1:$I$89,3,0)*0.475*44/12</f>
        <v>1.1836216921143474E-16</v>
      </c>
      <c r="AC146" s="22">
        <f t="shared" si="111"/>
        <v>2.8024278226649013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-2.3055690689943731E-13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412.59676769258488</v>
      </c>
      <c r="T147" s="59">
        <f t="shared" si="142"/>
        <v>399.90063795152133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1.8464739811682906</v>
      </c>
      <c r="AA147" s="21">
        <f>EXP(-LN(2)/25)*AA146+(1-EXP(-LN(2)/25))/(LN(2)/25)*Calculateur!V147*Calculateur!X147*VLOOKUP('Données projet'!$B$9,Paramètres!$A$1:$I$89,3,0)*0.475*44/12</f>
        <v>0.89389070187684061</v>
      </c>
      <c r="AB147" s="21">
        <f>EXP(-LN(2)/2)*AB146+(1-EXP(-LN(2)/2))/(LN(2)/2)*V147*Y147*VLOOKUP('Données projet'!$B$9,Paramètres!$A$1:$I$89,3,0)*0.475*44/12</f>
        <v>8.3694692485355096E-17</v>
      </c>
      <c r="AC147" s="22">
        <f t="shared" si="111"/>
        <v>2.7403646830451311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-2.3055690689943731E-13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412.59676769258488</v>
      </c>
      <c r="T148" s="59">
        <f t="shared" si="142"/>
        <v>399.90063795152133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1.8102657526355022</v>
      </c>
      <c r="AA148" s="21">
        <f>EXP(-LN(2)/25)*AA147+(1-EXP(-LN(2)/25))/(LN(2)/25)*Calculateur!V148*Calculateur!X148*VLOOKUP('Données projet'!$B$9,Paramètres!$A$1:$I$89,3,0)*0.475*44/12</f>
        <v>0.86944721362634936</v>
      </c>
      <c r="AB148" s="21">
        <f>EXP(-LN(2)/2)*AB147+(1-EXP(-LN(2)/2))/(LN(2)/2)*V148*Y148*VLOOKUP('Données projet'!$B$9,Paramètres!$A$1:$I$89,3,0)*0.475*44/12</f>
        <v>5.9181084605717369E-17</v>
      </c>
      <c r="AC148" s="22">
        <f t="shared" si="111"/>
        <v>2.6797129662618513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-2.3055690689943731E-13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412.59676769258488</v>
      </c>
      <c r="T149" s="59">
        <f t="shared" si="142"/>
        <v>399.90063795152133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1.774767545379403</v>
      </c>
      <c r="AA149" s="21">
        <f>EXP(-LN(2)/25)*AA148+(1-EXP(-LN(2)/25))/(LN(2)/25)*Calculateur!V149*Calculateur!X149*VLOOKUP('Données projet'!$B$9,Paramètres!$A$1:$I$89,3,0)*0.475*44/12</f>
        <v>0.84567213384749507</v>
      </c>
      <c r="AB149" s="21">
        <f>EXP(-LN(2)/2)*AB148+(1-EXP(-LN(2)/2))/(LN(2)/2)*V149*Y149*VLOOKUP('Données projet'!$B$9,Paramètres!$A$1:$I$89,3,0)*0.475*44/12</f>
        <v>4.1847346242677548E-17</v>
      </c>
      <c r="AC149" s="22">
        <f t="shared" si="111"/>
        <v>2.620439679226898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-2.3055690689943731E-13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412.59676769258488</v>
      </c>
      <c r="T150" s="59">
        <f t="shared" si="142"/>
        <v>399.90063795152133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1.7399654363158275</v>
      </c>
      <c r="AA150" s="21">
        <f>EXP(-LN(2)/25)*AA149+(1-EXP(-LN(2)/25))/(LN(2)/25)*Calculateur!V150*Calculateur!X150*VLOOKUP('Données projet'!$B$9,Paramètres!$A$1:$I$89,3,0)*0.475*44/12</f>
        <v>0.82254718487547063</v>
      </c>
      <c r="AB150" s="21">
        <f>EXP(-LN(2)/2)*AB149+(1-EXP(-LN(2)/2))/(LN(2)/2)*V150*Y150*VLOOKUP('Données projet'!$B$9,Paramètres!$A$1:$I$89,3,0)*0.475*44/12</f>
        <v>2.9590542302858685E-17</v>
      </c>
      <c r="AC150" s="22">
        <f t="shared" si="111"/>
        <v>2.5625126211912983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-2.3055690689943731E-13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412.59676769258488</v>
      </c>
      <c r="T151" s="59">
        <f t="shared" si="142"/>
        <v>399.90063795152133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1.7058457753837981</v>
      </c>
      <c r="AA151" s="21">
        <f>EXP(-LN(2)/25)*AA150+(1-EXP(-LN(2)/25))/(LN(2)/25)*Calculateur!V151*Calculateur!X151*VLOOKUP('Données projet'!$B$9,Paramètres!$A$1:$I$89,3,0)*0.475*44/12</f>
        <v>0.80005458884917435</v>
      </c>
      <c r="AB151" s="21">
        <f>EXP(-LN(2)/2)*AB150+(1-EXP(-LN(2)/2))/(LN(2)/2)*V151*Y151*VLOOKUP('Données projet'!$B$9,Paramètres!$A$1:$I$89,3,0)*0.475*44/12</f>
        <v>2.0923673121338774E-17</v>
      </c>
      <c r="AC151" s="22">
        <f t="shared" si="111"/>
        <v>2.5059003642329722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-2.3055690689943731E-13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412.59676769258488</v>
      </c>
      <c r="T152" s="59">
        <f t="shared" si="142"/>
        <v>399.90063795152133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1.6723951801917076</v>
      </c>
      <c r="AA152" s="21">
        <f>EXP(-LN(2)/25)*AA151+(1-EXP(-LN(2)/25))/(LN(2)/25)*Calculateur!V152*Calculateur!X152*VLOOKUP('Données projet'!$B$9,Paramètres!$A$1:$I$89,3,0)*0.475*44/12</f>
        <v>0.77817705404405135</v>
      </c>
      <c r="AB152" s="21">
        <f>EXP(-LN(2)/2)*AB151+(1-EXP(-LN(2)/2))/(LN(2)/2)*V152*Y152*VLOOKUP('Données projet'!$B$9,Paramètres!$A$1:$I$89,3,0)*0.475*44/12</f>
        <v>1.4795271151429342E-17</v>
      </c>
      <c r="AC152" s="22">
        <f t="shared" si="111"/>
        <v>2.450572234235759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-2.3055690689943731E-13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412.59676769258488</v>
      </c>
      <c r="T153" s="59">
        <f t="shared" si="142"/>
        <v>399.90063795152133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1.6396005307684856</v>
      </c>
      <c r="AA153" s="21">
        <f>EXP(-LN(2)/25)*AA152+(1-EXP(-LN(2)/25))/(LN(2)/25)*Calculateur!V153*Calculateur!X153*VLOOKUP('Données projet'!$B$9,Paramètres!$A$1:$I$89,3,0)*0.475*44/12</f>
        <v>0.75689776157866406</v>
      </c>
      <c r="AB153" s="21">
        <f>EXP(-LN(2)/2)*AB152+(1-EXP(-LN(2)/2))/(LN(2)/2)*V153*Y153*VLOOKUP('Données projet'!$B$9,Paramètres!$A$1:$I$89,3,0)*0.475*44/12</f>
        <v>1.0461836560669387E-17</v>
      </c>
      <c r="AC153" s="22">
        <f t="shared" si="111"/>
        <v>2.3964982923471494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-2.3055690689943731E-13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412.59676769258488</v>
      </c>
      <c r="T154" s="59">
        <f t="shared" si="142"/>
        <v>399.90063795152133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1.6074489644176919</v>
      </c>
      <c r="AA154" s="21">
        <f>EXP(-LN(2)/25)*AA153+(1-EXP(-LN(2)/25))/(LN(2)/25)*Calculateur!V154*Calculateur!X154*VLOOKUP('Données projet'!$B$9,Paramètres!$A$1:$I$89,3,0)*0.475*44/12</f>
        <v>0.73620035248477211</v>
      </c>
      <c r="AB154" s="21">
        <f>EXP(-LN(2)/2)*AB153+(1-EXP(-LN(2)/2))/(LN(2)/2)*V154*Y154*VLOOKUP('Données projet'!$B$9,Paramètres!$A$1:$I$89,3,0)*0.475*44/12</f>
        <v>7.3976355757146711E-18</v>
      </c>
      <c r="AC154" s="22">
        <f t="shared" ref="AC154:AC203" si="163">SUM(Z154:AB154)</f>
        <v>2.3436493169024639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-2.3055690689943731E-13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412.59676769258488</v>
      </c>
      <c r="T155" s="59">
        <f t="shared" si="142"/>
        <v>399.90063795152133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1.5759278706725182</v>
      </c>
      <c r="AA155" s="21">
        <f>EXP(-LN(2)/25)*AA154+(1-EXP(-LN(2)/25))/(LN(2)/25)*Calculateur!V155*Calculateur!X155*VLOOKUP('Données projet'!$B$9,Paramètres!$A$1:$I$89,3,0)*0.475*44/12</f>
        <v>0.71606891513098214</v>
      </c>
      <c r="AB155" s="21">
        <f>EXP(-LN(2)/2)*AB154+(1-EXP(-LN(2)/2))/(LN(2)/2)*V155*Y155*VLOOKUP('Données projet'!$B$9,Paramètres!$A$1:$I$89,3,0)*0.475*44/12</f>
        <v>5.2309182803346935E-18</v>
      </c>
      <c r="AC155" s="22">
        <f t="shared" si="163"/>
        <v>2.2919967858035002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-2.3055690689943731E-13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412.59676769258488</v>
      </c>
      <c r="T156" s="59">
        <f t="shared" si="142"/>
        <v>399.90063795152133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1.5450248863497185</v>
      </c>
      <c r="AA156" s="21">
        <f>EXP(-LN(2)/25)*AA155+(1-EXP(-LN(2)/25))/(LN(2)/25)*Calculateur!V156*Calculateur!X156*VLOOKUP('Données projet'!$B$9,Paramètres!$A$1:$I$89,3,0)*0.475*44/12</f>
        <v>0.69648797299029774</v>
      </c>
      <c r="AB156" s="21">
        <f>EXP(-LN(2)/2)*AB155+(1-EXP(-LN(2)/2))/(LN(2)/2)*V156*Y156*VLOOKUP('Données projet'!$B$9,Paramètres!$A$1:$I$89,3,0)*0.475*44/12</f>
        <v>3.6988177878573356E-18</v>
      </c>
      <c r="AC156" s="22">
        <f t="shared" si="163"/>
        <v>2.2415128593400162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-2.3055690689943731E-13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412.59676769258488</v>
      </c>
      <c r="T157" s="59">
        <f t="shared" si="142"/>
        <v>399.90063795152133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1.5147278907005297</v>
      </c>
      <c r="AA157" s="21">
        <f>EXP(-LN(2)/25)*AA156+(1-EXP(-LN(2)/25))/(LN(2)/25)*Calculateur!V157*Calculateur!X157*VLOOKUP('Données projet'!$B$9,Paramètres!$A$1:$I$89,3,0)*0.475*44/12</f>
        <v>0.6774424727421674</v>
      </c>
      <c r="AB157" s="21">
        <f>EXP(-LN(2)/2)*AB156+(1-EXP(-LN(2)/2))/(LN(2)/2)*V157*Y157*VLOOKUP('Données projet'!$B$9,Paramètres!$A$1:$I$89,3,0)*0.475*44/12</f>
        <v>2.6154591401673468E-18</v>
      </c>
      <c r="AC157" s="22">
        <f t="shared" si="163"/>
        <v>2.1921703634426972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-2.3055690689943731E-13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412.59676769258488</v>
      </c>
      <c r="T158" s="59">
        <f t="shared" si="142"/>
        <v>399.90063795152133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1.4850250006566788</v>
      </c>
      <c r="AA158" s="21">
        <f>EXP(-LN(2)/25)*AA157+(1-EXP(-LN(2)/25))/(LN(2)/25)*Calculateur!V158*Calculateur!X158*VLOOKUP('Données projet'!$B$9,Paramètres!$A$1:$I$89,3,0)*0.475*44/12</f>
        <v>0.6589177726998815</v>
      </c>
      <c r="AB158" s="21">
        <f>EXP(-LN(2)/2)*AB157+(1-EXP(-LN(2)/2))/(LN(2)/2)*V158*Y158*VLOOKUP('Données projet'!$B$9,Paramètres!$A$1:$I$89,3,0)*0.475*44/12</f>
        <v>1.8494088939286678E-18</v>
      </c>
      <c r="AC158" s="22">
        <f t="shared" si="163"/>
        <v>2.1439427733565601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-2.3055690689943731E-13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412.59676769258488</v>
      </c>
      <c r="T159" s="59">
        <f t="shared" si="142"/>
        <v>399.90063795152133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1.4559045661696137</v>
      </c>
      <c r="AA159" s="21">
        <f>EXP(-LN(2)/25)*AA158+(1-EXP(-LN(2)/25))/(LN(2)/25)*Calculateur!V159*Calculateur!X159*VLOOKUP('Données projet'!$B$9,Paramètres!$A$1:$I$89,3,0)*0.475*44/12</f>
        <v>0.64089963155442353</v>
      </c>
      <c r="AB159" s="21">
        <f>EXP(-LN(2)/2)*AB158+(1-EXP(-LN(2)/2))/(LN(2)/2)*V159*Y159*VLOOKUP('Données projet'!$B$9,Paramètres!$A$1:$I$89,3,0)*0.475*44/12</f>
        <v>1.3077295700836734E-18</v>
      </c>
      <c r="AC159" s="22">
        <f t="shared" si="163"/>
        <v>2.0968041977240373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-2.3055690689943731E-13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412.59676769258488</v>
      </c>
      <c r="T160" s="59">
        <f t="shared" si="142"/>
        <v>399.90063795152133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1.4273551656411287</v>
      </c>
      <c r="AA160" s="21">
        <f>EXP(-LN(2)/25)*AA159+(1-EXP(-LN(2)/25))/(LN(2)/25)*Calculateur!V160*Calculateur!X160*VLOOKUP('Données projet'!$B$9,Paramètres!$A$1:$I$89,3,0)*0.475*44/12</f>
        <v>0.62337419742612099</v>
      </c>
      <c r="AB160" s="21">
        <f>EXP(-LN(2)/2)*AB159+(1-EXP(-LN(2)/2))/(LN(2)/2)*V160*Y160*VLOOKUP('Données projet'!$B$9,Paramètres!$A$1:$I$89,3,0)*0.475*44/12</f>
        <v>9.2470444696433389E-19</v>
      </c>
      <c r="AC160" s="22">
        <f t="shared" si="163"/>
        <v>2.0507293630672496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-2.3055690689943731E-13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412.59676769258488</v>
      </c>
      <c r="T161" s="59">
        <f t="shared" si="142"/>
        <v>399.90063795152133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1.3993656014435927</v>
      </c>
      <c r="AA161" s="21">
        <f>EXP(-LN(2)/25)*AA160+(1-EXP(-LN(2)/25))/(LN(2)/25)*Calculateur!V161*Calculateur!X161*VLOOKUP('Données projet'!$B$9,Paramètres!$A$1:$I$89,3,0)*0.475*44/12</f>
        <v>0.60632799721567943</v>
      </c>
      <c r="AB161" s="21">
        <f>EXP(-LN(2)/2)*AB160+(1-EXP(-LN(2)/2))/(LN(2)/2)*V161*Y161*VLOOKUP('Données projet'!$B$9,Paramètres!$A$1:$I$89,3,0)*0.475*44/12</f>
        <v>6.5386478504183669E-19</v>
      </c>
      <c r="AC161" s="22">
        <f t="shared" si="163"/>
        <v>2.0056935986592723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-2.3055690689943731E-13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412.59676769258488</v>
      </c>
      <c r="T162" s="59">
        <f t="shared" si="142"/>
        <v>399.90063795152133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1.3719248955280217</v>
      </c>
      <c r="AA162" s="21">
        <f>EXP(-LN(2)/25)*AA161+(1-EXP(-LN(2)/25))/(LN(2)/25)*Calculateur!V162*Calculateur!X162*VLOOKUP('Données projet'!$B$9,Paramètres!$A$1:$I$89,3,0)*0.475*44/12</f>
        <v>0.58974792624641303</v>
      </c>
      <c r="AB162" s="21">
        <f>EXP(-LN(2)/2)*AB161+(1-EXP(-LN(2)/2))/(LN(2)/2)*V162*Y162*VLOOKUP('Données projet'!$B$9,Paramètres!$A$1:$I$89,3,0)*0.475*44/12</f>
        <v>4.6235222348216695E-19</v>
      </c>
      <c r="AC162" s="22">
        <f t="shared" si="163"/>
        <v>1.9616728217744348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-2.3055690689943731E-13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412.59676769258488</v>
      </c>
      <c r="T163" s="59">
        <f t="shared" si="142"/>
        <v>399.90063795152133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1.3450222851182771</v>
      </c>
      <c r="AA163" s="21">
        <f>EXP(-LN(2)/25)*AA162+(1-EXP(-LN(2)/25))/(LN(2)/25)*Calculateur!V163*Calculateur!X163*VLOOKUP('Données projet'!$B$9,Paramètres!$A$1:$I$89,3,0)*0.475*44/12</f>
        <v>0.57362123818970934</v>
      </c>
      <c r="AB163" s="21">
        <f>EXP(-LN(2)/2)*AB162+(1-EXP(-LN(2)/2))/(LN(2)/2)*V163*Y163*VLOOKUP('Données projet'!$B$9,Paramètres!$A$1:$I$89,3,0)*0.475*44/12</f>
        <v>3.2693239252091835E-19</v>
      </c>
      <c r="AC163" s="22">
        <f t="shared" si="163"/>
        <v>1.9186435233079866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-2.3055690689943731E-13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412.59676769258488</v>
      </c>
      <c r="T164" s="59">
        <f t="shared" si="142"/>
        <v>399.90063795152133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1.3186472184896956</v>
      </c>
      <c r="AA164" s="21">
        <f>EXP(-LN(2)/25)*AA163+(1-EXP(-LN(2)/25))/(LN(2)/25)*Calculateur!V164*Calculateur!X164*VLOOKUP('Données projet'!$B$9,Paramètres!$A$1:$I$89,3,0)*0.475*44/12</f>
        <v>0.55793553526598183</v>
      </c>
      <c r="AB164" s="21">
        <f>EXP(-LN(2)/2)*AB163+(1-EXP(-LN(2)/2))/(LN(2)/2)*V164*Y164*VLOOKUP('Données projet'!$B$9,Paramètres!$A$1:$I$89,3,0)*0.475*44/12</f>
        <v>2.3117611174108347E-19</v>
      </c>
      <c r="AC164" s="22">
        <f t="shared" si="163"/>
        <v>1.8765827537556774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-2.3055690689943731E-13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412.59676769258488</v>
      </c>
      <c r="T165" s="59">
        <f t="shared" si="142"/>
        <v>399.90063795152133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1.2927893508304984</v>
      </c>
      <c r="AA165" s="21">
        <f>EXP(-LN(2)/25)*AA164+(1-EXP(-LN(2)/25))/(LN(2)/25)*Calculateur!V165*Calculateur!X165*VLOOKUP('Données projet'!$B$9,Paramètres!$A$1:$I$89,3,0)*0.475*44/12</f>
        <v>0.54267875871357896</v>
      </c>
      <c r="AB165" s="21">
        <f>EXP(-LN(2)/2)*AB164+(1-EXP(-LN(2)/2))/(LN(2)/2)*V165*Y165*VLOOKUP('Données projet'!$B$9,Paramètres!$A$1:$I$89,3,0)*0.475*44/12</f>
        <v>1.6346619626045917E-19</v>
      </c>
      <c r="AC165" s="22">
        <f t="shared" si="163"/>
        <v>1.8354681095440775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-2.3055690689943731E-13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412.59676769258488</v>
      </c>
      <c r="T166" s="59">
        <f t="shared" si="142"/>
        <v>399.90063795152133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1.267438540184356</v>
      </c>
      <c r="AA166" s="21">
        <f>EXP(-LN(2)/25)*AA165+(1-EXP(-LN(2)/25))/(LN(2)/25)*Calculateur!V166*Calculateur!X166*VLOOKUP('Données projet'!$B$9,Paramètres!$A$1:$I$89,3,0)*0.475*44/12</f>
        <v>0.52783917951832049</v>
      </c>
      <c r="AB166" s="21">
        <f>EXP(-LN(2)/2)*AB165+(1-EXP(-LN(2)/2))/(LN(2)/2)*V166*Y166*VLOOKUP('Données projet'!$B$9,Paramètres!$A$1:$I$89,3,0)*0.475*44/12</f>
        <v>1.1558805587054174E-19</v>
      </c>
      <c r="AC166" s="22">
        <f t="shared" si="163"/>
        <v>1.7952777197026766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-2.3055690689943731E-13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412.59676769258488</v>
      </c>
      <c r="T167" s="59">
        <f t="shared" si="142"/>
        <v>399.90063795152133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1.2425848434725169</v>
      </c>
      <c r="AA167" s="21">
        <f>EXP(-LN(2)/25)*AA166+(1-EXP(-LN(2)/25))/(LN(2)/25)*Calculateur!V167*Calculateur!X167*VLOOKUP('Données projet'!$B$9,Paramètres!$A$1:$I$89,3,0)*0.475*44/12</f>
        <v>0.51340538939653591</v>
      </c>
      <c r="AB167" s="21">
        <f>EXP(-LN(2)/2)*AB166+(1-EXP(-LN(2)/2))/(LN(2)/2)*V167*Y167*VLOOKUP('Données projet'!$B$9,Paramètres!$A$1:$I$89,3,0)*0.475*44/12</f>
        <v>8.1733098130229586E-20</v>
      </c>
      <c r="AC167" s="22">
        <f t="shared" si="163"/>
        <v>1.7559902328690526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-2.3055690689943731E-13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412.59676769258488</v>
      </c>
      <c r="T168" s="59">
        <f t="shared" si="142"/>
        <v>399.90063795152133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1.2182185125939387</v>
      </c>
      <c r="AA168" s="21">
        <f>EXP(-LN(2)/25)*AA167+(1-EXP(-LN(2)/25))/(LN(2)/25)*Calculateur!V168*Calculateur!X168*VLOOKUP('Données projet'!$B$9,Paramètres!$A$1:$I$89,3,0)*0.475*44/12</f>
        <v>0.49936629202467159</v>
      </c>
      <c r="AB168" s="21">
        <f>EXP(-LN(2)/2)*AB167+(1-EXP(-LN(2)/2))/(LN(2)/2)*V168*Y168*VLOOKUP('Données projet'!$B$9,Paramètres!$A$1:$I$89,3,0)*0.475*44/12</f>
        <v>5.7794027935270868E-20</v>
      </c>
      <c r="AC168" s="22">
        <f t="shared" si="163"/>
        <v>1.7175848046186102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-2.3055690689943731E-13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412.59676769258488</v>
      </c>
      <c r="T169" s="59">
        <f t="shared" si="142"/>
        <v>399.90063795152133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1.1943299906018952</v>
      </c>
      <c r="AA169" s="21">
        <f>EXP(-LN(2)/25)*AA168+(1-EXP(-LN(2)/25))/(LN(2)/25)*Calculateur!V169*Calculateur!X169*VLOOKUP('Données projet'!$B$9,Paramètres!$A$1:$I$89,3,0)*0.475*44/12</f>
        <v>0.48571109450872496</v>
      </c>
      <c r="AB169" s="21">
        <f>EXP(-LN(2)/2)*AB168+(1-EXP(-LN(2)/2))/(LN(2)/2)*V169*Y169*VLOOKUP('Données projet'!$B$9,Paramètres!$A$1:$I$89,3,0)*0.475*44/12</f>
        <v>4.0866549065114793E-20</v>
      </c>
      <c r="AC169" s="22">
        <f t="shared" si="163"/>
        <v>1.68004108511062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-2.3055690689943731E-13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412.59676769258488</v>
      </c>
      <c r="T170" s="59">
        <f t="shared" si="142"/>
        <v>399.90063795152133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1.1709099079555558</v>
      </c>
      <c r="AA170" s="21">
        <f>EXP(-LN(2)/25)*AA169+(1-EXP(-LN(2)/25))/(LN(2)/25)*Calculateur!V170*Calculateur!X170*VLOOKUP('Données projet'!$B$9,Paramètres!$A$1:$I$89,3,0)*0.475*44/12</f>
        <v>0.47242929908694753</v>
      </c>
      <c r="AB170" s="21">
        <f>EXP(-LN(2)/2)*AB169+(1-EXP(-LN(2)/2))/(LN(2)/2)*V170*Y170*VLOOKUP('Données projet'!$B$9,Paramètres!$A$1:$I$89,3,0)*0.475*44/12</f>
        <v>2.8897013967635434E-20</v>
      </c>
      <c r="AC170" s="22">
        <f t="shared" si="163"/>
        <v>1.6433392070425032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-2.3055690689943731E-13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412.59676769258488</v>
      </c>
      <c r="T171" s="59">
        <f t="shared" si="142"/>
        <v>399.90063795152133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1.1479490788450715</v>
      </c>
      <c r="AA171" s="21">
        <f>EXP(-LN(2)/25)*AA170+(1-EXP(-LN(2)/25))/(LN(2)/25)*Calculateur!V171*Calculateur!X171*VLOOKUP('Données projet'!$B$9,Paramètres!$A$1:$I$89,3,0)*0.475*44/12</f>
        <v>0.45951069505943787</v>
      </c>
      <c r="AB171" s="21">
        <f>EXP(-LN(2)/2)*AB170+(1-EXP(-LN(2)/2))/(LN(2)/2)*V171*Y171*VLOOKUP('Données projet'!$B$9,Paramètres!$A$1:$I$89,3,0)*0.475*44/12</f>
        <v>2.0433274532557397E-20</v>
      </c>
      <c r="AC171" s="22">
        <f t="shared" si="163"/>
        <v>1.6074597739045093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-2.3055690689943731E-13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412.59676769258488</v>
      </c>
      <c r="T172" s="59">
        <f t="shared" si="142"/>
        <v>399.90063795152133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1.1254384975887206</v>
      </c>
      <c r="AA172" s="21">
        <f>EXP(-LN(2)/25)*AA171+(1-EXP(-LN(2)/25))/(LN(2)/25)*Calculateur!V172*Calculateur!X172*VLOOKUP('Données projet'!$B$9,Paramètres!$A$1:$I$89,3,0)*0.475*44/12</f>
        <v>0.4469453509384203</v>
      </c>
      <c r="AB172" s="21">
        <f>EXP(-LN(2)/2)*AB171+(1-EXP(-LN(2)/2))/(LN(2)/2)*V172*Y172*VLOOKUP('Données projet'!$B$9,Paramètres!$A$1:$I$89,3,0)*0.475*44/12</f>
        <v>1.4448506983817717E-20</v>
      </c>
      <c r="AC172" s="22">
        <f t="shared" si="163"/>
        <v>1.5723838485271409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-2.3055690689943731E-13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412.59676769258488</v>
      </c>
      <c r="T173" s="59">
        <f t="shared" si="142"/>
        <v>399.90063795152133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1.1033693351007081</v>
      </c>
      <c r="AA173" s="21">
        <f>EXP(-LN(2)/25)*AA172+(1-EXP(-LN(2)/25))/(LN(2)/25)*Calculateur!V173*Calculateur!X173*VLOOKUP('Données projet'!$B$9,Paramètres!$A$1:$I$89,3,0)*0.475*44/12</f>
        <v>0.43472360681317468</v>
      </c>
      <c r="AB173" s="21">
        <f>EXP(-LN(2)/2)*AB172+(1-EXP(-LN(2)/2))/(LN(2)/2)*V173*Y173*VLOOKUP('Données projet'!$B$9,Paramètres!$A$1:$I$89,3,0)*0.475*44/12</f>
        <v>1.0216637266278698E-20</v>
      </c>
      <c r="AC173" s="22">
        <f t="shared" si="163"/>
        <v>1.5380929419138827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-2.3055690689943731E-13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412.59676769258488</v>
      </c>
      <c r="T174" s="59">
        <f t="shared" si="142"/>
        <v>399.90063795152133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1.0817329354282255</v>
      </c>
      <c r="AA174" s="21">
        <f>EXP(-LN(2)/25)*AA173+(1-EXP(-LN(2)/25))/(LN(2)/25)*Calculateur!V174*Calculateur!X174*VLOOKUP('Données projet'!$B$9,Paramètres!$A$1:$I$89,3,0)*0.475*44/12</f>
        <v>0.42283606692374753</v>
      </c>
      <c r="AB174" s="21">
        <f>EXP(-LN(2)/2)*AB173+(1-EXP(-LN(2)/2))/(LN(2)/2)*V174*Y174*VLOOKUP('Données projet'!$B$9,Paramètres!$A$1:$I$89,3,0)*0.475*44/12</f>
        <v>7.2242534919088585E-21</v>
      </c>
      <c r="AC174" s="22">
        <f t="shared" si="163"/>
        <v>1.5045690023519729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-2.3055690689943731E-13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412.59676769258488</v>
      </c>
      <c r="T175" s="59">
        <f t="shared" si="142"/>
        <v>399.90063795152133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1.0605208123564196</v>
      </c>
      <c r="AA175" s="21">
        <f>EXP(-LN(2)/25)*AA174+(1-EXP(-LN(2)/25))/(LN(2)/25)*Calculateur!V175*Calculateur!X175*VLOOKUP('Données projet'!$B$9,Paramètres!$A$1:$I$89,3,0)*0.475*44/12</f>
        <v>0.41127359243773531</v>
      </c>
      <c r="AB175" s="21">
        <f>EXP(-LN(2)/2)*AB174+(1-EXP(-LN(2)/2))/(LN(2)/2)*V175*Y175*VLOOKUP('Données projet'!$B$9,Paramètres!$A$1:$I$89,3,0)*0.475*44/12</f>
        <v>5.1083186331393491E-21</v>
      </c>
      <c r="AC175" s="22">
        <f t="shared" si="163"/>
        <v>1.4717944047941549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-2.3055690689943731E-13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412.59676769258488</v>
      </c>
      <c r="T176" s="59">
        <f t="shared" si="142"/>
        <v>399.90063795152133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1.0397246460799343</v>
      </c>
      <c r="AA176" s="21">
        <f>EXP(-LN(2)/25)*AA175+(1-EXP(-LN(2)/25))/(LN(2)/25)*Calculateur!V176*Calculateur!X176*VLOOKUP('Données projet'!$B$9,Paramètres!$A$1:$I$89,3,0)*0.475*44/12</f>
        <v>0.40002729442458718</v>
      </c>
      <c r="AB176" s="21">
        <f>EXP(-LN(2)/2)*AB175+(1-EXP(-LN(2)/2))/(LN(2)/2)*V176*Y176*VLOOKUP('Données projet'!$B$9,Paramètres!$A$1:$I$89,3,0)*0.475*44/12</f>
        <v>3.6121267459544293E-21</v>
      </c>
      <c r="AC176" s="22">
        <f t="shared" si="163"/>
        <v>1.4397519405045216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-2.3055690689943731E-13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412.59676769258488</v>
      </c>
      <c r="T177" s="59">
        <f t="shared" si="142"/>
        <v>399.90063795152133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1.0193362799397219</v>
      </c>
      <c r="AA177" s="21">
        <f>EXP(-LN(2)/25)*AA176+(1-EXP(-LN(2)/25))/(LN(2)/25)*Calculateur!V177*Calculateur!X177*VLOOKUP('Données projet'!$B$9,Paramètres!$A$1:$I$89,3,0)*0.475*44/12</f>
        <v>0.38908852702202568</v>
      </c>
      <c r="AB177" s="21">
        <f>EXP(-LN(2)/2)*AB176+(1-EXP(-LN(2)/2))/(LN(2)/2)*V177*Y177*VLOOKUP('Données projet'!$B$9,Paramètres!$A$1:$I$89,3,0)*0.475*44/12</f>
        <v>2.5541593165696746E-21</v>
      </c>
      <c r="AC177" s="22">
        <f t="shared" si="163"/>
        <v>1.4084248069617475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-2.3055690689943731E-13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412.59676769258488</v>
      </c>
      <c r="T178" s="59">
        <f t="shared" si="142"/>
        <v>399.90063795152133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0.99934771722384352</v>
      </c>
      <c r="AA178" s="21">
        <f>EXP(-LN(2)/25)*AA177+(1-EXP(-LN(2)/25))/(LN(2)/25)*Calculateur!V178*Calculateur!X178*VLOOKUP('Données projet'!$B$9,Paramètres!$A$1:$I$89,3,0)*0.475*44/12</f>
        <v>0.37844888078933203</v>
      </c>
      <c r="AB178" s="21">
        <f>EXP(-LN(2)/2)*AB177+(1-EXP(-LN(2)/2))/(LN(2)/2)*V178*Y178*VLOOKUP('Données projet'!$B$9,Paramètres!$A$1:$I$89,3,0)*0.475*44/12</f>
        <v>1.8060633729772146E-21</v>
      </c>
      <c r="AC178" s="22">
        <f t="shared" si="163"/>
        <v>1.3777965980131754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-2.3055690689943731E-13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412.59676769258488</v>
      </c>
      <c r="T179" s="59">
        <f t="shared" si="142"/>
        <v>399.90063795152133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0.97975111803100423</v>
      </c>
      <c r="AA179" s="21">
        <f>EXP(-LN(2)/25)*AA178+(1-EXP(-LN(2)/25))/(LN(2)/25)*Calculateur!V179*Calculateur!X179*VLOOKUP('Données projet'!$B$9,Paramètres!$A$1:$I$89,3,0)*0.475*44/12</f>
        <v>0.36810017624238606</v>
      </c>
      <c r="AB179" s="21">
        <f>EXP(-LN(2)/2)*AB178+(1-EXP(-LN(2)/2))/(LN(2)/2)*V179*Y179*VLOOKUP('Données projet'!$B$9,Paramètres!$A$1:$I$89,3,0)*0.475*44/12</f>
        <v>1.2770796582848373E-21</v>
      </c>
      <c r="AC179" s="22">
        <f t="shared" si="163"/>
        <v>1.3478512942733902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-2.3055690689943731E-13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412.59676769258488</v>
      </c>
      <c r="T180" s="59">
        <f t="shared" si="142"/>
        <v>399.90063795152133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0.96053879619559124</v>
      </c>
      <c r="AA180" s="21">
        <f>EXP(-LN(2)/25)*AA179+(1-EXP(-LN(2)/25))/(LN(2)/25)*Calculateur!V180*Calculateur!X180*VLOOKUP('Données projet'!$B$9,Paramètres!$A$1:$I$89,3,0)*0.475*44/12</f>
        <v>0.35803445756549107</v>
      </c>
      <c r="AB180" s="21">
        <f>EXP(-LN(2)/2)*AB179+(1-EXP(-LN(2)/2))/(LN(2)/2)*V180*Y180*VLOOKUP('Données projet'!$B$9,Paramètres!$A$1:$I$89,3,0)*0.475*44/12</f>
        <v>9.0303168648860732E-22</v>
      </c>
      <c r="AC180" s="22">
        <f t="shared" si="163"/>
        <v>1.3185732537610824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-2.3055690689943731E-13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412.59676769258488</v>
      </c>
      <c r="T181" s="59">
        <f t="shared" si="142"/>
        <v>399.90063795152133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0.94170321627301146</v>
      </c>
      <c r="AA181" s="21">
        <f>EXP(-LN(2)/25)*AA180+(1-EXP(-LN(2)/25))/(LN(2)/25)*Calculateur!V181*Calculateur!X181*VLOOKUP('Données projet'!$B$9,Paramètres!$A$1:$I$89,3,0)*0.475*44/12</f>
        <v>0.34824398649514887</v>
      </c>
      <c r="AB181" s="21">
        <f>EXP(-LN(2)/2)*AB180+(1-EXP(-LN(2)/2))/(LN(2)/2)*V181*Y181*VLOOKUP('Données projet'!$B$9,Paramètres!$A$1:$I$89,3,0)*0.475*44/12</f>
        <v>6.3853982914241864E-22</v>
      </c>
      <c r="AC181" s="22">
        <f t="shared" si="163"/>
        <v>1.2899472027681602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-2.3055690689943731E-13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412.59676769258488</v>
      </c>
      <c r="T182" s="59">
        <f t="shared" si="142"/>
        <v>399.90063795152133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0.9232369905841441</v>
      </c>
      <c r="AA182" s="21">
        <f>EXP(-LN(2)/25)*AA181+(1-EXP(-LN(2)/25))/(LN(2)/25)*Calculateur!V182*Calculateur!X182*VLOOKUP('Données projet'!$B$9,Paramètres!$A$1:$I$89,3,0)*0.475*44/12</f>
        <v>0.3387212363710837</v>
      </c>
      <c r="AB182" s="21">
        <f>EXP(-LN(2)/2)*AB181+(1-EXP(-LN(2)/2))/(LN(2)/2)*V182*Y182*VLOOKUP('Données projet'!$B$9,Paramètres!$A$1:$I$89,3,0)*0.475*44/12</f>
        <v>4.5151584324430366E-22</v>
      </c>
      <c r="AC182" s="22">
        <f t="shared" si="163"/>
        <v>1.2619582269552279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-2.3055690689943731E-13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412.59676769258488</v>
      </c>
      <c r="T183" s="59">
        <f t="shared" si="142"/>
        <v>399.90063795152133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0.90513287631774997</v>
      </c>
      <c r="AA183" s="21">
        <f>EXP(-LN(2)/25)*AA182+(1-EXP(-LN(2)/25))/(LN(2)/25)*Calculateur!V183*Calculateur!X183*VLOOKUP('Données projet'!$B$9,Paramètres!$A$1:$I$89,3,0)*0.475*44/12</f>
        <v>0.32945888634994075</v>
      </c>
      <c r="AB183" s="21">
        <f>EXP(-LN(2)/2)*AB182+(1-EXP(-LN(2)/2))/(LN(2)/2)*V183*Y183*VLOOKUP('Données projet'!$B$9,Paramètres!$A$1:$I$89,3,0)*0.475*44/12</f>
        <v>3.1926991457120932E-22</v>
      </c>
      <c r="AC183" s="22">
        <f t="shared" si="163"/>
        <v>1.2345917626676908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-2.3055690689943731E-13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412.59676769258488</v>
      </c>
      <c r="T184" s="59">
        <f t="shared" si="142"/>
        <v>399.90063795152133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0.88738377268970037</v>
      </c>
      <c r="AA184" s="21">
        <f>EXP(-LN(2)/25)*AA183+(1-EXP(-LN(2)/25))/(LN(2)/25)*Calculateur!V184*Calculateur!X184*VLOOKUP('Données projet'!$B$9,Paramètres!$A$1:$I$89,3,0)*0.475*44/12</f>
        <v>0.32044981577721177</v>
      </c>
      <c r="AB184" s="21">
        <f>EXP(-LN(2)/2)*AB183+(1-EXP(-LN(2)/2))/(LN(2)/2)*V184*Y184*VLOOKUP('Données projet'!$B$9,Paramètres!$A$1:$I$89,3,0)*0.475*44/12</f>
        <v>2.2575792162215183E-22</v>
      </c>
      <c r="AC184" s="22">
        <f t="shared" si="163"/>
        <v>1.207833588466912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-2.3055690689943731E-13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412.59676769258488</v>
      </c>
      <c r="T185" s="59">
        <f t="shared" si="142"/>
        <v>399.90063795152133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0.86998271815791262</v>
      </c>
      <c r="AA185" s="21">
        <f>EXP(-LN(2)/25)*AA184+(1-EXP(-LN(2)/25))/(LN(2)/25)*Calculateur!V185*Calculateur!X185*VLOOKUP('Données projet'!$B$9,Paramètres!$A$1:$I$89,3,0)*0.475*44/12</f>
        <v>0.3116870987130605</v>
      </c>
      <c r="AB185" s="21">
        <f>EXP(-LN(2)/2)*AB184+(1-EXP(-LN(2)/2))/(LN(2)/2)*V185*Y185*VLOOKUP('Données projet'!$B$9,Paramètres!$A$1:$I$89,3,0)*0.475*44/12</f>
        <v>1.5963495728560466E-22</v>
      </c>
      <c r="AC185" s="22">
        <f t="shared" si="163"/>
        <v>1.1816698168709732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-2.3055690689943731E-13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412.59676769258488</v>
      </c>
      <c r="T186" s="59">
        <f t="shared" si="142"/>
        <v>399.90063795152133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0.85292288769189795</v>
      </c>
      <c r="AA186" s="21">
        <f>EXP(-LN(2)/25)*AA185+(1-EXP(-LN(2)/25))/(LN(2)/25)*Calculateur!V186*Calculateur!X186*VLOOKUP('Données projet'!$B$9,Paramètres!$A$1:$I$89,3,0)*0.475*44/12</f>
        <v>0.30316399860783971</v>
      </c>
      <c r="AB186" s="21">
        <f>EXP(-LN(2)/2)*AB185+(1-EXP(-LN(2)/2))/(LN(2)/2)*V186*Y186*VLOOKUP('Données projet'!$B$9,Paramètres!$A$1:$I$89,3,0)*0.475*44/12</f>
        <v>1.1287896081107591E-22</v>
      </c>
      <c r="AC186" s="22">
        <f t="shared" si="163"/>
        <v>1.1560868862997378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-2.3055690689943731E-13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412.59676769258488</v>
      </c>
      <c r="T187" s="59">
        <f t="shared" si="142"/>
        <v>399.90063795152133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0.83619759009585271</v>
      </c>
      <c r="AA187" s="21">
        <f>EXP(-LN(2)/25)*AA186+(1-EXP(-LN(2)/25))/(LN(2)/25)*Calculateur!V187*Calculateur!X187*VLOOKUP('Données projet'!$B$9,Paramètres!$A$1:$I$89,3,0)*0.475*44/12</f>
        <v>0.29487396312320652</v>
      </c>
      <c r="AB187" s="21">
        <f>EXP(-LN(2)/2)*AB186+(1-EXP(-LN(2)/2))/(LN(2)/2)*V187*Y187*VLOOKUP('Données projet'!$B$9,Paramètres!$A$1:$I$89,3,0)*0.475*44/12</f>
        <v>7.981747864280233E-23</v>
      </c>
      <c r="AC187" s="22">
        <f t="shared" si="163"/>
        <v>1.1310715532190592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-2.3055690689943731E-13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412.59676769258488</v>
      </c>
      <c r="T188" s="59">
        <f t="shared" si="142"/>
        <v>399.90063795152133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0.81980026538424167</v>
      </c>
      <c r="AA188" s="21">
        <f>EXP(-LN(2)/25)*AA187+(1-EXP(-LN(2)/25))/(LN(2)/25)*Calculateur!V188*Calculateur!X188*VLOOKUP('Données projet'!$B$9,Paramètres!$A$1:$I$89,3,0)*0.475*44/12</f>
        <v>0.28681061909485467</v>
      </c>
      <c r="AB188" s="21">
        <f>EXP(-LN(2)/2)*AB187+(1-EXP(-LN(2)/2))/(LN(2)/2)*V188*Y188*VLOOKUP('Données projet'!$B$9,Paramètres!$A$1:$I$89,3,0)*0.475*44/12</f>
        <v>5.6439480405537957E-23</v>
      </c>
      <c r="AC188" s="22">
        <f t="shared" si="163"/>
        <v>1.1066108844790963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-2.3055690689943731E-13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412.59676769258488</v>
      </c>
      <c r="T189" s="59">
        <f t="shared" si="142"/>
        <v>399.90063795152133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0.80372448220884485</v>
      </c>
      <c r="AA189" s="21">
        <f>EXP(-LN(2)/25)*AA188+(1-EXP(-LN(2)/25))/(LN(2)/25)*Calculateur!V189*Calculateur!X189*VLOOKUP('Données projet'!$B$9,Paramètres!$A$1:$I$89,3,0)*0.475*44/12</f>
        <v>0.27896776763299092</v>
      </c>
      <c r="AB189" s="21">
        <f>EXP(-LN(2)/2)*AB188+(1-EXP(-LN(2)/2))/(LN(2)/2)*V189*Y189*VLOOKUP('Données projet'!$B$9,Paramètres!$A$1:$I$89,3,0)*0.475*44/12</f>
        <v>3.9908739321401165E-23</v>
      </c>
      <c r="AC189" s="22">
        <f t="shared" si="163"/>
        <v>1.0826922498418359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-2.3055690689943731E-13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412.59676769258488</v>
      </c>
      <c r="T190" s="59">
        <f t="shared" si="142"/>
        <v>399.90063795152133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0.78796393533625797</v>
      </c>
      <c r="AA190" s="21">
        <f>EXP(-LN(2)/25)*AA189+(1-EXP(-LN(2)/25))/(LN(2)/25)*Calculateur!V190*Calculateur!X190*VLOOKUP('Données projet'!$B$9,Paramètres!$A$1:$I$89,3,0)*0.475*44/12</f>
        <v>0.27133937935678948</v>
      </c>
      <c r="AB190" s="21">
        <f>EXP(-LN(2)/2)*AB189+(1-EXP(-LN(2)/2))/(LN(2)/2)*V190*Y190*VLOOKUP('Données projet'!$B$9,Paramètres!$A$1:$I$89,3,0)*0.475*44/12</f>
        <v>2.8219740202768979E-23</v>
      </c>
      <c r="AC190" s="22">
        <f t="shared" si="163"/>
        <v>1.0593033146930475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-2.3055690689943731E-13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412.59676769258488</v>
      </c>
      <c r="T191" s="59">
        <f t="shared" si="142"/>
        <v>399.90063795152133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0.77251244317485812</v>
      </c>
      <c r="AA191" s="21">
        <f>EXP(-LN(2)/25)*AA190+(1-EXP(-LN(2)/25))/(LN(2)/25)*Calculateur!V191*Calculateur!X191*VLOOKUP('Données projet'!$B$9,Paramètres!$A$1:$I$89,3,0)*0.475*44/12</f>
        <v>0.26391958975916024</v>
      </c>
      <c r="AB191" s="21">
        <f>EXP(-LN(2)/2)*AB190+(1-EXP(-LN(2)/2))/(LN(2)/2)*V191*Y191*VLOOKUP('Données projet'!$B$9,Paramètres!$A$1:$I$89,3,0)*0.475*44/12</f>
        <v>1.9954369660700583E-23</v>
      </c>
      <c r="AC191" s="22">
        <f t="shared" si="163"/>
        <v>1.0364320329340184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-2.3055690689943731E-13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412.59676769258488</v>
      </c>
      <c r="T192" s="59">
        <f t="shared" si="142"/>
        <v>399.90063795152133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0.75736394535026375</v>
      </c>
      <c r="AA192" s="21">
        <f>EXP(-LN(2)/25)*AA191+(1-EXP(-LN(2)/25))/(LN(2)/25)*Calculateur!V192*Calculateur!X192*VLOOKUP('Données projet'!$B$9,Paramètres!$A$1:$I$89,3,0)*0.475*44/12</f>
        <v>0.25670269469826795</v>
      </c>
      <c r="AB192" s="21">
        <f>EXP(-LN(2)/2)*AB191+(1-EXP(-LN(2)/2))/(LN(2)/2)*V192*Y192*VLOOKUP('Données projet'!$B$9,Paramètres!$A$1:$I$89,3,0)*0.475*44/12</f>
        <v>1.4109870101384489E-23</v>
      </c>
      <c r="AC192" s="22">
        <f t="shared" si="163"/>
        <v>1.0140666400485316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-2.3055690689943731E-13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412.59676769258488</v>
      </c>
      <c r="T193" s="59">
        <f t="shared" si="142"/>
        <v>399.90063795152133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0.74251250032833827</v>
      </c>
      <c r="AA193" s="21">
        <f>EXP(-LN(2)/25)*AA192+(1-EXP(-LN(2)/25))/(LN(2)/25)*Calculateur!V193*Calculateur!X193*VLOOKUP('Données projet'!$B$9,Paramètres!$A$1:$I$89,3,0)*0.475*44/12</f>
        <v>0.24968314601233579</v>
      </c>
      <c r="AB193" s="21">
        <f>EXP(-LN(2)/2)*AB192+(1-EXP(-LN(2)/2))/(LN(2)/2)*V193*Y193*VLOOKUP('Données projet'!$B$9,Paramètres!$A$1:$I$89,3,0)*0.475*44/12</f>
        <v>9.9771848303502913E-24</v>
      </c>
      <c r="AC193" s="22">
        <f t="shared" si="163"/>
        <v>0.99219564634067403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-2.3055690689943731E-13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412.59676769258488</v>
      </c>
      <c r="T194" s="59">
        <f t="shared" si="142"/>
        <v>399.90063795152133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0.72795228308480575</v>
      </c>
      <c r="AA194" s="21">
        <f>EXP(-LN(2)/25)*AA193+(1-EXP(-LN(2)/25))/(LN(2)/25)*Calculateur!V194*Calculateur!X194*VLOOKUP('Données projet'!$B$9,Paramètres!$A$1:$I$89,3,0)*0.475*44/12</f>
        <v>0.24285554725436248</v>
      </c>
      <c r="AB194" s="21">
        <f>EXP(-LN(2)/2)*AB193+(1-EXP(-LN(2)/2))/(LN(2)/2)*V194*Y194*VLOOKUP('Données projet'!$B$9,Paramètres!$A$1:$I$89,3,0)*0.475*44/12</f>
        <v>7.0549350506922447E-24</v>
      </c>
      <c r="AC194" s="22">
        <f t="shared" si="163"/>
        <v>0.97080783033916829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-2.3055690689943731E-13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412.59676769258488</v>
      </c>
      <c r="T195" s="59">
        <f t="shared" si="142"/>
        <v>399.90063795152133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0.71367758282056337</v>
      </c>
      <c r="AA195" s="21">
        <f>EXP(-LN(2)/25)*AA194+(1-EXP(-LN(2)/25))/(LN(2)/25)*Calculateur!V195*Calculateur!X195*VLOOKUP('Données projet'!$B$9,Paramètres!$A$1:$I$89,3,0)*0.475*44/12</f>
        <v>0.23621464954347376</v>
      </c>
      <c r="AB195" s="21">
        <f>EXP(-LN(2)/2)*AB194+(1-EXP(-LN(2)/2))/(LN(2)/2)*V195*Y195*VLOOKUP('Données projet'!$B$9,Paramètres!$A$1:$I$89,3,0)*0.475*44/12</f>
        <v>4.9885924151751457E-24</v>
      </c>
      <c r="AC195" s="22">
        <f t="shared" si="163"/>
        <v>0.94989223236403708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-2.3055690689943731E-13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412.59676769258488</v>
      </c>
      <c r="T196" s="59">
        <f t="shared" si="142"/>
        <v>399.90063795152133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0.69968280072179534</v>
      </c>
      <c r="AA196" s="21">
        <f>EXP(-LN(2)/25)*AA195+(1-EXP(-LN(2)/25))/(LN(2)/25)*Calculateur!V196*Calculateur!X196*VLOOKUP('Données projet'!$B$9,Paramètres!$A$1:$I$89,3,0)*0.475*44/12</f>
        <v>0.22975534752971893</v>
      </c>
      <c r="AB196" s="21">
        <f>EXP(-LN(2)/2)*AB195+(1-EXP(-LN(2)/2))/(LN(2)/2)*V196*Y196*VLOOKUP('Données projet'!$B$9,Paramètres!$A$1:$I$89,3,0)*0.475*44/12</f>
        <v>3.5274675253461223E-24</v>
      </c>
      <c r="AC196" s="22">
        <f t="shared" si="163"/>
        <v>0.92943814825151427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-2.3055690689943731E-13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412.59676769258488</v>
      </c>
      <c r="T197" s="59">
        <f t="shared" ref="T197:T203" si="204">$T$3</f>
        <v>399.90063795152133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0.68596244776400994</v>
      </c>
      <c r="AA197" s="21">
        <f>EXP(-LN(2)/25)*AA196+(1-EXP(-LN(2)/25))/(LN(2)/25)*Calculateur!V197*Calculateur!X197*VLOOKUP('Données projet'!$B$9,Paramètres!$A$1:$I$89,3,0)*0.475*44/12</f>
        <v>0.22347267546921015</v>
      </c>
      <c r="AB197" s="21">
        <f>EXP(-LN(2)/2)*AB196+(1-EXP(-LN(2)/2))/(LN(2)/2)*V197*Y197*VLOOKUP('Données projet'!$B$9,Paramètres!$A$1:$I$89,3,0)*0.475*44/12</f>
        <v>2.4942962075875728E-24</v>
      </c>
      <c r="AC197" s="22">
        <f t="shared" si="163"/>
        <v>0.90943512323322007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-2.3055690689943731E-13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412.59676769258488</v>
      </c>
      <c r="T198" s="59">
        <f t="shared" si="204"/>
        <v>399.90063795152133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0.67251114255913769</v>
      </c>
      <c r="AA198" s="21">
        <f>EXP(-LN(2)/25)*AA197+(1-EXP(-LN(2)/25))/(LN(2)/25)*Calculateur!V198*Calculateur!X198*VLOOKUP('Données projet'!$B$9,Paramètres!$A$1:$I$89,3,0)*0.475*44/12</f>
        <v>0.21736180340658734</v>
      </c>
      <c r="AB198" s="21">
        <f>EXP(-LN(2)/2)*AB197+(1-EXP(-LN(2)/2))/(LN(2)/2)*V198*Y198*VLOOKUP('Données projet'!$B$9,Paramètres!$A$1:$I$89,3,0)*0.475*44/12</f>
        <v>1.7637337626730612E-24</v>
      </c>
      <c r="AC198" s="22">
        <f t="shared" si="163"/>
        <v>0.88987294596572508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-2.3055690689943731E-13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412.59676769258488</v>
      </c>
      <c r="T199" s="59">
        <f t="shared" si="204"/>
        <v>399.90063795152133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0.6593236092448469</v>
      </c>
      <c r="AA199" s="21">
        <f>EXP(-LN(2)/25)*AA198+(1-EXP(-LN(2)/25))/(LN(2)/25)*Calculateur!V199*Calculateur!X199*VLOOKUP('Données projet'!$B$9,Paramètres!$A$1:$I$89,3,0)*0.475*44/12</f>
        <v>0.21141803346187377</v>
      </c>
      <c r="AB199" s="21">
        <f>EXP(-LN(2)/2)*AB198+(1-EXP(-LN(2)/2))/(LN(2)/2)*V199*Y199*VLOOKUP('Données projet'!$B$9,Paramètres!$A$1:$I$89,3,0)*0.475*44/12</f>
        <v>1.2471481037937864E-24</v>
      </c>
      <c r="AC199" s="22">
        <f t="shared" si="163"/>
        <v>0.87074164270672072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-2.3055690689943731E-13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412.59676769258488</v>
      </c>
      <c r="T200" s="59">
        <f t="shared" si="204"/>
        <v>399.90063795152133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0.64639467541524831</v>
      </c>
      <c r="AA200" s="21">
        <f>EXP(-LN(2)/25)*AA199+(1-EXP(-LN(2)/25))/(LN(2)/25)*Calculateur!V200*Calculateur!X200*VLOOKUP('Données projet'!$B$9,Paramètres!$A$1:$I$89,3,0)*0.475*44/12</f>
        <v>0.20563679621886766</v>
      </c>
      <c r="AB200" s="21">
        <f>EXP(-LN(2)/2)*AB199+(1-EXP(-LN(2)/2))/(LN(2)/2)*V200*Y200*VLOOKUP('Données projet'!$B$9,Paramètres!$A$1:$I$89,3,0)*0.475*44/12</f>
        <v>8.8186688133653058E-25</v>
      </c>
      <c r="AC200" s="22">
        <f t="shared" si="163"/>
        <v>0.85203147163411597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-2.3055690689943731E-13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412.59676769258488</v>
      </c>
      <c r="T201" s="59">
        <f t="shared" si="204"/>
        <v>399.90063795152133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0.63371927009217721</v>
      </c>
      <c r="AA201" s="21">
        <f>EXP(-LN(2)/25)*AA200+(1-EXP(-LN(2)/25))/(LN(2)/25)*Calculateur!V201*Calculateur!X201*VLOOKUP('Données projet'!$B$9,Paramètres!$A$1:$I$89,3,0)*0.475*44/12</f>
        <v>0.20001364721229359</v>
      </c>
      <c r="AB201" s="21">
        <f>EXP(-LN(2)/2)*AB200+(1-EXP(-LN(2)/2))/(LN(2)/2)*V201*Y201*VLOOKUP('Données projet'!$B$9,Paramètres!$A$1:$I$89,3,0)*0.475*44/12</f>
        <v>6.2357405189689321E-25</v>
      </c>
      <c r="AC201" s="22">
        <f t="shared" si="163"/>
        <v>0.83373291730447074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-2.3055690689943731E-13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412.59676769258488</v>
      </c>
      <c r="T202" s="59">
        <f t="shared" si="204"/>
        <v>399.90063795152133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0.62129242173625765</v>
      </c>
      <c r="AA202" s="21">
        <f>EXP(-LN(2)/25)*AA201+(1-EXP(-LN(2)/25))/(LN(2)/25)*Calculateur!V202*Calculateur!X202*VLOOKUP('Données projet'!$B$9,Paramètres!$A$1:$I$89,3,0)*0.475*44/12</f>
        <v>0.19454426351101284</v>
      </c>
      <c r="AB202" s="21">
        <f>EXP(-LN(2)/2)*AB201+(1-EXP(-LN(2)/2))/(LN(2)/2)*V202*Y202*VLOOKUP('Données projet'!$B$9,Paramètres!$A$1:$I$89,3,0)*0.475*44/12</f>
        <v>4.4093344066826529E-25</v>
      </c>
      <c r="AC202" s="22">
        <f t="shared" si="163"/>
        <v>0.81583668524727049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-2.3055690689943731E-13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412.59676769258488</v>
      </c>
      <c r="T203" s="59">
        <f t="shared" si="204"/>
        <v>399.90063795152133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0.60910925629696855</v>
      </c>
      <c r="AA203" s="21">
        <f>EXP(-LN(2)/25)*AA202+(1-EXP(-LN(2)/25))/(LN(2)/25)*Calculateur!V203*Calculateur!X203*VLOOKUP('Données projet'!$B$9,Paramètres!$A$1:$I$89,3,0)*0.475*44/12</f>
        <v>0.18922444039466602</v>
      </c>
      <c r="AB203" s="21">
        <f>EXP(-LN(2)/2)*AB202+(1-EXP(-LN(2)/2))/(LN(2)/2)*V203*Y203*VLOOKUP('Données projet'!$B$9,Paramètres!$A$1:$I$89,3,0)*0.475*44/12</f>
        <v>3.117870259484466E-25</v>
      </c>
      <c r="AC203" s="22">
        <f t="shared" si="163"/>
        <v>0.79833369669163456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1.3423796509621049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6" sqref="M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Noyer</v>
      </c>
      <c r="B6" s="146">
        <f>'Données projet'!D9</f>
        <v>3.2</v>
      </c>
      <c r="C6" s="147">
        <f ca="1">IF(OR('Données projet'!B9="",'Données projet'!C9="",'Données projet'!C9=0%),0,Calculateur!S3)</f>
        <v>412.59676769258488</v>
      </c>
      <c r="D6" s="147">
        <f>IF(OR('Données projet'!B9="",'Données projet'!C9="",'Données projet'!C9=0%),0,Calculateur!T3)</f>
        <v>399.90063795152133</v>
      </c>
      <c r="E6" s="147">
        <f ca="1">MIN(C6,D6)</f>
        <v>399.90063795152133</v>
      </c>
      <c r="F6" s="147">
        <f ca="1">E6*B6</f>
        <v>1279.6820414448684</v>
      </c>
      <c r="G6" s="147">
        <f ca="1">F6*(100%-'Données projet'!$C$24)*(100%-'Données projet'!$C$25)*(100%-'Données projet'!$C$26)*(100%-'Données projet'!$C$27)</f>
        <v>1151.7138373003816</v>
      </c>
      <c r="H6" s="148">
        <f>IF(OR('Données projet'!B9="",'Données projet'!C9="",'Données projet'!C9=0%),0,AVERAGE(Calculateur!$AC$3:$AC$33)*B6)</f>
        <v>49.083432035670263</v>
      </c>
      <c r="I6" s="149">
        <f>H6*(100%-'Données projet'!$C$24)*(100%-'Données projet'!$C$25)*(100%-'Données projet'!$C$26)*(100%-'Données projet'!$C$27)</f>
        <v>44.175088832103235</v>
      </c>
      <c r="J6" s="150">
        <f>IF(OR('Données projet'!B9="",'Données projet'!C9="",'Données projet'!C9=0%),0,SUM(Calculateur!$V$3:$V$33)*VLOOKUP('Données projet'!$B$9,Paramètres!$A$1:$I$89,9,0)*B6)</f>
        <v>140</v>
      </c>
      <c r="K6" s="151">
        <f>J6*(100%-'Données projet'!$C$24)*(100%-'Données projet'!$C$25)*(100%-'Données projet'!$C$26)*(100%-'Données projet'!$C$27)</f>
        <v>126</v>
      </c>
      <c r="L6" s="152">
        <f ca="1">G6+I6+K6</f>
        <v>1321.8889261324848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1279.6820414448684</v>
      </c>
      <c r="G16" s="166">
        <f t="shared" ca="1" si="3"/>
        <v>1151.7138373003816</v>
      </c>
      <c r="H16" s="167">
        <f t="shared" si="3"/>
        <v>49.083432035670263</v>
      </c>
      <c r="I16" s="167">
        <f t="shared" si="3"/>
        <v>44.175088832103235</v>
      </c>
      <c r="J16" s="168">
        <f t="shared" si="3"/>
        <v>140</v>
      </c>
      <c r="K16" s="168">
        <f t="shared" si="3"/>
        <v>126</v>
      </c>
      <c r="L16" s="169">
        <f t="shared" ca="1" si="3"/>
        <v>1321.8889261324848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Noyer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1" zoomScale="80" zoomScaleNormal="8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Noyer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247.63312467934583</v>
      </c>
      <c r="U10" s="178">
        <f>'Données projet'!D9</f>
        <v>3.2</v>
      </c>
      <c r="V10" s="177">
        <f>U10*T10</f>
        <v>792.42599897390664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Noyer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200*(4.52+2.5)</f>
        <v>1404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(2397+761+300+564+1128+3055+432+1510+300+180+200)/3.2</f>
        <v>3383.4375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10</v>
      </c>
      <c r="B23" s="181">
        <f>'Données projet'!D36</f>
        <v>7</v>
      </c>
      <c r="C23" s="193">
        <v>3</v>
      </c>
      <c r="D23" s="182">
        <f>B23*C23</f>
        <v>21</v>
      </c>
      <c r="E23" s="193"/>
      <c r="F23" s="230"/>
      <c r="H23" s="190">
        <v>3</v>
      </c>
      <c r="I23" s="191">
        <v>450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-13839.972623422109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15</v>
      </c>
      <c r="B24" s="181">
        <f>'Données projet'!D37</f>
        <v>42</v>
      </c>
      <c r="C24" s="193">
        <v>3</v>
      </c>
      <c r="D24" s="182">
        <f t="shared" ref="D24:D42" si="2">B24*C24</f>
        <v>126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361.0455188417418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42</v>
      </c>
      <c r="C25" s="193">
        <v>10</v>
      </c>
      <c r="D25" s="182">
        <f t="shared" si="2"/>
        <v>420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5</v>
      </c>
      <c r="Q25" s="234"/>
      <c r="R25" s="23"/>
      <c r="S25" s="186" t="s">
        <v>266</v>
      </c>
      <c r="T25" s="299">
        <f ca="1">T23-T24</f>
        <v>-14201.018142263851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25</v>
      </c>
      <c r="B26" s="181">
        <f>'Données projet'!D39</f>
        <v>42</v>
      </c>
      <c r="C26" s="193">
        <v>10</v>
      </c>
      <c r="D26" s="182">
        <f t="shared" si="2"/>
        <v>420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30</v>
      </c>
      <c r="B27" s="181">
        <f>'Données projet'!D40</f>
        <v>42</v>
      </c>
      <c r="C27" s="193">
        <v>20</v>
      </c>
      <c r="D27" s="182">
        <f t="shared" si="2"/>
        <v>840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35</v>
      </c>
      <c r="B28" s="181">
        <f>'Données projet'!D41</f>
        <v>42</v>
      </c>
      <c r="C28" s="193">
        <v>20</v>
      </c>
      <c r="D28" s="182">
        <f t="shared" si="2"/>
        <v>840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40</v>
      </c>
      <c r="C29" s="193">
        <v>20</v>
      </c>
      <c r="D29" s="182">
        <f t="shared" si="2"/>
        <v>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45</v>
      </c>
      <c r="B30" s="181">
        <f>'Données projet'!D43</f>
        <v>26</v>
      </c>
      <c r="C30" s="193">
        <v>20</v>
      </c>
      <c r="D30" s="182">
        <f t="shared" si="2"/>
        <v>520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112.8267246380443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50</v>
      </c>
      <c r="B31" s="181">
        <f>'Données projet'!D44</f>
        <v>21</v>
      </c>
      <c r="C31" s="193">
        <v>20</v>
      </c>
      <c r="D31" s="182">
        <f t="shared" si="2"/>
        <v>420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55</v>
      </c>
      <c r="B32" s="181">
        <f>'Données projet'!D45</f>
        <v>18</v>
      </c>
      <c r="C32" s="193">
        <v>20</v>
      </c>
      <c r="D32" s="182">
        <f t="shared" si="2"/>
        <v>360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60</v>
      </c>
      <c r="B33" s="181">
        <f>'Données projet'!D46</f>
        <v>17</v>
      </c>
      <c r="C33" s="193">
        <v>35</v>
      </c>
      <c r="D33" s="182">
        <f t="shared" si="2"/>
        <v>595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65</v>
      </c>
      <c r="B34" s="181">
        <f>'Données projet'!D47</f>
        <v>16</v>
      </c>
      <c r="C34" s="193">
        <v>35</v>
      </c>
      <c r="D34" s="182">
        <f t="shared" si="2"/>
        <v>560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4.7846889952153111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70</v>
      </c>
      <c r="B35" s="181">
        <f>'Données projet'!D48</f>
        <v>15</v>
      </c>
      <c r="C35" s="193">
        <v>35</v>
      </c>
      <c r="D35" s="182">
        <f t="shared" si="2"/>
        <v>525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4.5786497561869011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75</v>
      </c>
      <c r="B36" s="181">
        <f>'Données projet'!D49</f>
        <v>14</v>
      </c>
      <c r="C36" s="193">
        <v>35</v>
      </c>
      <c r="D36" s="182">
        <f t="shared" si="2"/>
        <v>490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4.3814830202745467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80</v>
      </c>
      <c r="B37" s="181">
        <f>'Données projet'!D50</f>
        <v>381</v>
      </c>
      <c r="C37" s="193">
        <v>40</v>
      </c>
      <c r="D37" s="182">
        <f t="shared" si="2"/>
        <v>15240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4.1928067179660742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4.0122552325034206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3.8394786913908341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3.674142288412281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3.5159256348442893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3.3645221386069757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3.2196384101502162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3.0809936939236522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2.9483193243288541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2.821358205099382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2.6998643110998879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2.5836022115788397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2.4723466139510437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2.3658819272258791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2.2640018442352914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2.1665089418519536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2.0732142984229229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1.9839371276774378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1.8985044283994628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1.8167506491860885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1.7385173676421903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1.6636529833896561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1.5920124242963221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1.523456865355332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1.4578534596701744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1.3950750810240902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1.335000077535015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1.2775120359186745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1.2224995559030383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1.1698560343569746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1.1194794587148085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1.0712722092964675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1.0251408701401603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0.98099604798101481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0.93875219902489471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0.89832746318171741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0.85964350543705037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0.82262536405459374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0.78720130531540089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0.75330268451234528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0.72086381293047408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0.68982183055547752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0.66011658426361508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0.63169051125704778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0.6044885275187063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0.5784579210705324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0.55354824982826079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0.52971124385479496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0.50690071182277041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0.48507245150504347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0.46418416411965902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0.44419537236330997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0.42506734197445939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0.40676300667412391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0.3892468963388746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0.37248506826686567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0.35644504140369926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0.34109573340066907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0.32640740038341554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0.31235157931427315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0.29890103283662522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0.2860296964943782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0.27371262822428544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0.26192596002323965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0.25064685169688006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0.23985344659988525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0.2295248292821869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0.21964098495903053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0.21018276072634506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0.20113182844626323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0.19247064923087392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0.18418243945538174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0.17625113823481511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0.16866137630125846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0.16139844622130001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0.15444827389598087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0.14779739128802002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2025-06-05T07:01:28Z</dcterms:modified>
</cp:coreProperties>
</file>