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\\GCF-FDI-FIC01\homedir$\carolina.alvespereir\Downloads\"/>
    </mc:Choice>
  </mc:AlternateContent>
  <xr:revisionPtr revIDLastSave="0" documentId="13_ncr:1_{EF117CB8-F428-4A44-BD0E-6EA74258BC15}" xr6:coauthVersionLast="47" xr6:coauthVersionMax="47" xr10:uidLastSave="{00000000-0000-0000-0000-000000000000}"/>
  <bookViews>
    <workbookView xWindow="-120" yWindow="-120" windowWidth="22290" windowHeight="134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1" i="1" l="1"/>
  <c r="D231" i="1" s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05" i="1"/>
  <c r="D205" i="1" s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79" i="1"/>
  <c r="D179" i="1" s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22" i="1"/>
  <c r="D122" i="1" s="1"/>
  <c r="B121" i="1"/>
  <c r="B120" i="1"/>
  <c r="B119" i="1"/>
  <c r="B118" i="1"/>
  <c r="B117" i="1"/>
  <c r="B116" i="1"/>
  <c r="B115" i="1"/>
  <c r="D75" i="1"/>
  <c r="D49" i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BQ4" i="2"/>
  <c r="GL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H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FQ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HI38" i="2"/>
  <c r="EA38" i="2"/>
  <c r="EW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DG43" i="2"/>
  <c r="EA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B78" i="2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A107" i="2"/>
  <c r="EB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EW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Q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B130" i="2"/>
  <c r="EW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G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EA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FR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V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EA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Y194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B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J155" i="2" l="1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AN50" i="2" l="1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FE176" i="2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<sst xmlns="http://schemas.openxmlformats.org/spreadsheetml/2006/main" count="1184" uniqueCount="325">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</sst>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6.6671761608511053</c:v>
                </c:pt>
                <c:pt idx="2">
                  <c:v>13.033663283069531</c:v>
                </c:pt>
                <c:pt idx="3">
                  <c:v>19.303042939455146</c:v>
                </c:pt>
                <c:pt idx="4">
                  <c:v>25.512563294459923</c:v>
                </c:pt>
                <c:pt idx="5">
                  <c:v>31.679106437289075</c:v>
                </c:pt>
                <c:pt idx="6">
                  <c:v>37.812302616472174</c:v>
                </c:pt>
                <c:pt idx="7">
                  <c:v>43.918360080877228</c:v>
                </c:pt>
                <c:pt idx="8">
                  <c:v>50.00160312094232</c:v>
                </c:pt>
                <c:pt idx="9">
                  <c:v>56.06521014514886</c:v>
                </c:pt>
                <c:pt idx="10">
                  <c:v>62.111611813038422</c:v>
                </c:pt>
                <c:pt idx="11">
                  <c:v>68.14272452108996</c:v>
                </c:pt>
                <c:pt idx="12">
                  <c:v>74.160096244932106</c:v>
                </c:pt>
                <c:pt idx="13">
                  <c:v>80.165002252238452</c:v>
                </c:pt>
                <c:pt idx="14">
                  <c:v>86.158510470515978</c:v>
                </c:pt>
                <c:pt idx="15">
                  <c:v>92.141527621369264</c:v>
                </c:pt>
                <c:pt idx="16">
                  <c:v>98.114832690532054</c:v>
                </c:pt>
                <c:pt idx="17">
                  <c:v>104.07910178696937</c:v>
                </c:pt>
                <c:pt idx="18">
                  <c:v>110.03492698401654</c:v>
                </c:pt>
                <c:pt idx="19">
                  <c:v>115.98283085356282</c:v>
                </c:pt>
                <c:pt idx="20">
                  <c:v>121.9232778531174</c:v>
                </c:pt>
                <c:pt idx="21">
                  <c:v>127.85668337074144</c:v>
                </c:pt>
                <c:pt idx="22">
                  <c:v>133.78342099832221</c:v>
                </c:pt>
                <c:pt idx="23">
                  <c:v>139.70382844505221</c:v>
                </c:pt>
                <c:pt idx="24">
                  <c:v>145.61821239345747</c:v>
                </c:pt>
                <c:pt idx="25">
                  <c:v>151.52685252328283</c:v>
                </c:pt>
                <c:pt idx="26">
                  <c:v>157.43000487343213</c:v>
                </c:pt>
                <c:pt idx="27">
                  <c:v>163.32790467213928</c:v>
                </c:pt>
                <c:pt idx="28">
                  <c:v>169.22076873606747</c:v>
                </c:pt>
                <c:pt idx="29">
                  <c:v>175.1087975170492</c:v>
                </c:pt>
                <c:pt idx="30">
                  <c:v>180.99217685858619</c:v>
                </c:pt>
                <c:pt idx="31">
                  <c:v>186.87107951156952</c:v>
                </c:pt>
                <c:pt idx="32">
                  <c:v>192.74566644892982</c:v>
                </c:pt>
                <c:pt idx="33">
                  <c:v>198.6160880113396</c:v>
                </c:pt>
                <c:pt idx="34">
                  <c:v>204.48248491014036</c:v>
                </c:pt>
                <c:pt idx="35">
                  <c:v>210.34498910896306</c:v>
                </c:pt>
                <c:pt idx="36">
                  <c:v>216.20372460175972</c:v>
                </c:pt>
                <c:pt idx="37">
                  <c:v>222.0588081019574</c:v>
                </c:pt>
                <c:pt idx="38">
                  <c:v>227.91034965501251</c:v>
                </c:pt>
                <c:pt idx="39">
                  <c:v>233.75845318467347</c:v>
                </c:pt>
                <c:pt idx="40">
                  <c:v>239.60321698163875</c:v>
                </c:pt>
                <c:pt idx="41">
                  <c:v>245.44473414197429</c:v>
                </c:pt>
                <c:pt idx="42">
                  <c:v>251.28309296155342</c:v>
                </c:pt>
                <c:pt idx="43">
                  <c:v>206.19277841884386</c:v>
                </c:pt>
                <c:pt idx="44">
                  <c:v>219.61962659237349</c:v>
                </c:pt>
                <c:pt idx="45">
                  <c:v>233.02762484918864</c:v>
                </c:pt>
                <c:pt idx="46">
                  <c:v>246.4180109567441</c:v>
                </c:pt>
                <c:pt idx="47">
                  <c:v>259.79187709109505</c:v>
                </c:pt>
                <c:pt idx="48">
                  <c:v>273.15019373627206</c:v>
                </c:pt>
                <c:pt idx="49">
                  <c:v>286.49382865897542</c:v>
                </c:pt>
                <c:pt idx="50">
                  <c:v>299.82356216018104</c:v>
                </c:pt>
                <c:pt idx="51">
                  <c:v>247.14791123904374</c:v>
                </c:pt>
                <c:pt idx="52">
                  <c:v>262.46475523789366</c:v>
                </c:pt>
                <c:pt idx="53">
                  <c:v>277.7614316906799</c:v>
                </c:pt>
                <c:pt idx="54">
                  <c:v>293.03920769154757</c:v>
                </c:pt>
                <c:pt idx="55">
                  <c:v>308.29920739322205</c:v>
                </c:pt>
                <c:pt idx="56">
                  <c:v>323.54243455894931</c:v>
                </c:pt>
                <c:pt idx="57">
                  <c:v>338.76979063952757</c:v>
                </c:pt>
                <c:pt idx="58">
                  <c:v>353.98208942867717</c:v>
                </c:pt>
                <c:pt idx="59">
                  <c:v>282.12838753854095</c:v>
                </c:pt>
                <c:pt idx="60">
                  <c:v>295.46258953205654</c:v>
                </c:pt>
                <c:pt idx="61">
                  <c:v>308.78337213189684</c:v>
                </c:pt>
                <c:pt idx="62">
                  <c:v>322.09139590753097</c:v>
                </c:pt>
                <c:pt idx="63">
                  <c:v>335.38726237234994</c:v>
                </c:pt>
                <c:pt idx="64">
                  <c:v>348.67152144488006</c:v>
                </c:pt>
                <c:pt idx="65">
                  <c:v>361.94467771307944</c:v>
                </c:pt>
                <c:pt idx="66">
                  <c:v>375.20719573147318</c:v>
                </c:pt>
                <c:pt idx="67">
                  <c:v>312.09138137959536</c:v>
                </c:pt>
                <c:pt idx="68">
                  <c:v>324.34850492118829</c:v>
                </c:pt>
                <c:pt idx="69">
                  <c:v>336.59539404232538</c:v>
                </c:pt>
                <c:pt idx="70">
                  <c:v>348.83247368503862</c:v>
                </c:pt>
                <c:pt idx="71">
                  <c:v>361.06013653594306</c:v>
                </c:pt>
                <c:pt idx="72">
                  <c:v>373.27874650728057</c:v>
                </c:pt>
                <c:pt idx="73">
                  <c:v>385.48864173826104</c:v>
                </c:pt>
                <c:pt idx="74">
                  <c:v>397.69013719621665</c:v>
                </c:pt>
                <c:pt idx="75">
                  <c:v>409.88352694182066</c:v>
                </c:pt>
                <c:pt idx="76">
                  <c:v>349.90544700744022</c:v>
                </c:pt>
                <c:pt idx="77">
                  <c:v>361.27457510831579</c:v>
                </c:pt>
                <c:pt idx="78">
                  <c:v>372.63588189193916</c:v>
                </c:pt>
                <c:pt idx="79">
                  <c:v>383.98963949827385</c:v>
                </c:pt>
                <c:pt idx="80">
                  <c:v>395.33610265659195</c:v>
                </c:pt>
                <c:pt idx="81">
                  <c:v>406.6755102777567</c:v>
                </c:pt>
                <c:pt idx="82">
                  <c:v>418.00808685961562</c:v>
                </c:pt>
                <c:pt idx="83">
                  <c:v>429.33404373201734</c:v>
                </c:pt>
                <c:pt idx="84">
                  <c:v>440.653580163588</c:v>
                </c:pt>
                <c:pt idx="85">
                  <c:v>382.49051003700242</c:v>
                </c:pt>
                <c:pt idx="86">
                  <c:v>393.62388679245981</c:v>
                </c:pt>
                <c:pt idx="87">
                  <c:v>404.75043799588434</c:v>
                </c:pt>
                <c:pt idx="88">
                  <c:v>415.87037777065296</c:v>
                </c:pt>
                <c:pt idx="89">
                  <c:v>426.98390785263581</c:v>
                </c:pt>
                <c:pt idx="90">
                  <c:v>438.09121861749276</c:v>
                </c:pt>
                <c:pt idx="91">
                  <c:v>449.19248999834218</c:v>
                </c:pt>
                <c:pt idx="92">
                  <c:v>460.2878923079806</c:v>
                </c:pt>
                <c:pt idx="93">
                  <c:v>471.37758697768658</c:v>
                </c:pt>
                <c:pt idx="94">
                  <c:v>415.07936541145222</c:v>
                </c:pt>
                <c:pt idx="95">
                  <c:v>426.04377568397189</c:v>
                </c:pt>
                <c:pt idx="96">
                  <c:v>437.00211770580137</c:v>
                </c:pt>
                <c:pt idx="97">
                  <c:v>447.95456512007007</c:v>
                </c:pt>
                <c:pt idx="98">
                  <c:v>458.90128238487108</c:v>
                </c:pt>
                <c:pt idx="99">
                  <c:v>469.84242547130066</c:v>
                </c:pt>
                <c:pt idx="100">
                  <c:v>480.77814249308557</c:v>
                </c:pt>
                <c:pt idx="101">
                  <c:v>491.70857427594166</c:v>
                </c:pt>
                <c:pt idx="102">
                  <c:v>502.63385487367213</c:v>
                </c:pt>
                <c:pt idx="103">
                  <c:v>513.5541120370591</c:v>
                </c:pt>
                <c:pt idx="104">
                  <c:v>452.18028418105354</c:v>
                </c:pt>
                <c:pt idx="105">
                  <c:v>463.70070669781381</c:v>
                </c:pt>
                <c:pt idx="106">
                  <c:v>475.21502577729029</c:v>
                </c:pt>
                <c:pt idx="107">
                  <c:v>486.72341015001894</c:v>
                </c:pt>
                <c:pt idx="108">
                  <c:v>498.22601991660628</c:v>
                </c:pt>
                <c:pt idx="109">
                  <c:v>509.72300718239154</c:v>
                </c:pt>
                <c:pt idx="110">
                  <c:v>521.21451663187645</c:v>
                </c:pt>
                <c:pt idx="111">
                  <c:v>532.70068604986409</c:v>
                </c:pt>
                <c:pt idx="112">
                  <c:v>544.1816467953181</c:v>
                </c:pt>
                <c:pt idx="113">
                  <c:v>555.65752423315917</c:v>
                </c:pt>
                <c:pt idx="114">
                  <c:v>487.49042873157441</c:v>
                </c:pt>
                <c:pt idx="115">
                  <c:v>499.75927317637507</c:v>
                </c:pt>
                <c:pt idx="116">
                  <c:v>512.02174279225778</c:v>
                </c:pt>
                <c:pt idx="117">
                  <c:v>524.27801174542856</c:v>
                </c:pt>
                <c:pt idx="118">
                  <c:v>536.52824539615096</c:v>
                </c:pt>
                <c:pt idx="119">
                  <c:v>548.77260093911093</c:v>
                </c:pt>
                <c:pt idx="120">
                  <c:v>561.01122798366839</c:v>
                </c:pt>
                <c:pt idx="121">
                  <c:v>573.24426908085547</c:v>
                </c:pt>
                <c:pt idx="122">
                  <c:v>585.47186020306435</c:v>
                </c:pt>
                <c:pt idx="123">
                  <c:v>597.69413118158775</c:v>
                </c:pt>
                <c:pt idx="124">
                  <c:v>520.73581128610181</c:v>
                </c:pt>
                <c:pt idx="125">
                  <c:v>531.74370597839527</c:v>
                </c:pt>
                <c:pt idx="126">
                  <c:v>542.74680721110872</c:v>
                </c:pt>
                <c:pt idx="127">
                  <c:v>553.74522585166278</c:v>
                </c:pt>
                <c:pt idx="128">
                  <c:v>564.73906800471207</c:v>
                </c:pt>
                <c:pt idx="129">
                  <c:v>575.72843530744899</c:v>
                </c:pt>
                <c:pt idx="130">
                  <c:v>586.71342520119254</c:v>
                </c:pt>
                <c:pt idx="131">
                  <c:v>597.69413118158775</c:v>
                </c:pt>
                <c:pt idx="132">
                  <c:v>608.67064302946301</c:v>
                </c:pt>
                <c:pt idx="133">
                  <c:v>619.64304702417724</c:v>
                </c:pt>
                <c:pt idx="134">
                  <c:v>630.61142614107314</c:v>
                </c:pt>
                <c:pt idx="135">
                  <c:v>641.57586023448391</c:v>
                </c:pt>
                <c:pt idx="136">
                  <c:v>561.07495608955958</c:v>
                </c:pt>
                <c:pt idx="137">
                  <c:v>572.22505898184272</c:v>
                </c:pt>
                <c:pt idx="138">
                  <c:v>583.37062513175886</c:v>
                </c:pt>
                <c:pt idx="139">
                  <c:v>594.51175341700264</c:v>
                </c:pt>
                <c:pt idx="140">
                  <c:v>605.64853870790557</c:v>
                </c:pt>
                <c:pt idx="141">
                  <c:v>616.78107210210828</c:v>
                </c:pt>
                <c:pt idx="142">
                  <c:v>627.90944114141314</c:v>
                </c:pt>
                <c:pt idx="143">
                  <c:v>639.03373001247098</c:v>
                </c:pt>
                <c:pt idx="144">
                  <c:v>650.15401973277153</c:v>
                </c:pt>
                <c:pt idx="145">
                  <c:v>661.270388323254</c:v>
                </c:pt>
                <c:pt idx="146">
                  <c:v>672.38291096870944</c:v>
                </c:pt>
                <c:pt idx="147">
                  <c:v>683.49166016703623</c:v>
                </c:pt>
                <c:pt idx="148">
                  <c:v>603.26244570587482</c:v>
                </c:pt>
                <c:pt idx="149">
                  <c:v>614.55490132345665</c:v>
                </c:pt>
                <c:pt idx="150">
                  <c:v>625.84305501667779</c:v>
                </c:pt>
                <c:pt idx="151">
                  <c:v>637.12699529231918</c:v>
                </c:pt>
                <c:pt idx="152">
                  <c:v>648.40680726747155</c:v>
                </c:pt>
                <c:pt idx="153">
                  <c:v>659.68257285730886</c:v>
                </c:pt>
                <c:pt idx="154">
                  <c:v>670.9543709493596</c:v>
                </c:pt>
                <c:pt idx="155">
                  <c:v>682.22227756546476</c:v>
                </c:pt>
                <c:pt idx="156">
                  <c:v>693.48636601248518</c:v>
                </c:pt>
                <c:pt idx="157">
                  <c:v>704.74670702271203</c:v>
                </c:pt>
                <c:pt idx="158">
                  <c:v>716.00336888484344</c:v>
                </c:pt>
                <c:pt idx="159">
                  <c:v>727.25641756629886</c:v>
                </c:pt>
                <c:pt idx="160">
                  <c:v>649.20100677344124</c:v>
                </c:pt>
                <c:pt idx="161">
                  <c:v>660.63527156703651</c:v>
                </c:pt>
                <c:pt idx="162">
                  <c:v>672.06546302674553</c:v>
                </c:pt>
                <c:pt idx="163">
                  <c:v>683.49166016703657</c:v>
                </c:pt>
                <c:pt idx="164">
                  <c:v>694.91393914623552</c:v>
                </c:pt>
                <c:pt idx="165">
                  <c:v>706.3323734160025</c:v>
                </c:pt>
                <c:pt idx="166">
                  <c:v>717.74703386064641</c:v>
                </c:pt>
                <c:pt idx="167">
                  <c:v>729.15798892711973</c:v>
                </c:pt>
                <c:pt idx="168">
                  <c:v>740.56530474645842</c:v>
                </c:pt>
                <c:pt idx="169">
                  <c:v>751.96904524735544</c:v>
                </c:pt>
                <c:pt idx="170">
                  <c:v>763.36927226249054</c:v>
                </c:pt>
                <c:pt idx="171">
                  <c:v>774.76604562818238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7.4431958650460386</c:v>
                </c:pt>
                <c:pt idx="2">
                  <c:v>14.553852518063183</c:v>
                </c:pt>
                <c:pt idx="3">
                  <c:v>21.557115698019228</c:v>
                </c:pt>
                <c:pt idx="4">
                  <c:v>28.494179042409929</c:v>
                </c:pt>
                <c:pt idx="5">
                  <c:v>35.383712858165119</c:v>
                </c:pt>
                <c:pt idx="6">
                  <c:v>42.236367467864618</c:v>
                </c:pt>
                <c:pt idx="7">
                  <c:v>49.059008722674939</c:v>
                </c:pt>
                <c:pt idx="8">
                  <c:v>55.85641895899721</c:v>
                </c:pt>
                <c:pt idx="9">
                  <c:v>62.632113254922452</c:v>
                </c:pt>
                <c:pt idx="10">
                  <c:v>69.388779735073783</c:v>
                </c:pt>
                <c:pt idx="11">
                  <c:v>76.128537788232251</c:v>
                </c:pt>
                <c:pt idx="12">
                  <c:v>82.853099357733484</c:v>
                </c:pt>
                <c:pt idx="13">
                  <c:v>89.563874792651845</c:v>
                </c:pt>
                <c:pt idx="14">
                  <c:v>96.262045139603686</c:v>
                </c:pt>
                <c:pt idx="15">
                  <c:v>102.94861316373577</c:v>
                </c:pt>
                <c:pt idx="16">
                  <c:v>109.62444036403467</c:v>
                </c:pt>
                <c:pt idx="17">
                  <c:v>116.29027446560372</c:v>
                </c:pt>
                <c:pt idx="18">
                  <c:v>122.94677025652992</c:v>
                </c:pt>
                <c:pt idx="19">
                  <c:v>129.59450566158588</c:v>
                </c:pt>
                <c:pt idx="20">
                  <c:v>136.23399433545893</c:v>
                </c:pt>
                <c:pt idx="21">
                  <c:v>142.86569566575824</c:v>
                </c:pt>
                <c:pt idx="22">
                  <c:v>149.49002281670286</c:v>
                </c:pt>
                <c:pt idx="23">
                  <c:v>156.10734926897979</c:v>
                </c:pt>
                <c:pt idx="24">
                  <c:v>162.7180141901425</c:v>
                </c:pt>
                <c:pt idx="25">
                  <c:v>169.32232688472163</c:v>
                </c:pt>
                <c:pt idx="26">
                  <c:v>175.92057051227542</c:v>
                </c:pt>
                <c:pt idx="27">
                  <c:v>182.51300521734345</c:v>
                </c:pt>
                <c:pt idx="28">
                  <c:v>189.09987078266829</c:v>
                </c:pt>
                <c:pt idx="29">
                  <c:v>195.68138889273428</c:v>
                </c:pt>
                <c:pt idx="30">
                  <c:v>202.25776507632233</c:v>
                </c:pt>
                <c:pt idx="31">
                  <c:v>208.829190382782</c:v>
                </c:pt>
                <c:pt idx="32">
                  <c:v>215.3958428359341</c:v>
                </c:pt>
                <c:pt idx="33">
                  <c:v>221.95788870113014</c:v>
                </c:pt>
                <c:pt idx="34">
                  <c:v>228.51548359441404</c:v>
                </c:pt>
                <c:pt idx="35">
                  <c:v>235.06877345752704</c:v>
                </c:pt>
                <c:pt idx="36">
                  <c:v>241.61789541835174</c:v>
                </c:pt>
                <c:pt idx="37">
                  <c:v>248.16297855306297</c:v>
                </c:pt>
                <c:pt idx="38">
                  <c:v>254.70414456356778</c:v>
                </c:pt>
                <c:pt idx="39">
                  <c:v>261.24150838162944</c:v>
                </c:pt>
                <c:pt idx="40">
                  <c:v>267.77517870928631</c:v>
                </c:pt>
                <c:pt idx="41">
                  <c:v>274.3052585037081</c:v>
                </c:pt>
                <c:pt idx="42">
                  <c:v>280.83184541341694</c:v>
                </c:pt>
                <c:pt idx="43">
                  <c:v>230.42729824883145</c:v>
                </c:pt>
                <c:pt idx="44">
                  <c:v>245.4363434438072</c:v>
                </c:pt>
                <c:pt idx="45">
                  <c:v>260.42454206426356</c:v>
                </c:pt>
                <c:pt idx="46">
                  <c:v>275.39326298688428</c:v>
                </c:pt>
                <c:pt idx="47">
                  <c:v>290.34371407533627</c:v>
                </c:pt>
                <c:pt idx="48">
                  <c:v>305.27696861116084</c:v>
                </c:pt>
                <c:pt idx="49">
                  <c:v>320.19398627834249</c:v>
                </c:pt>
                <c:pt idx="50">
                  <c:v>335.09563003042587</c:v>
                </c:pt>
                <c:pt idx="51">
                  <c:v>276.20920294799743</c:v>
                </c:pt>
                <c:pt idx="52">
                  <c:v>293.33170847857133</c:v>
                </c:pt>
                <c:pt idx="53">
                  <c:v>310.43191023675951</c:v>
                </c:pt>
                <c:pt idx="54">
                  <c:v>327.51120953233504</c:v>
                </c:pt>
                <c:pt idx="55">
                  <c:v>344.57084959273078</c:v>
                </c:pt>
                <c:pt idx="56">
                  <c:v>361.61194050376952</c:v>
                </c:pt>
                <c:pt idx="57">
                  <c:v>378.63547920148682</c:v>
                </c:pt>
                <c:pt idx="58">
                  <c:v>395.64236567985586</c:v>
                </c:pt>
                <c:pt idx="59">
                  <c:v>315.31378584422714</c:v>
                </c:pt>
                <c:pt idx="60">
                  <c:v>330.22037140901671</c:v>
                </c:pt>
                <c:pt idx="61">
                  <c:v>345.11211614482573</c:v>
                </c:pt>
                <c:pt idx="62">
                  <c:v>359.9897505912565</c:v>
                </c:pt>
                <c:pt idx="63">
                  <c:v>374.85393997637999</c:v>
                </c:pt>
                <c:pt idx="64">
                  <c:v>389.70529246826982</c:v>
                </c:pt>
                <c:pt idx="65">
                  <c:v>404.54436610283841</c:v>
                </c:pt>
                <c:pt idx="66">
                  <c:v>419.37167464206533</c:v>
                </c:pt>
                <c:pt idx="67">
                  <c:v>348.81027347297407</c:v>
                </c:pt>
                <c:pt idx="68">
                  <c:v>362.51308830916196</c:v>
                </c:pt>
                <c:pt idx="69">
                  <c:v>376.2045846545613</c:v>
                </c:pt>
                <c:pt idx="70">
                  <c:v>389.8852324627465</c:v>
                </c:pt>
                <c:pt idx="71">
                  <c:v>403.55546601525361</c:v>
                </c:pt>
                <c:pt idx="72">
                  <c:v>417.21568777134968</c:v>
                </c:pt>
                <c:pt idx="73">
                  <c:v>430.86627168728864</c:v>
                </c:pt>
                <c:pt idx="74">
                  <c:v>444.50756609298952</c:v>
                </c:pt>
                <c:pt idx="75">
                  <c:v>458.13989619719581</c:v>
                </c:pt>
                <c:pt idx="76">
                  <c:v>391.08478640622803</c:v>
                </c:pt>
                <c:pt idx="77">
                  <c:v>403.79520417794828</c:v>
                </c:pt>
                <c:pt idx="78">
                  <c:v>416.49697216752833</c:v>
                </c:pt>
                <c:pt idx="79">
                  <c:v>429.19039134107408</c:v>
                </c:pt>
                <c:pt idx="80">
                  <c:v>441.87574340979091</c:v>
                </c:pt>
                <c:pt idx="81">
                  <c:v>454.55329259092628</c:v>
                </c:pt>
                <c:pt idx="82">
                  <c:v>467.22328716202838</c:v>
                </c:pt>
                <c:pt idx="83">
                  <c:v>479.88596083784046</c:v>
                </c:pt>
                <c:pt idx="84">
                  <c:v>492.54153399430999</c:v>
                </c:pt>
                <c:pt idx="85">
                  <c:v>427.51437029779345</c:v>
                </c:pt>
                <c:pt idx="86">
                  <c:v>439.96147960047523</c:v>
                </c:pt>
                <c:pt idx="87">
                  <c:v>452.40104036163081</c:v>
                </c:pt>
                <c:pt idx="88">
                  <c:v>464.83328938543258</c:v>
                </c:pt>
                <c:pt idx="89">
                  <c:v>477.25844977641265</c:v>
                </c:pt>
                <c:pt idx="90">
                  <c:v>489.67673207557482</c:v>
                </c:pt>
                <c:pt idx="91">
                  <c:v>502.08833527526576</c:v>
                </c:pt>
                <c:pt idx="92">
                  <c:v>514.49344772848701</c:v>
                </c:pt>
                <c:pt idx="93">
                  <c:v>526.89224796595806</c:v>
                </c:pt>
                <c:pt idx="94">
                  <c:v>463.94892385676343</c:v>
                </c:pt>
                <c:pt idx="95">
                  <c:v>476.20735929225503</c:v>
                </c:pt>
                <c:pt idx="96">
                  <c:v>488.45908370391936</c:v>
                </c:pt>
                <c:pt idx="97">
                  <c:v>500.70428912785286</c:v>
                </c:pt>
                <c:pt idx="98">
                  <c:v>512.94315744220205</c:v>
                </c:pt>
                <c:pt idx="99">
                  <c:v>525.17586113913831</c:v>
                </c:pt>
                <c:pt idx="100">
                  <c:v>537.40256402118098</c:v>
                </c:pt>
                <c:pt idx="101">
                  <c:v>549.62342183086355</c:v>
                </c:pt>
                <c:pt idx="102">
                  <c:v>561.83858282149833</c:v>
                </c:pt>
                <c:pt idx="103">
                  <c:v>574.04818827573627</c:v>
                </c:pt>
                <c:pt idx="104">
                  <c:v>505.42880415532318</c:v>
                </c:pt>
                <c:pt idx="105">
                  <c:v>518.30912745420756</c:v>
                </c:pt>
                <c:pt idx="106">
                  <c:v>531.18270081556796</c:v>
                </c:pt>
                <c:pt idx="107">
                  <c:v>544.04971084254646</c:v>
                </c:pt>
                <c:pt idx="108">
                  <c:v>556.91033459423932</c:v>
                </c:pt>
                <c:pt idx="109">
                  <c:v>569.76474028758594</c:v>
                </c:pt>
                <c:pt idx="110">
                  <c:v>582.61308793264288</c:v>
                </c:pt>
                <c:pt idx="111">
                  <c:v>595.45552990892554</c:v>
                </c:pt>
                <c:pt idx="112">
                  <c:v>608.29221148945828</c:v>
                </c:pt>
                <c:pt idx="113">
                  <c:v>621.12327131831137</c:v>
                </c:pt>
                <c:pt idx="114">
                  <c:v>544.90728253687325</c:v>
                </c:pt>
                <c:pt idx="115">
                  <c:v>558.62461104540546</c:v>
                </c:pt>
                <c:pt idx="116">
                  <c:v>572.33488947790272</c:v>
                </c:pt>
                <c:pt idx="117">
                  <c:v>586.03831044894537</c:v>
                </c:pt>
                <c:pt idx="118">
                  <c:v>599.73505683441078</c:v>
                </c:pt>
                <c:pt idx="119">
                  <c:v>613.42530247966806</c:v>
                </c:pt>
                <c:pt idx="120">
                  <c:v>627.10921284129302</c:v>
                </c:pt>
                <c:pt idx="121">
                  <c:v>640.78694556988728</c:v>
                </c:pt>
                <c:pt idx="122">
                  <c:v>654.45865104057725</c:v>
                </c:pt>
                <c:pt idx="123">
                  <c:v>668.12447283690051</c:v>
                </c:pt>
                <c:pt idx="124">
                  <c:v>582.07785905395792</c:v>
                </c:pt>
                <c:pt idx="125">
                  <c:v>594.38554838461982</c:v>
                </c:pt>
                <c:pt idx="126">
                  <c:v>606.68793651348506</c:v>
                </c:pt>
                <c:pt idx="127">
                  <c:v>618.98514605149137</c:v>
                </c:pt>
                <c:pt idx="128">
                  <c:v>631.27729434231833</c:v>
                </c:pt>
                <c:pt idx="129">
                  <c:v>643.5644937889715</c:v>
                </c:pt>
                <c:pt idx="130">
                  <c:v>655.84685215414117</c:v>
                </c:pt>
                <c:pt idx="131">
                  <c:v>668.12447283690051</c:v>
                </c:pt>
                <c:pt idx="132">
                  <c:v>680.39745512801858</c:v>
                </c:pt>
                <c:pt idx="133">
                  <c:v>692.66589444590602</c:v>
                </c:pt>
                <c:pt idx="134">
                  <c:v>704.92988255498256</c:v>
                </c:pt>
                <c:pt idx="135">
                  <c:v>717.18950776806741</c:v>
                </c:pt>
                <c:pt idx="136">
                  <c:v>627.18046690279186</c:v>
                </c:pt>
                <c:pt idx="137">
                  <c:v>639.6473667448189</c:v>
                </c:pt>
                <c:pt idx="138">
                  <c:v>652.10924929476664</c:v>
                </c:pt>
                <c:pt idx="139">
                  <c:v>664.56622390384643</c:v>
                </c:pt>
                <c:pt idx="140">
                  <c:v>677.01839549143097</c:v>
                </c:pt>
                <c:pt idx="141">
                  <c:v>689.4658648045837</c:v>
                </c:pt>
                <c:pt idx="142">
                  <c:v>701.90872865788094</c:v>
                </c:pt>
                <c:pt idx="143">
                  <c:v>714.34708015535705</c:v>
                </c:pt>
                <c:pt idx="144">
                  <c:v>726.78100889619554</c:v>
                </c:pt>
                <c:pt idx="145">
                  <c:v>739.21060116562137</c:v>
                </c:pt>
                <c:pt idx="146">
                  <c:v>751.63594011229691</c:v>
                </c:pt>
                <c:pt idx="147">
                  <c:v>764.05710591338527</c:v>
                </c:pt>
                <c:pt idx="148">
                  <c:v>674.35047223462504</c:v>
                </c:pt>
                <c:pt idx="149">
                  <c:v>686.97674242201981</c:v>
                </c:pt>
                <c:pt idx="150">
                  <c:v>699.59825500819431</c:v>
                </c:pt>
                <c:pt idx="151">
                  <c:v>712.21510787491763</c:v>
                </c:pt>
                <c:pt idx="152">
                  <c:v>724.82739515522064</c:v>
                </c:pt>
                <c:pt idx="153">
                  <c:v>737.43520744105683</c:v>
                </c:pt>
                <c:pt idx="154">
                  <c:v>750.03863197603312</c:v>
                </c:pt>
                <c:pt idx="155">
                  <c:v>762.63775283452549</c:v>
                </c:pt>
                <c:pt idx="156">
                  <c:v>775.23265108834732</c:v>
                </c:pt>
                <c:pt idx="157">
                  <c:v>787.82340496203472</c:v>
                </c:pt>
                <c:pt idx="158">
                  <c:v>800.4100899776945</c:v>
                </c:pt>
                <c:pt idx="159">
                  <c:v>812.99277909027694</c:v>
                </c:pt>
                <c:pt idx="160">
                  <c:v>725.71541469625129</c:v>
                </c:pt>
                <c:pt idx="161">
                  <c:v>738.50045410483597</c:v>
                </c:pt>
                <c:pt idx="162">
                  <c:v>751.28098871588315</c:v>
                </c:pt>
                <c:pt idx="163">
                  <c:v>764.05710591338584</c:v>
                </c:pt>
                <c:pt idx="164">
                  <c:v>776.82888992266123</c:v>
                </c:pt>
                <c:pt idx="165">
                  <c:v>789.59642197566109</c:v>
                </c:pt>
                <c:pt idx="166">
                  <c:v>802.35978046504022</c:v>
                </c:pt>
                <c:pt idx="167">
                  <c:v>815.11904108792316</c:v>
                </c:pt>
                <c:pt idx="168">
                  <c:v>827.87427698020747</c:v>
                </c:pt>
                <c:pt idx="169">
                  <c:v>840.62555884216579</c:v>
                </c:pt>
                <c:pt idx="170">
                  <c:v>853.3729550560405</c:v>
                </c:pt>
                <c:pt idx="171">
                  <c:v>866.11653179625011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2.831109883706608</c:v>
                </c:pt>
                <c:pt idx="2">
                  <c:v>3.588743690716981</c:v>
                </c:pt>
                <c:pt idx="3">
                  <c:v>4.5499209827563751</c:v>
                </c:pt>
                <c:pt idx="4">
                  <c:v>5.769525756466181</c:v>
                </c:pt>
                <c:pt idx="5">
                  <c:v>7.3172916476627918</c:v>
                </c:pt>
                <c:pt idx="6">
                  <c:v>9.2818324115941682</c:v>
                </c:pt>
                <c:pt idx="7">
                  <c:v>11.775769532514182</c:v>
                </c:pt>
                <c:pt idx="8">
                  <c:v>14.942256403107324</c:v>
                </c:pt>
                <c:pt idx="9">
                  <c:v>18.963280438167057</c:v>
                </c:pt>
                <c:pt idx="10">
                  <c:v>24.070228873283444</c:v>
                </c:pt>
                <c:pt idx="11">
                  <c:v>30.557337019171232</c:v>
                </c:pt>
                <c:pt idx="12">
                  <c:v>38.798807265050783</c:v>
                </c:pt>
                <c:pt idx="13">
                  <c:v>49.270603186045356</c:v>
                </c:pt>
                <c:pt idx="14">
                  <c:v>62.578198509588582</c:v>
                </c:pt>
                <c:pt idx="15">
                  <c:v>79.491911760197141</c:v>
                </c:pt>
                <c:pt idx="16">
                  <c:v>100.99190495548567</c:v>
                </c:pt>
                <c:pt idx="17">
                  <c:v>128.32549533436566</c:v>
                </c:pt>
                <c:pt idx="18">
                  <c:v>163.08015665156708</c:v>
                </c:pt>
                <c:pt idx="19">
                  <c:v>207.27651430938363</c:v>
                </c:pt>
                <c:pt idx="20">
                  <c:v>263.48682168593842</c:v>
                </c:pt>
                <c:pt idx="21">
                  <c:v>199.49292850815041</c:v>
                </c:pt>
                <c:pt idx="22">
                  <c:v>216.47300307155021</c:v>
                </c:pt>
                <c:pt idx="23">
                  <c:v>233.42244664801697</c:v>
                </c:pt>
                <c:pt idx="24">
                  <c:v>250.34379664975143</c:v>
                </c:pt>
                <c:pt idx="25">
                  <c:v>267.23921926263699</c:v>
                </c:pt>
                <c:pt idx="26">
                  <c:v>284.11058429716292</c:v>
                </c:pt>
                <c:pt idx="27">
                  <c:v>300.95952130477974</c:v>
                </c:pt>
                <c:pt idx="28">
                  <c:v>317.78746245668026</c:v>
                </c:pt>
                <c:pt idx="29">
                  <c:v>334.59567585759874</c:v>
                </c:pt>
                <c:pt idx="30">
                  <c:v>351.38529181133845</c:v>
                </c:pt>
                <c:pt idx="31">
                  <c:v>282.79919105709729</c:v>
                </c:pt>
                <c:pt idx="32">
                  <c:v>296.46858031425882</c:v>
                </c:pt>
                <c:pt idx="33">
                  <c:v>310.12391968967148</c:v>
                </c:pt>
                <c:pt idx="34">
                  <c:v>323.76591506204625</c:v>
                </c:pt>
                <c:pt idx="35">
                  <c:v>337.39520795625043</c:v>
                </c:pt>
                <c:pt idx="36">
                  <c:v>351.01238382795651</c:v>
                </c:pt>
                <c:pt idx="37">
                  <c:v>364.61797899508082</c:v>
                </c:pt>
                <c:pt idx="38">
                  <c:v>378.21248648031383</c:v>
                </c:pt>
                <c:pt idx="39">
                  <c:v>391.79636096959183</c:v>
                </c:pt>
                <c:pt idx="40">
                  <c:v>405.37002304691265</c:v>
                </c:pt>
                <c:pt idx="41">
                  <c:v>343.36583983111797</c:v>
                </c:pt>
                <c:pt idx="42">
                  <c:v>353.99540526070876</c:v>
                </c:pt>
                <c:pt idx="43">
                  <c:v>364.61797899508082</c:v>
                </c:pt>
                <c:pt idx="44">
                  <c:v>375.23379351840327</c:v>
                </c:pt>
                <c:pt idx="45">
                  <c:v>385.84306708196351</c:v>
                </c:pt>
                <c:pt idx="46">
                  <c:v>396.44600495131112</c:v>
                </c:pt>
                <c:pt idx="47">
                  <c:v>407.04280051298934</c:v>
                </c:pt>
                <c:pt idx="48">
                  <c:v>417.63363625997869</c:v>
                </c:pt>
                <c:pt idx="49">
                  <c:v>428.21868467194827</c:v>
                </c:pt>
                <c:pt idx="50">
                  <c:v>438.79810900392067</c:v>
                </c:pt>
                <c:pt idx="51">
                  <c:v>385.65699465901594</c:v>
                </c:pt>
                <c:pt idx="52">
                  <c:v>393.84235089269191</c:v>
                </c:pt>
                <c:pt idx="53">
                  <c:v>402.02401961743982</c:v>
                </c:pt>
                <c:pt idx="54">
                  <c:v>410.20208650717791</c:v>
                </c:pt>
                <c:pt idx="55">
                  <c:v>418.37663353903241</c:v>
                </c:pt>
                <c:pt idx="56">
                  <c:v>426.54773922354428</c:v>
                </c:pt>
                <c:pt idx="57">
                  <c:v>434.71547881631085</c:v>
                </c:pt>
                <c:pt idx="58">
                  <c:v>442.87992451288665</c:v>
                </c:pt>
                <c:pt idx="59">
                  <c:v>451.0411456285596</c:v>
                </c:pt>
                <c:pt idx="60">
                  <c:v>459.19920876443285</c:v>
                </c:pt>
                <c:pt idx="61">
                  <c:v>417.07636960303012</c:v>
                </c:pt>
                <c:pt idx="62">
                  <c:v>423.20542522400018</c:v>
                </c:pt>
                <c:pt idx="63">
                  <c:v>429.33257037940683</c:v>
                </c:pt>
                <c:pt idx="64">
                  <c:v>435.45783620208493</c:v>
                </c:pt>
                <c:pt idx="65">
                  <c:v>441.58125287689433</c:v>
                </c:pt>
                <c:pt idx="66">
                  <c:v>447.70284968262354</c:v>
                </c:pt>
                <c:pt idx="67">
                  <c:v>453.82265503147863</c:v>
                </c:pt>
                <c:pt idx="68">
                  <c:v>459.94069650633213</c:v>
                </c:pt>
                <c:pt idx="69">
                  <c:v>466.05700089588487</c:v>
                </c:pt>
                <c:pt idx="70">
                  <c:v>472.17159422788467</c:v>
                </c:pt>
                <c:pt idx="71">
                  <c:v>3.9806453659427267E-12</c:v>
                </c:pt>
                <c:pt idx="72">
                  <c:v>3.9806453659427267E-12</c:v>
                </c:pt>
                <c:pt idx="73">
                  <c:v>3.9806453659427267E-12</c:v>
                </c:pt>
                <c:pt idx="74">
                  <c:v>3.9806453659427267E-12</c:v>
                </c:pt>
                <c:pt idx="75">
                  <c:v>3.9806453659427267E-12</c:v>
                </c:pt>
                <c:pt idx="76">
                  <c:v>3.9806453659427267E-12</c:v>
                </c:pt>
                <c:pt idx="77">
                  <c:v>3.9806453659427267E-12</c:v>
                </c:pt>
                <c:pt idx="78">
                  <c:v>3.9806453659427267E-12</c:v>
                </c:pt>
                <c:pt idx="79">
                  <c:v>3.9806453659427267E-12</c:v>
                </c:pt>
                <c:pt idx="80">
                  <c:v>3.9806453659427267E-12</c:v>
                </c:pt>
                <c:pt idx="81">
                  <c:v>3.9806453659427267E-12</c:v>
                </c:pt>
                <c:pt idx="82">
                  <c:v>3.9806453659427267E-12</c:v>
                </c:pt>
                <c:pt idx="83">
                  <c:v>3.9806453659427267E-12</c:v>
                </c:pt>
                <c:pt idx="84">
                  <c:v>3.9806453659427267E-12</c:v>
                </c:pt>
                <c:pt idx="85">
                  <c:v>3.9806453659427267E-12</c:v>
                </c:pt>
                <c:pt idx="86">
                  <c:v>3.9806453659427267E-12</c:v>
                </c:pt>
                <c:pt idx="87">
                  <c:v>3.9806453659427267E-12</c:v>
                </c:pt>
                <c:pt idx="88">
                  <c:v>3.9806453659427267E-12</c:v>
                </c:pt>
                <c:pt idx="89">
                  <c:v>3.9806453659427267E-12</c:v>
                </c:pt>
                <c:pt idx="90">
                  <c:v>3.9806453659427267E-12</c:v>
                </c:pt>
                <c:pt idx="91">
                  <c:v>3.9806453659427267E-12</c:v>
                </c:pt>
                <c:pt idx="92">
                  <c:v>3.9806453659427267E-12</c:v>
                </c:pt>
                <c:pt idx="93">
                  <c:v>3.9806453659427267E-12</c:v>
                </c:pt>
                <c:pt idx="94">
                  <c:v>3.9806453659427267E-12</c:v>
                </c:pt>
                <c:pt idx="95">
                  <c:v>3.9806453659427267E-12</c:v>
                </c:pt>
                <c:pt idx="96">
                  <c:v>3.9806453659427267E-12</c:v>
                </c:pt>
                <c:pt idx="97">
                  <c:v>3.9806453659427267E-12</c:v>
                </c:pt>
                <c:pt idx="98">
                  <c:v>3.9806453659427267E-12</c:v>
                </c:pt>
                <c:pt idx="99">
                  <c:v>3.9806453659427267E-12</c:v>
                </c:pt>
                <c:pt idx="100">
                  <c:v>3.9806453659427267E-12</c:v>
                </c:pt>
                <c:pt idx="101">
                  <c:v>3.9806453659427267E-12</c:v>
                </c:pt>
                <c:pt idx="102">
                  <c:v>3.9806453659427267E-12</c:v>
                </c:pt>
                <c:pt idx="103">
                  <c:v>3.9806453659427267E-12</c:v>
                </c:pt>
                <c:pt idx="104">
                  <c:v>3.9806453659427267E-12</c:v>
                </c:pt>
                <c:pt idx="105">
                  <c:v>3.9806453659427267E-12</c:v>
                </c:pt>
                <c:pt idx="106">
                  <c:v>3.9806453659427267E-12</c:v>
                </c:pt>
                <c:pt idx="107">
                  <c:v>3.9806453659427267E-12</c:v>
                </c:pt>
                <c:pt idx="108">
                  <c:v>3.9806453659427267E-12</c:v>
                </c:pt>
                <c:pt idx="109">
                  <c:v>3.9806453659427267E-12</c:v>
                </c:pt>
                <c:pt idx="110">
                  <c:v>3.9806453659427267E-12</c:v>
                </c:pt>
                <c:pt idx="111">
                  <c:v>3.9806453659427267E-12</c:v>
                </c:pt>
                <c:pt idx="112">
                  <c:v>3.9806453659427267E-12</c:v>
                </c:pt>
                <c:pt idx="113">
                  <c:v>3.9806453659427267E-12</c:v>
                </c:pt>
                <c:pt idx="114">
                  <c:v>3.9806453659427267E-12</c:v>
                </c:pt>
                <c:pt idx="115">
                  <c:v>3.9806453659427267E-12</c:v>
                </c:pt>
                <c:pt idx="116">
                  <c:v>3.9806453659427267E-12</c:v>
                </c:pt>
                <c:pt idx="117">
                  <c:v>3.9806453659427267E-12</c:v>
                </c:pt>
                <c:pt idx="118">
                  <c:v>3.9806453659427267E-12</c:v>
                </c:pt>
                <c:pt idx="119">
                  <c:v>3.9806453659427267E-12</c:v>
                </c:pt>
                <c:pt idx="120">
                  <c:v>3.9806453659427267E-12</c:v>
                </c:pt>
                <c:pt idx="121">
                  <c:v>3.9806453659427267E-12</c:v>
                </c:pt>
                <c:pt idx="122">
                  <c:v>3.9806453659427267E-12</c:v>
                </c:pt>
                <c:pt idx="123">
                  <c:v>3.9806453659427267E-12</c:v>
                </c:pt>
                <c:pt idx="124">
                  <c:v>3.9806453659427267E-12</c:v>
                </c:pt>
                <c:pt idx="125">
                  <c:v>3.9806453659427267E-12</c:v>
                </c:pt>
                <c:pt idx="126">
                  <c:v>3.9806453659427267E-12</c:v>
                </c:pt>
                <c:pt idx="127">
                  <c:v>3.9806453659427267E-12</c:v>
                </c:pt>
                <c:pt idx="128">
                  <c:v>3.9806453659427267E-12</c:v>
                </c:pt>
                <c:pt idx="129">
                  <c:v>3.9806453659427267E-12</c:v>
                </c:pt>
                <c:pt idx="130">
                  <c:v>3.9806453659427267E-12</c:v>
                </c:pt>
                <c:pt idx="131">
                  <c:v>3.9806453659427267E-12</c:v>
                </c:pt>
                <c:pt idx="132">
                  <c:v>3.9806453659427267E-12</c:v>
                </c:pt>
                <c:pt idx="133">
                  <c:v>3.9806453659427267E-12</c:v>
                </c:pt>
                <c:pt idx="134">
                  <c:v>3.9806453659427267E-12</c:v>
                </c:pt>
                <c:pt idx="135">
                  <c:v>3.9806453659427267E-12</c:v>
                </c:pt>
                <c:pt idx="136">
                  <c:v>3.9806453659427267E-12</c:v>
                </c:pt>
                <c:pt idx="137">
                  <c:v>3.9806453659427267E-12</c:v>
                </c:pt>
                <c:pt idx="138">
                  <c:v>3.9806453659427267E-12</c:v>
                </c:pt>
                <c:pt idx="139">
                  <c:v>3.9806453659427267E-12</c:v>
                </c:pt>
                <c:pt idx="140">
                  <c:v>3.9806453659427267E-12</c:v>
                </c:pt>
                <c:pt idx="141">
                  <c:v>3.9806453659427267E-12</c:v>
                </c:pt>
                <c:pt idx="142">
                  <c:v>3.9806453659427267E-12</c:v>
                </c:pt>
                <c:pt idx="143">
                  <c:v>3.9806453659427267E-12</c:v>
                </c:pt>
                <c:pt idx="144">
                  <c:v>3.9806453659427267E-12</c:v>
                </c:pt>
                <c:pt idx="145">
                  <c:v>3.9806453659427267E-12</c:v>
                </c:pt>
                <c:pt idx="146">
                  <c:v>3.9806453659427267E-12</c:v>
                </c:pt>
                <c:pt idx="147">
                  <c:v>3.9806453659427267E-12</c:v>
                </c:pt>
                <c:pt idx="148">
                  <c:v>3.9806453659427267E-12</c:v>
                </c:pt>
                <c:pt idx="149">
                  <c:v>3.9806453659427267E-12</c:v>
                </c:pt>
                <c:pt idx="150">
                  <c:v>3.9806453659427267E-12</c:v>
                </c:pt>
                <c:pt idx="151">
                  <c:v>3.9806453659427267E-12</c:v>
                </c:pt>
                <c:pt idx="152">
                  <c:v>3.9806453659427267E-12</c:v>
                </c:pt>
                <c:pt idx="153">
                  <c:v>3.9806453659427267E-12</c:v>
                </c:pt>
                <c:pt idx="154">
                  <c:v>3.9806453659427267E-12</c:v>
                </c:pt>
                <c:pt idx="155">
                  <c:v>3.9806453659427267E-12</c:v>
                </c:pt>
                <c:pt idx="156">
                  <c:v>3.9806453659427267E-12</c:v>
                </c:pt>
                <c:pt idx="157">
                  <c:v>3.9806453659427267E-12</c:v>
                </c:pt>
                <c:pt idx="158">
                  <c:v>3.9806453659427267E-12</c:v>
                </c:pt>
                <c:pt idx="159">
                  <c:v>3.9806453659427267E-12</c:v>
                </c:pt>
                <c:pt idx="160">
                  <c:v>3.9806453659427267E-12</c:v>
                </c:pt>
                <c:pt idx="161">
                  <c:v>3.9806453659427267E-12</c:v>
                </c:pt>
                <c:pt idx="162">
                  <c:v>3.9806453659427267E-12</c:v>
                </c:pt>
                <c:pt idx="163">
                  <c:v>3.9806453659427267E-12</c:v>
                </c:pt>
                <c:pt idx="164">
                  <c:v>3.9806453659427267E-12</c:v>
                </c:pt>
                <c:pt idx="165">
                  <c:v>3.9806453659427267E-12</c:v>
                </c:pt>
                <c:pt idx="166">
                  <c:v>3.9806453659427267E-12</c:v>
                </c:pt>
                <c:pt idx="167">
                  <c:v>3.9806453659427267E-12</c:v>
                </c:pt>
                <c:pt idx="168">
                  <c:v>3.9806453659427267E-12</c:v>
                </c:pt>
                <c:pt idx="169">
                  <c:v>3.9806453659427267E-12</c:v>
                </c:pt>
                <c:pt idx="170">
                  <c:v>3.9806453659427267E-12</c:v>
                </c:pt>
                <c:pt idx="171">
                  <c:v>3.9806453659427267E-12</c:v>
                </c:pt>
                <c:pt idx="172">
                  <c:v>3.9806453659427267E-12</c:v>
                </c:pt>
                <c:pt idx="173">
                  <c:v>3.9806453659427267E-12</c:v>
                </c:pt>
                <c:pt idx="174">
                  <c:v>3.9806453659427267E-12</c:v>
                </c:pt>
                <c:pt idx="175">
                  <c:v>3.9806453659427267E-12</c:v>
                </c:pt>
                <c:pt idx="176">
                  <c:v>3.9806453659427267E-12</c:v>
                </c:pt>
                <c:pt idx="177">
                  <c:v>3.9806453659427267E-12</c:v>
                </c:pt>
                <c:pt idx="178">
                  <c:v>3.9806453659427267E-12</c:v>
                </c:pt>
                <c:pt idx="179">
                  <c:v>3.9806453659427267E-12</c:v>
                </c:pt>
                <c:pt idx="180">
                  <c:v>3.9806453659427267E-12</c:v>
                </c:pt>
                <c:pt idx="181">
                  <c:v>3.9806453659427267E-12</c:v>
                </c:pt>
                <c:pt idx="182">
                  <c:v>3.9806453659427267E-12</c:v>
                </c:pt>
                <c:pt idx="183">
                  <c:v>3.9806453659427267E-12</c:v>
                </c:pt>
                <c:pt idx="184">
                  <c:v>3.9806453659427267E-12</c:v>
                </c:pt>
                <c:pt idx="185">
                  <c:v>3.9806453659427267E-12</c:v>
                </c:pt>
                <c:pt idx="186">
                  <c:v>3.9806453659427267E-12</c:v>
                </c:pt>
                <c:pt idx="187">
                  <c:v>3.9806453659427267E-12</c:v>
                </c:pt>
                <c:pt idx="188">
                  <c:v>3.9806453659427267E-12</c:v>
                </c:pt>
                <c:pt idx="189">
                  <c:v>3.9806453659427267E-12</c:v>
                </c:pt>
                <c:pt idx="190">
                  <c:v>3.9806453659427267E-12</c:v>
                </c:pt>
                <c:pt idx="191">
                  <c:v>3.9806453659427267E-12</c:v>
                </c:pt>
                <c:pt idx="192">
                  <c:v>3.9806453659427267E-12</c:v>
                </c:pt>
                <c:pt idx="193">
                  <c:v>3.9806453659427267E-12</c:v>
                </c:pt>
                <c:pt idx="194">
                  <c:v>3.9806453659427267E-12</c:v>
                </c:pt>
                <c:pt idx="195">
                  <c:v>3.9806453659427267E-12</c:v>
                </c:pt>
                <c:pt idx="196">
                  <c:v>3.9806453659427267E-12</c:v>
                </c:pt>
                <c:pt idx="197">
                  <c:v>3.9806453659427267E-12</c:v>
                </c:pt>
                <c:pt idx="198">
                  <c:v>3.9806453659427267E-12</c:v>
                </c:pt>
                <c:pt idx="199">
                  <c:v>3.9806453659427267E-12</c:v>
                </c:pt>
                <c:pt idx="200">
                  <c:v>3.9806453659427267E-12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235.51204202766243</c:v>
                </c:pt>
                <c:pt idx="21">
                  <c:v>270.16623181485778</c:v>
                </c:pt>
                <c:pt idx="22">
                  <c:v>304.72031452947482</c:v>
                </c:pt>
                <c:pt idx="23">
                  <c:v>339.1872321624985</c:v>
                </c:pt>
                <c:pt idx="24">
                  <c:v>373.57707921130037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671.33751041747894</c:v>
                </c:pt>
                <c:pt idx="47">
                  <c:v>692.27753096210472</c:v>
                </c:pt>
                <c:pt idx="48">
                  <c:v>713.20457786722011</c:v>
                </c:pt>
                <c:pt idx="49">
                  <c:v>734.11908497147158</c:v>
                </c:pt>
                <c:pt idx="50">
                  <c:v>755.02145940727178</c:v>
                </c:pt>
                <c:pt idx="51">
                  <c:v>714.84998798766367</c:v>
                </c:pt>
                <c:pt idx="52">
                  <c:v>731.06492305237623</c:v>
                </c:pt>
                <c:pt idx="53">
                  <c:v>747.27253134258956</c:v>
                </c:pt>
                <c:pt idx="54">
                  <c:v>763.47299401473185</c:v>
                </c:pt>
                <c:pt idx="55">
                  <c:v>779.66648391733395</c:v>
                </c:pt>
                <c:pt idx="56">
                  <c:v>750.56015385100557</c:v>
                </c:pt>
                <c:pt idx="57">
                  <c:v>762.53402877829774</c:v>
                </c:pt>
                <c:pt idx="58">
                  <c:v>774.50408919046504</c:v>
                </c:pt>
                <c:pt idx="59">
                  <c:v>786.47040231283711</c:v>
                </c:pt>
                <c:pt idx="60">
                  <c:v>798.43303315959008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1.8287374524569875</c:v>
                </c:pt>
                <c:pt idx="2">
                  <c:v>2.3536693793882866</c:v>
                </c:pt>
                <c:pt idx="3">
                  <c:v>3.0298921672634527</c:v>
                </c:pt>
                <c:pt idx="4">
                  <c:v>3.9011757579060791</c:v>
                </c:pt>
                <c:pt idx="5">
                  <c:v>5.0239982547116968</c:v>
                </c:pt>
                <c:pt idx="6">
                  <c:v>6.4712477828472066</c:v>
                </c:pt>
                <c:pt idx="7">
                  <c:v>8.3370059687604243</c:v>
                </c:pt>
                <c:pt idx="8">
                  <c:v>10.742729947757679</c:v>
                </c:pt>
                <c:pt idx="9">
                  <c:v>13.845242895843187</c:v>
                </c:pt>
                <c:pt idx="10">
                  <c:v>17.847063575172051</c:v>
                </c:pt>
                <c:pt idx="11">
                  <c:v>23.009761366474208</c:v>
                </c:pt>
                <c:pt idx="12">
                  <c:v>29.671225211446551</c:v>
                </c:pt>
                <c:pt idx="13">
                  <c:v>38.267996375293023</c:v>
                </c:pt>
                <c:pt idx="14">
                  <c:v>49.364153550569711</c:v>
                </c:pt>
                <c:pt idx="15">
                  <c:v>63.688677348104626</c:v>
                </c:pt>
                <c:pt idx="16">
                  <c:v>82.183789194490132</c:v>
                </c:pt>
                <c:pt idx="17">
                  <c:v>106.06749535927253</c:v>
                </c:pt>
                <c:pt idx="18">
                  <c:v>136.91451988778243</c:v>
                </c:pt>
                <c:pt idx="19">
                  <c:v>134.53232120499612</c:v>
                </c:pt>
                <c:pt idx="20">
                  <c:v>155.93775882820458</c:v>
                </c:pt>
                <c:pt idx="21">
                  <c:v>177.27333024872806</c:v>
                </c:pt>
                <c:pt idx="22">
                  <c:v>165.4282275996666</c:v>
                </c:pt>
                <c:pt idx="23">
                  <c:v>184.37139305479852</c:v>
                </c:pt>
                <c:pt idx="24">
                  <c:v>203.26907123098991</c:v>
                </c:pt>
                <c:pt idx="25">
                  <c:v>185.75082177052457</c:v>
                </c:pt>
                <c:pt idx="26">
                  <c:v>202.48250987830696</c:v>
                </c:pt>
                <c:pt idx="27">
                  <c:v>219.18219050817319</c:v>
                </c:pt>
                <c:pt idx="28">
                  <c:v>235.85264599138495</c:v>
                </c:pt>
                <c:pt idx="29">
                  <c:v>252.49623292752941</c:v>
                </c:pt>
                <c:pt idx="30">
                  <c:v>269.11497170292415</c:v>
                </c:pt>
                <c:pt idx="31">
                  <c:v>221.92985534732983</c:v>
                </c:pt>
                <c:pt idx="32">
                  <c:v>237.02834341277006</c:v>
                </c:pt>
                <c:pt idx="33">
                  <c:v>252.10491192133932</c:v>
                </c:pt>
                <c:pt idx="34">
                  <c:v>267.16105648727694</c:v>
                </c:pt>
                <c:pt idx="35">
                  <c:v>282.19809031512602</c:v>
                </c:pt>
                <c:pt idx="36">
                  <c:v>297.21717518827546</c:v>
                </c:pt>
                <c:pt idx="37">
                  <c:v>238.00798964906201</c:v>
                </c:pt>
                <c:pt idx="38">
                  <c:v>251.51790458784345</c:v>
                </c:pt>
                <c:pt idx="39">
                  <c:v>265.0113775990103</c:v>
                </c:pt>
                <c:pt idx="40">
                  <c:v>278.48936400091264</c:v>
                </c:pt>
                <c:pt idx="41">
                  <c:v>291.95271905336477</c:v>
                </c:pt>
                <c:pt idx="42">
                  <c:v>305.40221266685126</c:v>
                </c:pt>
                <c:pt idx="43">
                  <c:v>239.3793400626445</c:v>
                </c:pt>
                <c:pt idx="44">
                  <c:v>251.9092462564619</c:v>
                </c:pt>
                <c:pt idx="45">
                  <c:v>264.42503341914323</c:v>
                </c:pt>
                <c:pt idx="46">
                  <c:v>276.92746425152382</c:v>
                </c:pt>
                <c:pt idx="47">
                  <c:v>289.41722692891392</c:v>
                </c:pt>
                <c:pt idx="48">
                  <c:v>301.89494535388923</c:v>
                </c:pt>
                <c:pt idx="49">
                  <c:v>237.12631218485038</c:v>
                </c:pt>
                <c:pt idx="50">
                  <c:v>248.58240031089704</c:v>
                </c:pt>
                <c:pt idx="51">
                  <c:v>260.02651186681561</c:v>
                </c:pt>
                <c:pt idx="52">
                  <c:v>271.45924852820451</c:v>
                </c:pt>
                <c:pt idx="53">
                  <c:v>282.88115712017401</c:v>
                </c:pt>
                <c:pt idx="54">
                  <c:v>294.29273667816204</c:v>
                </c:pt>
                <c:pt idx="55">
                  <c:v>305.69444435550452</c:v>
                </c:pt>
                <c:pt idx="56">
                  <c:v>317.08670040299359</c:v>
                </c:pt>
                <c:pt idx="57">
                  <c:v>328.46989239499595</c:v>
                </c:pt>
                <c:pt idx="58">
                  <c:v>339.84437883882828</c:v>
                </c:pt>
                <c:pt idx="59">
                  <c:v>351.21049227545086</c:v>
                </c:pt>
                <c:pt idx="60">
                  <c:v>362.56854195764794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2.6226570787660513</c:v>
                </c:pt>
                <c:pt idx="2">
                  <c:v>3.3074676524347191</c:v>
                </c:pt>
                <c:pt idx="3">
                  <c:v>4.1717902478374764</c:v>
                </c:pt>
                <c:pt idx="4">
                  <c:v>5.2628537100246024</c:v>
                </c:pt>
                <c:pt idx="5">
                  <c:v>6.6403550855833053</c:v>
                </c:pt>
                <c:pt idx="6">
                  <c:v>8.3797615911680001</c:v>
                </c:pt>
                <c:pt idx="7">
                  <c:v>10.576489592474234</c:v>
                </c:pt>
                <c:pt idx="8">
                  <c:v>13.351194149895173</c:v>
                </c:pt>
                <c:pt idx="9">
                  <c:v>16.856465036001829</c:v>
                </c:pt>
                <c:pt idx="10">
                  <c:v>21.285304159707806</c:v>
                </c:pt>
                <c:pt idx="11">
                  <c:v>26.881859514119139</c:v>
                </c:pt>
                <c:pt idx="12">
                  <c:v>33.955017772055356</c:v>
                </c:pt>
                <c:pt idx="13">
                  <c:v>42.895618681292397</c:v>
                </c:pt>
                <c:pt idx="14">
                  <c:v>54.198258590746377</c:v>
                </c:pt>
                <c:pt idx="15">
                  <c:v>68.488909353343658</c:v>
                </c:pt>
                <c:pt idx="16">
                  <c:v>62.361466590328156</c:v>
                </c:pt>
                <c:pt idx="17">
                  <c:v>83.211344052224646</c:v>
                </c:pt>
                <c:pt idx="18">
                  <c:v>103.92838758980967</c:v>
                </c:pt>
                <c:pt idx="19">
                  <c:v>124.54300535423552</c:v>
                </c:pt>
                <c:pt idx="20">
                  <c:v>145.07460486529598</c:v>
                </c:pt>
                <c:pt idx="21">
                  <c:v>117.79987679600281</c:v>
                </c:pt>
                <c:pt idx="22">
                  <c:v>140.12550916282296</c:v>
                </c:pt>
                <c:pt idx="23">
                  <c:v>162.36560837552486</c:v>
                </c:pt>
                <c:pt idx="24">
                  <c:v>184.5335587844996</c:v>
                </c:pt>
                <c:pt idx="25">
                  <c:v>206.63925413557965</c:v>
                </c:pt>
                <c:pt idx="26">
                  <c:v>178.2065931117728</c:v>
                </c:pt>
                <c:pt idx="27">
                  <c:v>198.92636489646625</c:v>
                </c:pt>
                <c:pt idx="28">
                  <c:v>219.5960728520653</c:v>
                </c:pt>
                <c:pt idx="29">
                  <c:v>240.22109256685007</c:v>
                </c:pt>
                <c:pt idx="30">
                  <c:v>260.80580020638388</c:v>
                </c:pt>
                <c:pt idx="31">
                  <c:v>230.78777111964931</c:v>
                </c:pt>
                <c:pt idx="32">
                  <c:v>249.64598194061804</c:v>
                </c:pt>
                <c:pt idx="33">
                  <c:v>268.47188986404808</c:v>
                </c:pt>
                <c:pt idx="34">
                  <c:v>287.26807832489447</c:v>
                </c:pt>
                <c:pt idx="35">
                  <c:v>306.03676500452588</c:v>
                </c:pt>
                <c:pt idx="36">
                  <c:v>274.04412300873832</c:v>
                </c:pt>
                <c:pt idx="37">
                  <c:v>290.74577498968887</c:v>
                </c:pt>
                <c:pt idx="38">
                  <c:v>307.42599859997205</c:v>
                </c:pt>
                <c:pt idx="39">
                  <c:v>324.0861199880448</c:v>
                </c:pt>
                <c:pt idx="40">
                  <c:v>340.72731782352463</c:v>
                </c:pt>
                <c:pt idx="41">
                  <c:v>306.38408652237484</c:v>
                </c:pt>
                <c:pt idx="42">
                  <c:v>320.6168590632679</c:v>
                </c:pt>
                <c:pt idx="43">
                  <c:v>334.83565591359422</c:v>
                </c:pt>
                <c:pt idx="44">
                  <c:v>349.04115416302778</c:v>
                </c:pt>
                <c:pt idx="45">
                  <c:v>363.23397128485459</c:v>
                </c:pt>
                <c:pt idx="46">
                  <c:v>337.6084846109411</c:v>
                </c:pt>
                <c:pt idx="47">
                  <c:v>350.08007582809643</c:v>
                </c:pt>
                <c:pt idx="48">
                  <c:v>362.54192422951866</c:v>
                </c:pt>
                <c:pt idx="49">
                  <c:v>374.99441195677679</c:v>
                </c:pt>
                <c:pt idx="50">
                  <c:v>387.43789369626387</c:v>
                </c:pt>
                <c:pt idx="51">
                  <c:v>368.42340983207049</c:v>
                </c:pt>
                <c:pt idx="52">
                  <c:v>378.79752673207048</c:v>
                </c:pt>
                <c:pt idx="53">
                  <c:v>389.16546165993583</c:v>
                </c:pt>
                <c:pt idx="54">
                  <c:v>399.52740258860331</c:v>
                </c:pt>
                <c:pt idx="55">
                  <c:v>409.88352694182026</c:v>
                </c:pt>
                <c:pt idx="56">
                  <c:v>396.41943892845512</c:v>
                </c:pt>
                <c:pt idx="57">
                  <c:v>405.39657623414723</c:v>
                </c:pt>
                <c:pt idx="58">
                  <c:v>414.36941703418364</c:v>
                </c:pt>
                <c:pt idx="59">
                  <c:v>423.33806752801564</c:v>
                </c:pt>
                <c:pt idx="60">
                  <c:v>432.30262904622094</c:v>
                </c:pt>
                <c:pt idx="61">
                  <c:v>419.19920449941787</c:v>
                </c:pt>
                <c:pt idx="62">
                  <c:v>426.78645432329751</c:v>
                </c:pt>
                <c:pt idx="63">
                  <c:v>434.37080363760282</c:v>
                </c:pt>
                <c:pt idx="64">
                  <c:v>441.95231025909084</c:v>
                </c:pt>
                <c:pt idx="65">
                  <c:v>449.53102985794345</c:v>
                </c:pt>
                <c:pt idx="66">
                  <c:v>437.12804107015171</c:v>
                </c:pt>
                <c:pt idx="67">
                  <c:v>443.67498930140238</c:v>
                </c:pt>
                <c:pt idx="68">
                  <c:v>450.21986803667011</c:v>
                </c:pt>
                <c:pt idx="69">
                  <c:v>456.7627116241062</c:v>
                </c:pt>
                <c:pt idx="70">
                  <c:v>463.30355334692064</c:v>
                </c:pt>
                <c:pt idx="71">
                  <c:v>451.94186491705608</c:v>
                </c:pt>
                <c:pt idx="72">
                  <c:v>457.79560835488581</c:v>
                </c:pt>
                <c:pt idx="73">
                  <c:v>463.64775333711032</c:v>
                </c:pt>
                <c:pt idx="74">
                  <c:v>469.49832289995226</c:v>
                </c:pt>
                <c:pt idx="75">
                  <c:v>475.34733945827821</c:v>
                </c:pt>
                <c:pt idx="76">
                  <c:v>464.68032061955677</c:v>
                </c:pt>
                <c:pt idx="77">
                  <c:v>469.49832289995226</c:v>
                </c:pt>
                <c:pt idx="78">
                  <c:v>474.31527194246542</c:v>
                </c:pt>
                <c:pt idx="79">
                  <c:v>479.13117996114801</c:v>
                </c:pt>
                <c:pt idx="80">
                  <c:v>483.94605890429216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3.1070732524005358</c:v>
                </c:pt>
                <c:pt idx="2">
                  <c:v>3.9188517152693092</c:v>
                </c:pt>
                <c:pt idx="3">
                  <c:v>4.9435434679155108</c:v>
                </c:pt>
                <c:pt idx="4">
                  <c:v>6.2371942955058799</c:v>
                </c:pt>
                <c:pt idx="5">
                  <c:v>7.8706529792516697</c:v>
                </c:pt>
                <c:pt idx="6">
                  <c:v>9.9334933415181794</c:v>
                </c:pt>
                <c:pt idx="7">
                  <c:v>12.538978421483094</c:v>
                </c:pt>
                <c:pt idx="8">
                  <c:v>15.830344414192332</c:v>
                </c:pt>
                <c:pt idx="9">
                  <c:v>19.988756146300936</c:v>
                </c:pt>
                <c:pt idx="10">
                  <c:v>25.243379843811024</c:v>
                </c:pt>
                <c:pt idx="11">
                  <c:v>31.884138091095355</c:v>
                </c:pt>
                <c:pt idx="12">
                  <c:v>40.277862935897133</c:v>
                </c:pt>
                <c:pt idx="13">
                  <c:v>50.888754624871218</c:v>
                </c:pt>
                <c:pt idx="14">
                  <c:v>64.30429632325378</c:v>
                </c:pt>
                <c:pt idx="15">
                  <c:v>81.26808316628383</c:v>
                </c:pt>
                <c:pt idx="16">
                  <c:v>73.994272320757076</c:v>
                </c:pt>
                <c:pt idx="17">
                  <c:v>98.745953295523961</c:v>
                </c:pt>
                <c:pt idx="18">
                  <c:v>123.34246499006633</c:v>
                </c:pt>
                <c:pt idx="19">
                  <c:v>147.81932853312981</c:v>
                </c:pt>
                <c:pt idx="20">
                  <c:v>172.19921472129715</c:v>
                </c:pt>
                <c:pt idx="21">
                  <c:v>139.81265219870173</c:v>
                </c:pt>
                <c:pt idx="22">
                  <c:v>166.32236690304859</c:v>
                </c:pt>
                <c:pt idx="23">
                  <c:v>192.73216648384053</c:v>
                </c:pt>
                <c:pt idx="24">
                  <c:v>219.05768580263302</c:v>
                </c:pt>
                <c:pt idx="25">
                  <c:v>245.31048218883168</c:v>
                </c:pt>
                <c:pt idx="26">
                  <c:v>211.5439756614193</c:v>
                </c:pt>
                <c:pt idx="27">
                  <c:v>236.15050195685842</c:v>
                </c:pt>
                <c:pt idx="28">
                  <c:v>260.69854644227718</c:v>
                </c:pt>
                <c:pt idx="29">
                  <c:v>285.19438858407307</c:v>
                </c:pt>
                <c:pt idx="30">
                  <c:v>309.64314037802706</c:v>
                </c:pt>
                <c:pt idx="31">
                  <c:v>273.99055606211823</c:v>
                </c:pt>
                <c:pt idx="32">
                  <c:v>296.38837122188016</c:v>
                </c:pt>
                <c:pt idx="33">
                  <c:v>318.74845191443995</c:v>
                </c:pt>
                <c:pt idx="34">
                  <c:v>341.07381596633996</c:v>
                </c:pt>
                <c:pt idx="35">
                  <c:v>363.3670539509107</c:v>
                </c:pt>
                <c:pt idx="36">
                  <c:v>325.36686982553408</c:v>
                </c:pt>
                <c:pt idx="37">
                  <c:v>345.20454595217711</c:v>
                </c:pt>
                <c:pt idx="38">
                  <c:v>365.01719063545926</c:v>
                </c:pt>
                <c:pt idx="39">
                  <c:v>384.80635300902645</c:v>
                </c:pt>
                <c:pt idx="40">
                  <c:v>404.57340992986127</c:v>
                </c:pt>
                <c:pt idx="41">
                  <c:v>363.77960344692701</c:v>
                </c:pt>
                <c:pt idx="42">
                  <c:v>380.68547719043937</c:v>
                </c:pt>
                <c:pt idx="43">
                  <c:v>397.57502530134622</c:v>
                </c:pt>
                <c:pt idx="44">
                  <c:v>414.44903871854268</c:v>
                </c:pt>
                <c:pt idx="45">
                  <c:v>431.30823874034053</c:v>
                </c:pt>
                <c:pt idx="46">
                  <c:v>400.86871209258271</c:v>
                </c:pt>
                <c:pt idx="47">
                  <c:v>415.68313267172829</c:v>
                </c:pt>
                <c:pt idx="48">
                  <c:v>430.48617222970421</c:v>
                </c:pt>
                <c:pt idx="49">
                  <c:v>445.27827716326095</c:v>
                </c:pt>
                <c:pt idx="50">
                  <c:v>460.05986179752381</c:v>
                </c:pt>
                <c:pt idx="51">
                  <c:v>437.4726694559651</c:v>
                </c:pt>
                <c:pt idx="52">
                  <c:v>449.79597029004339</c:v>
                </c:pt>
                <c:pt idx="53">
                  <c:v>462.11204968448214</c:v>
                </c:pt>
                <c:pt idx="54">
                  <c:v>474.42112721892153</c:v>
                </c:pt>
                <c:pt idx="55">
                  <c:v>486.72341015001894</c:v>
                </c:pt>
                <c:pt idx="56">
                  <c:v>470.72912659462128</c:v>
                </c:pt>
                <c:pt idx="57">
                  <c:v>481.39324229456093</c:v>
                </c:pt>
                <c:pt idx="58">
                  <c:v>492.05233905304038</c:v>
                </c:pt>
                <c:pt idx="59">
                  <c:v>502.70654092641371</c:v>
                </c:pt>
                <c:pt idx="60">
                  <c:v>513.35596628348583</c:v>
                </c:pt>
                <c:pt idx="61">
                  <c:v>497.78981755435296</c:v>
                </c:pt>
                <c:pt idx="62">
                  <c:v>506.8030327356762</c:v>
                </c:pt>
                <c:pt idx="63">
                  <c:v>515.81285970133592</c:v>
                </c:pt>
                <c:pt idx="64">
                  <c:v>524.81936598968662</c:v>
                </c:pt>
                <c:pt idx="65">
                  <c:v>533.8226166315709</c:v>
                </c:pt>
                <c:pt idx="66">
                  <c:v>519.08833363505858</c:v>
                </c:pt>
                <c:pt idx="67">
                  <c:v>526.86584290776045</c:v>
                </c:pt>
                <c:pt idx="68">
                  <c:v>534.64093470914429</c:v>
                </c:pt>
                <c:pt idx="69">
                  <c:v>542.4136491628301</c:v>
                </c:pt>
                <c:pt idx="70">
                  <c:v>550.18402514843217</c:v>
                </c:pt>
                <c:pt idx="71">
                  <c:v>536.68661476319755</c:v>
                </c:pt>
                <c:pt idx="72">
                  <c:v>543.64070511934517</c:v>
                </c:pt>
                <c:pt idx="73">
                  <c:v>550.59292824762156</c:v>
                </c:pt>
                <c:pt idx="74">
                  <c:v>557.54331105767415</c:v>
                </c:pt>
                <c:pt idx="75">
                  <c:v>564.49187973331652</c:v>
                </c:pt>
                <c:pt idx="76">
                  <c:v>551.81959936072406</c:v>
                </c:pt>
                <c:pt idx="77">
                  <c:v>557.54331105767415</c:v>
                </c:pt>
                <c:pt idx="78">
                  <c:v>563.26579242009177</c:v>
                </c:pt>
                <c:pt idx="79">
                  <c:v>568.9870577157609</c:v>
                </c:pt>
                <c:pt idx="80">
                  <c:v>574.70712090201823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2.3793080898225729</c:v>
                </c:pt>
                <c:pt idx="2">
                  <c:v>3.0003642996210083</c:v>
                </c:pt>
                <c:pt idx="3">
                  <c:v>3.7841678017287599</c:v>
                </c:pt>
                <c:pt idx="4">
                  <c:v>4.7735237790966574</c:v>
                </c:pt>
                <c:pt idx="5">
                  <c:v>6.0225346181057935</c:v>
                </c:pt>
                <c:pt idx="6">
                  <c:v>7.5995909853256647</c:v>
                </c:pt>
                <c:pt idx="7">
                  <c:v>9.5911571523689911</c:v>
                </c:pt>
                <c:pt idx="8">
                  <c:v>12.106562038828912</c:v>
                </c:pt>
                <c:pt idx="9">
                  <c:v>15.284063885053456</c:v>
                </c:pt>
                <c:pt idx="10">
                  <c:v>19.298528006020888</c:v>
                </c:pt>
                <c:pt idx="11">
                  <c:v>24.371147761410047</c:v>
                </c:pt>
                <c:pt idx="12">
                  <c:v>30.781753838224574</c:v>
                </c:pt>
                <c:pt idx="13">
                  <c:v>38.884402692877721</c:v>
                </c:pt>
                <c:pt idx="14">
                  <c:v>49.127119800966483</c:v>
                </c:pt>
                <c:pt idx="15">
                  <c:v>62.076907697013901</c:v>
                </c:pt>
                <c:pt idx="16">
                  <c:v>56.52447903948589</c:v>
                </c:pt>
                <c:pt idx="17">
                  <c:v>75.417287743586172</c:v>
                </c:pt>
                <c:pt idx="18">
                  <c:v>94.18861383711068</c:v>
                </c:pt>
                <c:pt idx="19">
                  <c:v>112.86626694477626</c:v>
                </c:pt>
                <c:pt idx="20">
                  <c:v>131.46799611812642</c:v>
                </c:pt>
                <c:pt idx="21">
                  <c:v>106.75681222125495</c:v>
                </c:pt>
                <c:pt idx="22">
                  <c:v>126.98414944146755</c:v>
                </c:pt>
                <c:pt idx="23">
                  <c:v>147.13326273728035</c:v>
                </c:pt>
                <c:pt idx="24">
                  <c:v>167.2163927003555</c:v>
                </c:pt>
                <c:pt idx="25">
                  <c:v>187.24258760716546</c:v>
                </c:pt>
                <c:pt idx="26">
                  <c:v>161.4845145207187</c:v>
                </c:pt>
                <c:pt idx="27">
                  <c:v>180.25531254791363</c:v>
                </c:pt>
                <c:pt idx="28">
                  <c:v>198.98032494703705</c:v>
                </c:pt>
                <c:pt idx="29">
                  <c:v>217.6644679358476</c:v>
                </c:pt>
                <c:pt idx="30">
                  <c:v>236.31174371498548</c:v>
                </c:pt>
                <c:pt idx="31">
                  <c:v>209.11889593919315</c:v>
                </c:pt>
                <c:pt idx="32">
                  <c:v>226.20232842131611</c:v>
                </c:pt>
                <c:pt idx="33">
                  <c:v>243.2562184477562</c:v>
                </c:pt>
                <c:pt idx="34">
                  <c:v>260.28292868621458</c:v>
                </c:pt>
                <c:pt idx="35">
                  <c:v>277.28448730625314</c:v>
                </c:pt>
                <c:pt idx="36">
                  <c:v>248.30390605743386</c:v>
                </c:pt>
                <c:pt idx="37">
                  <c:v>263.43320731240294</c:v>
                </c:pt>
                <c:pt idx="38">
                  <c:v>278.54291135662532</c:v>
                </c:pt>
                <c:pt idx="39">
                  <c:v>293.63423101263402</c:v>
                </c:pt>
                <c:pt idx="40">
                  <c:v>308.70824422691641</c:v>
                </c:pt>
                <c:pt idx="41">
                  <c:v>277.59910531675143</c:v>
                </c:pt>
                <c:pt idx="42">
                  <c:v>290.49166725088827</c:v>
                </c:pt>
                <c:pt idx="43">
                  <c:v>303.37144778612083</c:v>
                </c:pt>
                <c:pt idx="44">
                  <c:v>316.23906615147223</c:v>
                </c:pt>
                <c:pt idx="45">
                  <c:v>329.09508705409189</c:v>
                </c:pt>
                <c:pt idx="46">
                  <c:v>305.88313923039249</c:v>
                </c:pt>
                <c:pt idx="47">
                  <c:v>317.1801373243116</c:v>
                </c:pt>
                <c:pt idx="48">
                  <c:v>328.46822517413659</c:v>
                </c:pt>
                <c:pt idx="49">
                  <c:v>339.74775226555511</c:v>
                </c:pt>
                <c:pt idx="50">
                  <c:v>351.01904297525942</c:v>
                </c:pt>
                <c:pt idx="51">
                  <c:v>333.79571492319059</c:v>
                </c:pt>
                <c:pt idx="52">
                  <c:v>343.1926172490393</c:v>
                </c:pt>
                <c:pt idx="53">
                  <c:v>352.58386588275084</c:v>
                </c:pt>
                <c:pt idx="54">
                  <c:v>361.96963273404782</c:v>
                </c:pt>
                <c:pt idx="55">
                  <c:v>371.35008006494354</c:v>
                </c:pt>
                <c:pt idx="56">
                  <c:v>359.15446843311406</c:v>
                </c:pt>
                <c:pt idx="57">
                  <c:v>367.28586264352111</c:v>
                </c:pt>
                <c:pt idx="58">
                  <c:v>375.41332750586366</c:v>
                </c:pt>
                <c:pt idx="59">
                  <c:v>383.53696014432609</c:v>
                </c:pt>
                <c:pt idx="60">
                  <c:v>391.65685323028885</c:v>
                </c:pt>
                <c:pt idx="61">
                  <c:v>379.78806142237414</c:v>
                </c:pt>
                <c:pt idx="62">
                  <c:v>386.66043357385661</c:v>
                </c:pt>
                <c:pt idx="63">
                  <c:v>393.53015307860801</c:v>
                </c:pt>
                <c:pt idx="64">
                  <c:v>400.39727281265851</c:v>
                </c:pt>
                <c:pt idx="65">
                  <c:v>407.26184368889852</c:v>
                </c:pt>
                <c:pt idx="66">
                  <c:v>396.02758560852732</c:v>
                </c:pt>
                <c:pt idx="67">
                  <c:v>401.95762458122334</c:v>
                </c:pt>
                <c:pt idx="68">
                  <c:v>407.88577090657145</c:v>
                </c:pt>
                <c:pt idx="69">
                  <c:v>413.81205599750388</c:v>
                </c:pt>
                <c:pt idx="70">
                  <c:v>419.73651029301612</c:v>
                </c:pt>
                <c:pt idx="71">
                  <c:v>409.44549880731046</c:v>
                </c:pt>
                <c:pt idx="72">
                  <c:v>414.74761709639341</c:v>
                </c:pt>
                <c:pt idx="73">
                  <c:v>420.04827352578349</c:v>
                </c:pt>
                <c:pt idx="74">
                  <c:v>425.34748916314447</c:v>
                </c:pt>
                <c:pt idx="75">
                  <c:v>430.64528450788202</c:v>
                </c:pt>
                <c:pt idx="76">
                  <c:v>420.98353332932419</c:v>
                </c:pt>
                <c:pt idx="77">
                  <c:v>425.34748916314447</c:v>
                </c:pt>
                <c:pt idx="78">
                  <c:v>429.71048176345192</c:v>
                </c:pt>
                <c:pt idx="79">
                  <c:v>434.07252230054763</c:v>
                </c:pt>
                <c:pt idx="80">
                  <c:v>438.43362170168325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7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F7" sqref="F7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10.83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14</v>
      </c>
      <c r="C9" s="32">
        <v>0.08</v>
      </c>
      <c r="D9" s="33">
        <f t="shared" ref="D9:D18" si="0">C9*$C$5</f>
        <v>0.86640000000000006</v>
      </c>
      <c r="E9" s="34">
        <v>171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12</v>
      </c>
      <c r="C10" s="32">
        <v>0.08</v>
      </c>
      <c r="D10" s="33">
        <f t="shared" si="0"/>
        <v>0.86640000000000006</v>
      </c>
      <c r="E10" s="34">
        <v>171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13</v>
      </c>
      <c r="C11" s="32">
        <v>0.14000000000000001</v>
      </c>
      <c r="D11" s="33">
        <f t="shared" si="0"/>
        <v>1.5162000000000002</v>
      </c>
      <c r="E11" s="34">
        <v>70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18</v>
      </c>
      <c r="C12" s="32">
        <v>0.18</v>
      </c>
      <c r="D12" s="33">
        <f t="shared" si="0"/>
        <v>1.9494</v>
      </c>
      <c r="E12" s="34">
        <v>60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81</v>
      </c>
      <c r="C13" s="32">
        <v>0.18</v>
      </c>
      <c r="D13" s="33">
        <f t="shared" si="0"/>
        <v>1.9494</v>
      </c>
      <c r="E13" s="34">
        <v>60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30</v>
      </c>
      <c r="C14" s="32">
        <v>0.18</v>
      </c>
      <c r="D14" s="33">
        <f t="shared" si="0"/>
        <v>1.9494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 t="s">
        <v>1</v>
      </c>
      <c r="C15" s="32">
        <v>0.02</v>
      </c>
      <c r="D15" s="33">
        <f t="shared" si="0"/>
        <v>0.21660000000000001</v>
      </c>
      <c r="E15" s="34">
        <v>80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 t="s">
        <v>8</v>
      </c>
      <c r="C16" s="32">
        <v>0.14000000000000001</v>
      </c>
      <c r="D16" s="33">
        <f t="shared" si="0"/>
        <v>1.5162000000000002</v>
      </c>
      <c r="E16" s="34">
        <v>80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10.83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42</v>
      </c>
      <c r="B36" s="60">
        <v>126</v>
      </c>
      <c r="C36" s="60">
        <v>1</v>
      </c>
      <c r="D36" s="60">
        <v>30</v>
      </c>
      <c r="E36" s="51">
        <v>0</v>
      </c>
      <c r="F36" s="51">
        <v>0</v>
      </c>
      <c r="G36" s="51">
        <v>0</v>
      </c>
      <c r="H36" s="51">
        <v>1</v>
      </c>
      <c r="I36" s="49">
        <f>IFERROR(B36/A36,"")</f>
        <v>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50</v>
      </c>
      <c r="B37" s="60">
        <v>151</v>
      </c>
      <c r="C37" s="60">
        <v>2</v>
      </c>
      <c r="D37" s="60">
        <v>35</v>
      </c>
      <c r="E37" s="51">
        <v>0</v>
      </c>
      <c r="F37" s="51">
        <v>0.5</v>
      </c>
      <c r="G37" s="51">
        <v>0</v>
      </c>
      <c r="H37" s="51">
        <v>0.5</v>
      </c>
      <c r="I37" s="53">
        <f t="shared" ref="I37:I55" si="1">IF(A37&lt;&gt;0,(B37-(B36-D36))/(A37-A36),"")</f>
        <v>6.875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58</v>
      </c>
      <c r="B38" s="60">
        <v>179</v>
      </c>
      <c r="C38" s="60">
        <v>3</v>
      </c>
      <c r="D38" s="60">
        <v>44</v>
      </c>
      <c r="E38" s="51">
        <v>0</v>
      </c>
      <c r="F38" s="51">
        <v>0.5</v>
      </c>
      <c r="G38" s="51">
        <v>0</v>
      </c>
      <c r="H38" s="51">
        <v>0.5</v>
      </c>
      <c r="I38" s="53">
        <f t="shared" si="1"/>
        <v>7.875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66</v>
      </c>
      <c r="B39" s="60">
        <v>190</v>
      </c>
      <c r="C39" s="60">
        <v>4</v>
      </c>
      <c r="D39" s="60">
        <v>39</v>
      </c>
      <c r="E39" s="51">
        <v>0</v>
      </c>
      <c r="F39" s="51">
        <v>0.5</v>
      </c>
      <c r="G39" s="51">
        <v>0</v>
      </c>
      <c r="H39" s="51">
        <v>0.5</v>
      </c>
      <c r="I39" s="49">
        <f t="shared" si="1"/>
        <v>6.875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75</v>
      </c>
      <c r="B40" s="60">
        <v>208</v>
      </c>
      <c r="C40" s="60">
        <v>5</v>
      </c>
      <c r="D40" s="60">
        <v>37</v>
      </c>
      <c r="E40" s="51">
        <v>0</v>
      </c>
      <c r="F40" s="51">
        <v>0.5</v>
      </c>
      <c r="G40" s="51">
        <v>0</v>
      </c>
      <c r="H40" s="51">
        <v>0.5</v>
      </c>
      <c r="I40" s="49">
        <f t="shared" si="1"/>
        <v>6.333333333333333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84</v>
      </c>
      <c r="B41" s="60">
        <v>224</v>
      </c>
      <c r="C41" s="60">
        <v>6</v>
      </c>
      <c r="D41" s="60">
        <v>36</v>
      </c>
      <c r="E41" s="51">
        <v>0.1</v>
      </c>
      <c r="F41" s="51">
        <v>0.5</v>
      </c>
      <c r="G41" s="51">
        <v>0</v>
      </c>
      <c r="H41" s="51">
        <v>0.4</v>
      </c>
      <c r="I41" s="53">
        <f t="shared" si="1"/>
        <v>5.8888888888888893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93</v>
      </c>
      <c r="B42" s="60">
        <v>240</v>
      </c>
      <c r="C42" s="60">
        <v>7</v>
      </c>
      <c r="D42" s="60">
        <v>35</v>
      </c>
      <c r="E42" s="51">
        <v>0.3</v>
      </c>
      <c r="F42" s="51">
        <v>0.35</v>
      </c>
      <c r="G42" s="51">
        <v>0</v>
      </c>
      <c r="H42" s="51">
        <v>0.35</v>
      </c>
      <c r="I42" s="53">
        <f t="shared" si="1"/>
        <v>5.7777777777777777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103</v>
      </c>
      <c r="B43" s="60">
        <v>262</v>
      </c>
      <c r="C43" s="60">
        <v>8</v>
      </c>
      <c r="D43" s="60">
        <v>38</v>
      </c>
      <c r="E43" s="51">
        <v>0.4</v>
      </c>
      <c r="F43" s="51">
        <v>0.3</v>
      </c>
      <c r="G43" s="51">
        <v>0</v>
      </c>
      <c r="H43" s="51">
        <v>0.3</v>
      </c>
      <c r="I43" s="49">
        <f t="shared" si="1"/>
        <v>5.7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113</v>
      </c>
      <c r="B44" s="60">
        <v>284</v>
      </c>
      <c r="C44" s="60">
        <v>9</v>
      </c>
      <c r="D44" s="60">
        <v>42</v>
      </c>
      <c r="E44" s="51">
        <v>0.7</v>
      </c>
      <c r="F44" s="51">
        <v>0.1</v>
      </c>
      <c r="G44" s="51">
        <v>0</v>
      </c>
      <c r="H44" s="51">
        <v>0.2</v>
      </c>
      <c r="I44" s="49">
        <f t="shared" si="1"/>
        <v>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123</v>
      </c>
      <c r="B45" s="60">
        <v>306</v>
      </c>
      <c r="C45" s="60">
        <v>10</v>
      </c>
      <c r="D45" s="60">
        <v>46</v>
      </c>
      <c r="E45" s="51">
        <v>0.7</v>
      </c>
      <c r="F45" s="51">
        <v>0.1</v>
      </c>
      <c r="G45" s="51">
        <v>0</v>
      </c>
      <c r="H45" s="51">
        <v>0.2</v>
      </c>
      <c r="I45" s="49">
        <f t="shared" si="1"/>
        <v>6.4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>
        <v>135</v>
      </c>
      <c r="B46" s="60">
        <v>329</v>
      </c>
      <c r="C46" s="60">
        <v>11</v>
      </c>
      <c r="D46" s="60">
        <v>48</v>
      </c>
      <c r="E46" s="51">
        <v>0.7</v>
      </c>
      <c r="F46" s="51">
        <v>0.1</v>
      </c>
      <c r="G46" s="51">
        <v>0</v>
      </c>
      <c r="H46" s="51">
        <v>0.2</v>
      </c>
      <c r="I46" s="49">
        <f t="shared" si="1"/>
        <v>5.75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>
        <v>147</v>
      </c>
      <c r="B47" s="60">
        <v>351</v>
      </c>
      <c r="C47" s="60">
        <v>12</v>
      </c>
      <c r="D47" s="60">
        <v>48</v>
      </c>
      <c r="E47" s="51">
        <v>0.7</v>
      </c>
      <c r="F47" s="51">
        <v>0.1</v>
      </c>
      <c r="G47" s="51">
        <v>0</v>
      </c>
      <c r="H47" s="51">
        <v>0.2</v>
      </c>
      <c r="I47" s="49">
        <f t="shared" si="1"/>
        <v>5.833333333333333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>
        <v>159</v>
      </c>
      <c r="B48" s="60">
        <v>374</v>
      </c>
      <c r="C48" s="60">
        <v>13</v>
      </c>
      <c r="D48" s="60">
        <v>47</v>
      </c>
      <c r="E48" s="51">
        <v>0.7</v>
      </c>
      <c r="F48" s="51">
        <v>0.1</v>
      </c>
      <c r="G48" s="51">
        <v>0</v>
      </c>
      <c r="H48" s="51">
        <v>0.2</v>
      </c>
      <c r="I48" s="49">
        <f t="shared" si="1"/>
        <v>5.916666666666667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>
        <v>171</v>
      </c>
      <c r="B49" s="60">
        <v>399</v>
      </c>
      <c r="C49" s="60" t="s">
        <v>324</v>
      </c>
      <c r="D49" s="60">
        <f>B49</f>
        <v>399</v>
      </c>
      <c r="E49" s="51">
        <v>0.7</v>
      </c>
      <c r="F49" s="51">
        <v>0.1</v>
      </c>
      <c r="G49" s="51">
        <v>0</v>
      </c>
      <c r="H49" s="51">
        <v>0.2</v>
      </c>
      <c r="I49" s="49">
        <f t="shared" si="1"/>
        <v>6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Chêne pubescent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42</v>
      </c>
      <c r="B62" s="60">
        <v>126</v>
      </c>
      <c r="C62" s="60">
        <v>1</v>
      </c>
      <c r="D62" s="60">
        <v>30</v>
      </c>
      <c r="E62" s="51">
        <v>0</v>
      </c>
      <c r="F62" s="51">
        <v>0</v>
      </c>
      <c r="G62" s="51">
        <v>0</v>
      </c>
      <c r="H62" s="51">
        <v>1</v>
      </c>
      <c r="I62" s="53">
        <f>IFERROR(B62/A62,"")</f>
        <v>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50</v>
      </c>
      <c r="B63" s="60">
        <v>151</v>
      </c>
      <c r="C63" s="60">
        <v>2</v>
      </c>
      <c r="D63" s="60">
        <v>35</v>
      </c>
      <c r="E63" s="51">
        <v>0</v>
      </c>
      <c r="F63" s="51">
        <v>0.5</v>
      </c>
      <c r="G63" s="51">
        <v>0</v>
      </c>
      <c r="H63" s="51">
        <v>0.5</v>
      </c>
      <c r="I63" s="49">
        <f>IF(A63&lt;&gt;0,(B63-(B62-D62))/(A63-A62),"")</f>
        <v>6.875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58</v>
      </c>
      <c r="B64" s="60">
        <v>179</v>
      </c>
      <c r="C64" s="60">
        <v>3</v>
      </c>
      <c r="D64" s="60">
        <v>44</v>
      </c>
      <c r="E64" s="51">
        <v>0</v>
      </c>
      <c r="F64" s="51">
        <v>0.5</v>
      </c>
      <c r="G64" s="51">
        <v>0</v>
      </c>
      <c r="H64" s="51">
        <v>0.5</v>
      </c>
      <c r="I64" s="49">
        <f>IF(A64&lt;&gt;0,(B64-(B63-D63))/(A64-A63),"")</f>
        <v>7.875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66</v>
      </c>
      <c r="B65" s="60">
        <v>190</v>
      </c>
      <c r="C65" s="60">
        <v>4</v>
      </c>
      <c r="D65" s="60">
        <v>39</v>
      </c>
      <c r="E65" s="51">
        <v>0</v>
      </c>
      <c r="F65" s="51">
        <v>0.5</v>
      </c>
      <c r="G65" s="51">
        <v>0</v>
      </c>
      <c r="H65" s="51">
        <v>0.5</v>
      </c>
      <c r="I65" s="49">
        <f>IF(A65&lt;&gt;0,(B65-(B64-D64))/(A65-A64),"")</f>
        <v>6.875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75</v>
      </c>
      <c r="B66" s="60">
        <v>208</v>
      </c>
      <c r="C66" s="60">
        <v>5</v>
      </c>
      <c r="D66" s="60">
        <v>37</v>
      </c>
      <c r="E66" s="51">
        <v>0</v>
      </c>
      <c r="F66" s="51">
        <v>0.5</v>
      </c>
      <c r="G66" s="51">
        <v>0</v>
      </c>
      <c r="H66" s="51">
        <v>0.5</v>
      </c>
      <c r="I66" s="49">
        <f t="shared" ref="I66:I81" si="2">IF(A66&lt;&gt;0,(B66-(B65-D65))/(A66-A65),"")</f>
        <v>6.333333333333333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84</v>
      </c>
      <c r="B67" s="60">
        <v>224</v>
      </c>
      <c r="C67" s="60">
        <v>6</v>
      </c>
      <c r="D67" s="60">
        <v>36</v>
      </c>
      <c r="E67" s="51">
        <v>0.1</v>
      </c>
      <c r="F67" s="51">
        <v>0.5</v>
      </c>
      <c r="G67" s="51">
        <v>0</v>
      </c>
      <c r="H67" s="51">
        <v>0.4</v>
      </c>
      <c r="I67" s="49">
        <f t="shared" si="2"/>
        <v>5.8888888888888893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93</v>
      </c>
      <c r="B68" s="60">
        <v>240</v>
      </c>
      <c r="C68" s="60">
        <v>7</v>
      </c>
      <c r="D68" s="60">
        <v>35</v>
      </c>
      <c r="E68" s="51">
        <v>0.3</v>
      </c>
      <c r="F68" s="51">
        <v>0.35</v>
      </c>
      <c r="G68" s="51">
        <v>0</v>
      </c>
      <c r="H68" s="51">
        <v>0.35</v>
      </c>
      <c r="I68" s="49">
        <f t="shared" si="2"/>
        <v>5.7777777777777777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103</v>
      </c>
      <c r="B69" s="50">
        <v>262</v>
      </c>
      <c r="C69" s="50">
        <v>8</v>
      </c>
      <c r="D69" s="50">
        <v>38</v>
      </c>
      <c r="E69" s="51">
        <v>0.4</v>
      </c>
      <c r="F69" s="51">
        <v>0.3</v>
      </c>
      <c r="G69" s="51">
        <v>0</v>
      </c>
      <c r="H69" s="51">
        <v>0.3</v>
      </c>
      <c r="I69" s="49">
        <f t="shared" si="2"/>
        <v>5.7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113</v>
      </c>
      <c r="B70" s="50">
        <v>284</v>
      </c>
      <c r="C70" s="50">
        <v>9</v>
      </c>
      <c r="D70" s="50">
        <v>42</v>
      </c>
      <c r="E70" s="51">
        <v>0.7</v>
      </c>
      <c r="F70" s="51">
        <v>0.1</v>
      </c>
      <c r="G70" s="51">
        <v>0</v>
      </c>
      <c r="H70" s="51">
        <v>0.2</v>
      </c>
      <c r="I70" s="49">
        <f t="shared" si="2"/>
        <v>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123</v>
      </c>
      <c r="B71" s="50">
        <v>306</v>
      </c>
      <c r="C71" s="50">
        <v>10</v>
      </c>
      <c r="D71" s="50">
        <v>46</v>
      </c>
      <c r="E71" s="51">
        <v>0.7</v>
      </c>
      <c r="F71" s="51">
        <v>0.1</v>
      </c>
      <c r="G71" s="51">
        <v>0</v>
      </c>
      <c r="H71" s="51">
        <v>0.2</v>
      </c>
      <c r="I71" s="49">
        <f t="shared" si="2"/>
        <v>6.4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>
        <v>135</v>
      </c>
      <c r="B72" s="50">
        <v>329</v>
      </c>
      <c r="C72" s="50">
        <v>11</v>
      </c>
      <c r="D72" s="50">
        <v>48</v>
      </c>
      <c r="E72" s="51">
        <v>0.7</v>
      </c>
      <c r="F72" s="51">
        <v>0.1</v>
      </c>
      <c r="G72" s="51">
        <v>0</v>
      </c>
      <c r="H72" s="51">
        <v>0.2</v>
      </c>
      <c r="I72" s="49">
        <f t="shared" si="2"/>
        <v>5.75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>
        <v>147</v>
      </c>
      <c r="B73" s="50">
        <v>351</v>
      </c>
      <c r="C73" s="50">
        <v>12</v>
      </c>
      <c r="D73" s="50">
        <v>48</v>
      </c>
      <c r="E73" s="51">
        <v>0.7</v>
      </c>
      <c r="F73" s="51">
        <v>0.1</v>
      </c>
      <c r="G73" s="51">
        <v>0</v>
      </c>
      <c r="H73" s="51">
        <v>0.2</v>
      </c>
      <c r="I73" s="49">
        <f t="shared" si="2"/>
        <v>5.833333333333333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>
        <v>159</v>
      </c>
      <c r="B74" s="50">
        <v>374</v>
      </c>
      <c r="C74" s="50">
        <v>13</v>
      </c>
      <c r="D74" s="50">
        <v>47</v>
      </c>
      <c r="E74" s="51">
        <v>0.7</v>
      </c>
      <c r="F74" s="51">
        <v>0.1</v>
      </c>
      <c r="G74" s="51">
        <v>0</v>
      </c>
      <c r="H74" s="51">
        <v>0.2</v>
      </c>
      <c r="I74" s="49">
        <f t="shared" si="2"/>
        <v>5.916666666666667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>
        <v>171</v>
      </c>
      <c r="B75" s="50">
        <v>399</v>
      </c>
      <c r="C75" s="50" t="s">
        <v>324</v>
      </c>
      <c r="D75" s="50">
        <f>B75</f>
        <v>399</v>
      </c>
      <c r="E75" s="51">
        <v>0.7</v>
      </c>
      <c r="F75" s="51">
        <v>0.1</v>
      </c>
      <c r="G75" s="51">
        <v>0</v>
      </c>
      <c r="H75" s="51">
        <v>0.2</v>
      </c>
      <c r="I75" s="49">
        <f t="shared" si="2"/>
        <v>6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Chêne rouge d'Amérique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20</v>
      </c>
      <c r="B88" s="60">
        <v>137</v>
      </c>
      <c r="C88" s="60">
        <v>1</v>
      </c>
      <c r="D88" s="60">
        <v>43</v>
      </c>
      <c r="E88" s="51">
        <v>0</v>
      </c>
      <c r="F88" s="51">
        <v>0</v>
      </c>
      <c r="G88" s="51">
        <v>0</v>
      </c>
      <c r="H88" s="87">
        <v>1</v>
      </c>
      <c r="I88" s="53">
        <f>IFERROR(B88/A88,"")</f>
        <v>6.85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30</v>
      </c>
      <c r="B89" s="60">
        <v>184</v>
      </c>
      <c r="C89" s="60">
        <v>2</v>
      </c>
      <c r="D89" s="60">
        <v>44</v>
      </c>
      <c r="E89" s="51">
        <v>0</v>
      </c>
      <c r="F89" s="51">
        <v>0</v>
      </c>
      <c r="G89" s="51">
        <v>0</v>
      </c>
      <c r="H89" s="87">
        <v>1</v>
      </c>
      <c r="I89" s="53">
        <f t="shared" ref="I89:I107" si="3">IF(A89&lt;&gt;0,(B89-(B88-D88))/(A89-A88),"")</f>
        <v>9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40</v>
      </c>
      <c r="B90" s="60">
        <v>213</v>
      </c>
      <c r="C90" s="60">
        <v>3</v>
      </c>
      <c r="D90" s="60">
        <v>39</v>
      </c>
      <c r="E90" s="87">
        <v>0.2</v>
      </c>
      <c r="F90" s="87">
        <v>0.3</v>
      </c>
      <c r="G90" s="87">
        <v>0.3</v>
      </c>
      <c r="H90" s="87">
        <v>0.2</v>
      </c>
      <c r="I90" s="53">
        <f t="shared" si="3"/>
        <v>7.3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50</v>
      </c>
      <c r="B91" s="60">
        <v>231</v>
      </c>
      <c r="C91" s="60">
        <v>4</v>
      </c>
      <c r="D91" s="60">
        <v>33</v>
      </c>
      <c r="E91" s="87">
        <v>0.3</v>
      </c>
      <c r="F91" s="87">
        <v>0.2</v>
      </c>
      <c r="G91" s="87">
        <v>0.3</v>
      </c>
      <c r="H91" s="87">
        <v>0.2</v>
      </c>
      <c r="I91" s="53">
        <f t="shared" si="3"/>
        <v>5.7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60</v>
      </c>
      <c r="B92" s="60">
        <v>242</v>
      </c>
      <c r="C92" s="60">
        <v>5</v>
      </c>
      <c r="D92" s="60">
        <v>26</v>
      </c>
      <c r="E92" s="87">
        <v>0.5</v>
      </c>
      <c r="F92" s="87">
        <v>0.2</v>
      </c>
      <c r="G92" s="87">
        <v>0.2</v>
      </c>
      <c r="H92" s="87">
        <v>0.1</v>
      </c>
      <c r="I92" s="53">
        <f t="shared" si="3"/>
        <v>4.4000000000000004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70</v>
      </c>
      <c r="B93" s="60">
        <v>249</v>
      </c>
      <c r="C93" s="60">
        <v>6</v>
      </c>
      <c r="D93" s="60">
        <v>249</v>
      </c>
      <c r="E93" s="87">
        <v>0.7</v>
      </c>
      <c r="F93" s="87">
        <v>0</v>
      </c>
      <c r="G93" s="87">
        <v>0.2</v>
      </c>
      <c r="H93" s="87">
        <v>0.1</v>
      </c>
      <c r="I93" s="53">
        <f t="shared" si="3"/>
        <v>3.3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Douglas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19</v>
      </c>
      <c r="B114" s="60">
        <v>162</v>
      </c>
      <c r="C114" s="50">
        <v>0</v>
      </c>
      <c r="D114" s="60">
        <v>0</v>
      </c>
      <c r="E114" s="51">
        <v>0</v>
      </c>
      <c r="F114" s="51">
        <v>0.6</v>
      </c>
      <c r="G114" s="51">
        <v>0.4</v>
      </c>
      <c r="H114" s="51">
        <v>0</v>
      </c>
      <c r="I114" s="53">
        <f>IFERROR(B114/A114,"")</f>
        <v>8.526315789473685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25</v>
      </c>
      <c r="B115" s="60">
        <f>281+D115</f>
        <v>335</v>
      </c>
      <c r="C115" s="50">
        <v>1</v>
      </c>
      <c r="D115" s="60">
        <v>54</v>
      </c>
      <c r="E115" s="51">
        <v>0</v>
      </c>
      <c r="F115" s="51">
        <v>0.6</v>
      </c>
      <c r="G115" s="51">
        <v>0.4</v>
      </c>
      <c r="H115" s="51">
        <v>0</v>
      </c>
      <c r="I115" s="53">
        <f t="shared" ref="I115:I133" si="4">IF(A115&lt;&gt;0,(B115-(B114-D114))/(A115-A114),"")</f>
        <v>28.833333333333332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30</v>
      </c>
      <c r="B116" s="60">
        <f>367+D116</f>
        <v>421</v>
      </c>
      <c r="C116" s="50">
        <v>2</v>
      </c>
      <c r="D116" s="60">
        <v>54</v>
      </c>
      <c r="E116" s="51">
        <v>0</v>
      </c>
      <c r="F116" s="51">
        <v>0.6</v>
      </c>
      <c r="G116" s="51">
        <v>0.4</v>
      </c>
      <c r="H116" s="51">
        <v>0</v>
      </c>
      <c r="I116" s="53">
        <f t="shared" si="4"/>
        <v>28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35</v>
      </c>
      <c r="B117" s="60">
        <f>436+D117</f>
        <v>505</v>
      </c>
      <c r="C117" s="50">
        <v>3</v>
      </c>
      <c r="D117" s="60">
        <v>69</v>
      </c>
      <c r="E117" s="51">
        <v>0.2</v>
      </c>
      <c r="F117" s="51">
        <v>0.4</v>
      </c>
      <c r="G117" s="51">
        <v>0.4</v>
      </c>
      <c r="H117" s="51">
        <v>0</v>
      </c>
      <c r="I117" s="53">
        <f t="shared" si="4"/>
        <v>27.6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40</v>
      </c>
      <c r="B118" s="60">
        <f>492+D118</f>
        <v>564</v>
      </c>
      <c r="C118" s="50">
        <v>4</v>
      </c>
      <c r="D118" s="60">
        <v>72</v>
      </c>
      <c r="E118" s="51">
        <v>0.4</v>
      </c>
      <c r="F118" s="51">
        <v>0.3</v>
      </c>
      <c r="G118" s="51">
        <v>0.3</v>
      </c>
      <c r="H118" s="51">
        <v>0</v>
      </c>
      <c r="I118" s="53">
        <f t="shared" si="4"/>
        <v>25.6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45</v>
      </c>
      <c r="B119" s="60">
        <f>540+D119</f>
        <v>606</v>
      </c>
      <c r="C119" s="50">
        <v>5</v>
      </c>
      <c r="D119" s="60">
        <v>66</v>
      </c>
      <c r="E119" s="51">
        <v>0.5</v>
      </c>
      <c r="F119" s="51">
        <v>0.3</v>
      </c>
      <c r="G119" s="51">
        <v>0.2</v>
      </c>
      <c r="H119" s="51">
        <v>0</v>
      </c>
      <c r="I119" s="53">
        <f t="shared" si="4"/>
        <v>22.8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50</v>
      </c>
      <c r="B120" s="60">
        <f>581+D120</f>
        <v>629</v>
      </c>
      <c r="C120" s="60">
        <v>6</v>
      </c>
      <c r="D120" s="60">
        <v>48</v>
      </c>
      <c r="E120" s="87">
        <v>0.5</v>
      </c>
      <c r="F120" s="87">
        <v>0.3</v>
      </c>
      <c r="G120" s="87">
        <v>0.2</v>
      </c>
      <c r="H120" s="87">
        <v>0</v>
      </c>
      <c r="I120" s="53">
        <f t="shared" si="4"/>
        <v>17.8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55</v>
      </c>
      <c r="B121" s="60">
        <f>615+D121</f>
        <v>650</v>
      </c>
      <c r="C121" s="60">
        <v>7</v>
      </c>
      <c r="D121" s="60">
        <v>35</v>
      </c>
      <c r="E121" s="87">
        <v>0.6</v>
      </c>
      <c r="F121" s="87">
        <v>0.2</v>
      </c>
      <c r="G121" s="87">
        <v>0.2</v>
      </c>
      <c r="H121" s="87">
        <v>0</v>
      </c>
      <c r="I121" s="53">
        <f t="shared" si="4"/>
        <v>13.8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>
        <v>60</v>
      </c>
      <c r="B122" s="60">
        <f>637+29</f>
        <v>666</v>
      </c>
      <c r="C122" s="60" t="s">
        <v>324</v>
      </c>
      <c r="D122" s="60">
        <f>B122</f>
        <v>666</v>
      </c>
      <c r="E122" s="87">
        <v>0.8</v>
      </c>
      <c r="F122" s="87">
        <v>0.1</v>
      </c>
      <c r="G122" s="87">
        <v>0.1</v>
      </c>
      <c r="H122" s="87">
        <v>0</v>
      </c>
      <c r="I122" s="53">
        <f t="shared" si="4"/>
        <v>10.199999999999999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Mélèze hybride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18</v>
      </c>
      <c r="B140" s="60">
        <v>112</v>
      </c>
      <c r="C140" s="50">
        <v>1</v>
      </c>
      <c r="D140" s="60">
        <v>20</v>
      </c>
      <c r="E140" s="51">
        <v>0</v>
      </c>
      <c r="F140" s="51">
        <v>0.6</v>
      </c>
      <c r="G140" s="51">
        <v>0.4</v>
      </c>
      <c r="H140" s="51">
        <v>0</v>
      </c>
      <c r="I140" s="57">
        <f>IFERROR(B140/A140,"")</f>
        <v>6.2222222222222223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21</v>
      </c>
      <c r="B141" s="60">
        <v>146</v>
      </c>
      <c r="C141" s="50">
        <v>2</v>
      </c>
      <c r="D141" s="60">
        <v>26</v>
      </c>
      <c r="E141" s="51">
        <v>0</v>
      </c>
      <c r="F141" s="51">
        <v>0.6</v>
      </c>
      <c r="G141" s="51">
        <v>0.4</v>
      </c>
      <c r="H141" s="51">
        <v>0</v>
      </c>
      <c r="I141" s="57">
        <f t="shared" ref="I141:I159" si="5">IF(A141&lt;&gt;0,(B141-(B140-D140))/(A141-A140),"")</f>
        <v>18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24</v>
      </c>
      <c r="B142" s="60">
        <v>168</v>
      </c>
      <c r="C142" s="50">
        <v>3</v>
      </c>
      <c r="D142" s="60">
        <v>29</v>
      </c>
      <c r="E142" s="51">
        <v>0</v>
      </c>
      <c r="F142" s="51">
        <v>0.6</v>
      </c>
      <c r="G142" s="51">
        <v>0.4</v>
      </c>
      <c r="H142" s="51">
        <v>0</v>
      </c>
      <c r="I142" s="57">
        <f t="shared" si="5"/>
        <v>16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30</v>
      </c>
      <c r="B143" s="60">
        <v>224</v>
      </c>
      <c r="C143" s="50">
        <v>4</v>
      </c>
      <c r="D143" s="60">
        <v>53</v>
      </c>
      <c r="E143" s="51">
        <v>0.2</v>
      </c>
      <c r="F143" s="51">
        <v>0.4</v>
      </c>
      <c r="G143" s="51">
        <v>0.4</v>
      </c>
      <c r="H143" s="51">
        <v>0</v>
      </c>
      <c r="I143" s="57">
        <f t="shared" si="5"/>
        <v>14.166666666666666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36</v>
      </c>
      <c r="B144" s="60">
        <v>248</v>
      </c>
      <c r="C144" s="50">
        <v>5</v>
      </c>
      <c r="D144" s="60">
        <v>62</v>
      </c>
      <c r="E144" s="51">
        <v>0.4</v>
      </c>
      <c r="F144" s="51">
        <v>0.3</v>
      </c>
      <c r="G144" s="51">
        <v>0.3</v>
      </c>
      <c r="H144" s="51">
        <v>0</v>
      </c>
      <c r="I144" s="57">
        <f t="shared" si="5"/>
        <v>12.833333333333334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42</v>
      </c>
      <c r="B145" s="60">
        <v>255</v>
      </c>
      <c r="C145" s="50">
        <v>6</v>
      </c>
      <c r="D145" s="60">
        <v>67</v>
      </c>
      <c r="E145" s="51">
        <v>0.6</v>
      </c>
      <c r="F145" s="51">
        <v>0.2</v>
      </c>
      <c r="G145" s="51">
        <v>0.2</v>
      </c>
      <c r="H145" s="51">
        <v>0</v>
      </c>
      <c r="I145" s="57">
        <f t="shared" si="5"/>
        <v>11.5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48</v>
      </c>
      <c r="B146" s="60">
        <v>252</v>
      </c>
      <c r="C146" s="50">
        <v>7</v>
      </c>
      <c r="D146" s="60">
        <v>65</v>
      </c>
      <c r="E146" s="51">
        <v>0.7</v>
      </c>
      <c r="F146" s="51">
        <v>0.2</v>
      </c>
      <c r="G146" s="51">
        <v>0.1</v>
      </c>
      <c r="H146" s="51">
        <v>0</v>
      </c>
      <c r="I146" s="57">
        <f t="shared" si="5"/>
        <v>10.666666666666666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>
        <v>60</v>
      </c>
      <c r="B147" s="60">
        <v>304</v>
      </c>
      <c r="C147" s="50" t="s">
        <v>324</v>
      </c>
      <c r="D147" s="60">
        <v>304</v>
      </c>
      <c r="E147" s="51">
        <v>0.8</v>
      </c>
      <c r="F147" s="51">
        <v>0.1</v>
      </c>
      <c r="G147" s="51">
        <v>0.1</v>
      </c>
      <c r="H147" s="51">
        <v>0</v>
      </c>
      <c r="I147" s="57">
        <f>IF(A147&lt;&gt;0,(B147-(B146-D146))/(A147-A146),"")</f>
        <v>9.75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Noyer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15</v>
      </c>
      <c r="B166" s="60">
        <f>22+D166</f>
        <v>37</v>
      </c>
      <c r="C166" s="60">
        <v>1</v>
      </c>
      <c r="D166" s="60">
        <v>15</v>
      </c>
      <c r="E166" s="51">
        <v>0</v>
      </c>
      <c r="F166" s="51">
        <v>0</v>
      </c>
      <c r="G166" s="51">
        <v>0</v>
      </c>
      <c r="H166" s="51">
        <v>1</v>
      </c>
      <c r="I166" s="49">
        <f>IFERROR(B166/A166,"")</f>
        <v>2.4666666666666668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20</v>
      </c>
      <c r="B167" s="60">
        <f>52+D167</f>
        <v>80</v>
      </c>
      <c r="C167" s="60">
        <v>2</v>
      </c>
      <c r="D167" s="60">
        <v>28</v>
      </c>
      <c r="E167" s="51">
        <v>0</v>
      </c>
      <c r="F167" s="51">
        <v>0</v>
      </c>
      <c r="G167" s="51">
        <v>0</v>
      </c>
      <c r="H167" s="51">
        <v>1</v>
      </c>
      <c r="I167" s="49">
        <f t="shared" ref="I167:I185" si="6">IF(A167&lt;&gt;0,(B167-(B166-D166))/(A167-A166),"")</f>
        <v>11.6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25</v>
      </c>
      <c r="B168" s="60">
        <f>87+D168</f>
        <v>115</v>
      </c>
      <c r="C168" s="60">
        <v>3</v>
      </c>
      <c r="D168" s="60">
        <v>28</v>
      </c>
      <c r="E168" s="51">
        <v>0</v>
      </c>
      <c r="F168" s="51">
        <v>0</v>
      </c>
      <c r="G168" s="51">
        <v>0</v>
      </c>
      <c r="H168" s="51">
        <v>1</v>
      </c>
      <c r="I168" s="49">
        <f t="shared" si="6"/>
        <v>12.6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30</v>
      </c>
      <c r="B169" s="60">
        <f>118+D169</f>
        <v>146</v>
      </c>
      <c r="C169" s="60">
        <v>4</v>
      </c>
      <c r="D169" s="60">
        <v>28</v>
      </c>
      <c r="E169" s="51">
        <v>0</v>
      </c>
      <c r="F169" s="51">
        <v>0</v>
      </c>
      <c r="G169" s="51">
        <v>0</v>
      </c>
      <c r="H169" s="51">
        <v>1</v>
      </c>
      <c r="I169" s="49">
        <f t="shared" si="6"/>
        <v>11.8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>
        <v>35</v>
      </c>
      <c r="B170" s="60">
        <f>144+D170</f>
        <v>172</v>
      </c>
      <c r="C170" s="60">
        <v>5</v>
      </c>
      <c r="D170" s="60">
        <v>28</v>
      </c>
      <c r="E170" s="51">
        <v>0</v>
      </c>
      <c r="F170" s="51">
        <v>0.3</v>
      </c>
      <c r="G170" s="51">
        <v>0.4</v>
      </c>
      <c r="H170" s="51">
        <v>0.3</v>
      </c>
      <c r="I170" s="49">
        <f t="shared" si="6"/>
        <v>10.8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>
        <v>40</v>
      </c>
      <c r="B171" s="60">
        <f>164+D171</f>
        <v>192</v>
      </c>
      <c r="C171" s="60">
        <v>6</v>
      </c>
      <c r="D171" s="60">
        <v>28</v>
      </c>
      <c r="E171" s="51">
        <v>0.1</v>
      </c>
      <c r="F171" s="51">
        <v>0.4</v>
      </c>
      <c r="G171" s="51">
        <v>0.3</v>
      </c>
      <c r="H171" s="51">
        <v>0.2</v>
      </c>
      <c r="I171" s="49">
        <f t="shared" si="6"/>
        <v>9.6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>
        <v>45</v>
      </c>
      <c r="B172" s="60">
        <f>183+D172</f>
        <v>205</v>
      </c>
      <c r="C172" s="60">
        <v>7</v>
      </c>
      <c r="D172" s="60">
        <v>22</v>
      </c>
      <c r="E172" s="51">
        <v>0.3</v>
      </c>
      <c r="F172" s="51">
        <v>0</v>
      </c>
      <c r="G172" s="51">
        <v>0.4</v>
      </c>
      <c r="H172" s="51">
        <v>0.3</v>
      </c>
      <c r="I172" s="49">
        <f t="shared" si="6"/>
        <v>8.1999999999999993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>
        <v>50</v>
      </c>
      <c r="B173" s="50">
        <f>202+D173</f>
        <v>219</v>
      </c>
      <c r="C173" s="50">
        <v>8</v>
      </c>
      <c r="D173" s="50">
        <v>17</v>
      </c>
      <c r="E173" s="51">
        <v>0.3</v>
      </c>
      <c r="F173" s="51">
        <v>0</v>
      </c>
      <c r="G173" s="51">
        <v>0.4</v>
      </c>
      <c r="H173" s="51">
        <v>0.3</v>
      </c>
      <c r="I173" s="49">
        <f t="shared" si="6"/>
        <v>7.2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>
        <v>55</v>
      </c>
      <c r="B174" s="50">
        <f>219+D174</f>
        <v>232</v>
      </c>
      <c r="C174" s="50">
        <v>9</v>
      </c>
      <c r="D174" s="50">
        <v>13</v>
      </c>
      <c r="E174" s="51">
        <v>0.5</v>
      </c>
      <c r="F174" s="51">
        <v>0</v>
      </c>
      <c r="G174" s="51">
        <v>0.3</v>
      </c>
      <c r="H174" s="51">
        <v>0.2</v>
      </c>
      <c r="I174" s="49">
        <f t="shared" si="6"/>
        <v>6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>
        <v>60</v>
      </c>
      <c r="B175" s="50">
        <f>233+D175</f>
        <v>245</v>
      </c>
      <c r="C175" s="50">
        <v>10</v>
      </c>
      <c r="D175" s="50">
        <v>12</v>
      </c>
      <c r="E175" s="51">
        <v>0.5</v>
      </c>
      <c r="F175" s="51">
        <v>0</v>
      </c>
      <c r="G175" s="51">
        <v>0.3</v>
      </c>
      <c r="H175" s="51">
        <v>0.2</v>
      </c>
      <c r="I175" s="49">
        <f t="shared" si="6"/>
        <v>5.2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>
        <v>65</v>
      </c>
      <c r="B176" s="50">
        <f>244+D176</f>
        <v>255</v>
      </c>
      <c r="C176" s="50">
        <v>11</v>
      </c>
      <c r="D176" s="50">
        <v>11</v>
      </c>
      <c r="E176" s="51">
        <v>0.5</v>
      </c>
      <c r="F176" s="51">
        <v>0</v>
      </c>
      <c r="G176" s="51">
        <v>0.3</v>
      </c>
      <c r="H176" s="51">
        <v>0.2</v>
      </c>
      <c r="I176" s="49">
        <f t="shared" si="6"/>
        <v>4.4000000000000004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>
        <v>70</v>
      </c>
      <c r="B177" s="50">
        <f>253+D177</f>
        <v>263</v>
      </c>
      <c r="C177" s="50">
        <v>12</v>
      </c>
      <c r="D177" s="50">
        <v>10</v>
      </c>
      <c r="E177" s="51">
        <v>0.5</v>
      </c>
      <c r="F177" s="51">
        <v>0</v>
      </c>
      <c r="G177" s="51">
        <v>0.3</v>
      </c>
      <c r="H177" s="51">
        <v>0.2</v>
      </c>
      <c r="I177" s="49">
        <f t="shared" si="6"/>
        <v>3.8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>
        <v>75</v>
      </c>
      <c r="B178" s="50">
        <f>261+D178</f>
        <v>270</v>
      </c>
      <c r="C178" s="50">
        <v>13</v>
      </c>
      <c r="D178" s="50">
        <v>9</v>
      </c>
      <c r="E178" s="51">
        <v>0.7</v>
      </c>
      <c r="F178" s="51">
        <v>0</v>
      </c>
      <c r="G178" s="51">
        <v>0.2</v>
      </c>
      <c r="H178" s="51">
        <v>0.1</v>
      </c>
      <c r="I178" s="49">
        <f t="shared" si="6"/>
        <v>3.4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>
        <v>80</v>
      </c>
      <c r="B179" s="50">
        <f>267+8</f>
        <v>275</v>
      </c>
      <c r="C179" s="50" t="s">
        <v>324</v>
      </c>
      <c r="D179" s="50">
        <f>B179</f>
        <v>275</v>
      </c>
      <c r="E179" s="51">
        <v>0.7</v>
      </c>
      <c r="F179" s="51">
        <v>0</v>
      </c>
      <c r="G179" s="51">
        <v>0.2</v>
      </c>
      <c r="H179" s="51">
        <v>0.1</v>
      </c>
      <c r="I179" s="49">
        <f t="shared" si="6"/>
        <v>2.8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>Alisier torminal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>
        <v>15</v>
      </c>
      <c r="B192" s="60">
        <f>22+D192</f>
        <v>37</v>
      </c>
      <c r="C192" s="60">
        <v>1</v>
      </c>
      <c r="D192" s="60">
        <v>15</v>
      </c>
      <c r="E192" s="51">
        <v>0</v>
      </c>
      <c r="F192" s="51">
        <v>0</v>
      </c>
      <c r="G192" s="51">
        <v>0</v>
      </c>
      <c r="H192" s="51">
        <v>1</v>
      </c>
      <c r="I192" s="49">
        <f>IFERROR(B192/A192,"")</f>
        <v>2.4666666666666668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>
        <v>20</v>
      </c>
      <c r="B193" s="60">
        <f>52+D193</f>
        <v>80</v>
      </c>
      <c r="C193" s="60">
        <v>2</v>
      </c>
      <c r="D193" s="60">
        <v>28</v>
      </c>
      <c r="E193" s="51">
        <v>0</v>
      </c>
      <c r="F193" s="51">
        <v>0</v>
      </c>
      <c r="G193" s="51">
        <v>0</v>
      </c>
      <c r="H193" s="51">
        <v>1</v>
      </c>
      <c r="I193" s="49">
        <f t="shared" ref="I193:I211" si="7">IF(A193&lt;&gt;0,(B193-(B192-D192))/(A193-A192),"")</f>
        <v>11.6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>
        <v>25</v>
      </c>
      <c r="B194" s="60">
        <f>87+D194</f>
        <v>115</v>
      </c>
      <c r="C194" s="60">
        <v>3</v>
      </c>
      <c r="D194" s="60">
        <v>28</v>
      </c>
      <c r="E194" s="51">
        <v>0</v>
      </c>
      <c r="F194" s="51">
        <v>0</v>
      </c>
      <c r="G194" s="51">
        <v>0</v>
      </c>
      <c r="H194" s="51">
        <v>1</v>
      </c>
      <c r="I194" s="49">
        <f t="shared" si="7"/>
        <v>12.6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>
        <v>30</v>
      </c>
      <c r="B195" s="60">
        <f>118+D195</f>
        <v>146</v>
      </c>
      <c r="C195" s="60">
        <v>4</v>
      </c>
      <c r="D195" s="60">
        <v>28</v>
      </c>
      <c r="E195" s="51">
        <v>0</v>
      </c>
      <c r="F195" s="51">
        <v>0</v>
      </c>
      <c r="G195" s="51">
        <v>0</v>
      </c>
      <c r="H195" s="51">
        <v>1</v>
      </c>
      <c r="I195" s="49">
        <f t="shared" si="7"/>
        <v>11.8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>
        <v>35</v>
      </c>
      <c r="B196" s="60">
        <f>144+D196</f>
        <v>172</v>
      </c>
      <c r="C196" s="60">
        <v>5</v>
      </c>
      <c r="D196" s="60">
        <v>28</v>
      </c>
      <c r="E196" s="51">
        <v>0</v>
      </c>
      <c r="F196" s="51">
        <v>0.3</v>
      </c>
      <c r="G196" s="51">
        <v>0.4</v>
      </c>
      <c r="H196" s="51">
        <v>0.3</v>
      </c>
      <c r="I196" s="49">
        <f t="shared" si="7"/>
        <v>10.8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>
        <v>40</v>
      </c>
      <c r="B197" s="60">
        <f>164+D197</f>
        <v>192</v>
      </c>
      <c r="C197" s="60">
        <v>6</v>
      </c>
      <c r="D197" s="60">
        <v>28</v>
      </c>
      <c r="E197" s="51">
        <v>0.1</v>
      </c>
      <c r="F197" s="51">
        <v>0.4</v>
      </c>
      <c r="G197" s="51">
        <v>0.3</v>
      </c>
      <c r="H197" s="51">
        <v>0.2</v>
      </c>
      <c r="I197" s="49">
        <f t="shared" si="7"/>
        <v>9.6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>
        <v>45</v>
      </c>
      <c r="B198" s="60">
        <f>183+D198</f>
        <v>205</v>
      </c>
      <c r="C198" s="60">
        <v>7</v>
      </c>
      <c r="D198" s="60">
        <v>22</v>
      </c>
      <c r="E198" s="51">
        <v>0.3</v>
      </c>
      <c r="F198" s="51">
        <v>0</v>
      </c>
      <c r="G198" s="51">
        <v>0.4</v>
      </c>
      <c r="H198" s="51">
        <v>0.3</v>
      </c>
      <c r="I198" s="49">
        <f t="shared" si="7"/>
        <v>8.1999999999999993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>
        <v>50</v>
      </c>
      <c r="B199" s="50">
        <f>202+D199</f>
        <v>219</v>
      </c>
      <c r="C199" s="50">
        <v>8</v>
      </c>
      <c r="D199" s="50">
        <v>17</v>
      </c>
      <c r="E199" s="51">
        <v>0.3</v>
      </c>
      <c r="F199" s="51">
        <v>0</v>
      </c>
      <c r="G199" s="51">
        <v>0.4</v>
      </c>
      <c r="H199" s="51">
        <v>0.3</v>
      </c>
      <c r="I199" s="49">
        <f t="shared" si="7"/>
        <v>7.2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>
        <v>55</v>
      </c>
      <c r="B200" s="50">
        <f>219+D200</f>
        <v>232</v>
      </c>
      <c r="C200" s="50">
        <v>9</v>
      </c>
      <c r="D200" s="50">
        <v>13</v>
      </c>
      <c r="E200" s="51">
        <v>0.5</v>
      </c>
      <c r="F200" s="51">
        <v>0</v>
      </c>
      <c r="G200" s="51">
        <v>0.3</v>
      </c>
      <c r="H200" s="51">
        <v>0.2</v>
      </c>
      <c r="I200" s="49">
        <f t="shared" si="7"/>
        <v>6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>
        <v>60</v>
      </c>
      <c r="B201" s="50">
        <f>233+D201</f>
        <v>245</v>
      </c>
      <c r="C201" s="50">
        <v>10</v>
      </c>
      <c r="D201" s="50">
        <v>12</v>
      </c>
      <c r="E201" s="51">
        <v>0.5</v>
      </c>
      <c r="F201" s="51">
        <v>0</v>
      </c>
      <c r="G201" s="51">
        <v>0.3</v>
      </c>
      <c r="H201" s="51">
        <v>0.2</v>
      </c>
      <c r="I201" s="49">
        <f t="shared" si="7"/>
        <v>5.2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>
        <v>65</v>
      </c>
      <c r="B202" s="50">
        <f>244+D202</f>
        <v>255</v>
      </c>
      <c r="C202" s="50">
        <v>11</v>
      </c>
      <c r="D202" s="50">
        <v>11</v>
      </c>
      <c r="E202" s="51">
        <v>0.5</v>
      </c>
      <c r="F202" s="51">
        <v>0</v>
      </c>
      <c r="G202" s="51">
        <v>0.3</v>
      </c>
      <c r="H202" s="51">
        <v>0.2</v>
      </c>
      <c r="I202" s="49">
        <f t="shared" si="7"/>
        <v>4.4000000000000004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>
        <v>70</v>
      </c>
      <c r="B203" s="50">
        <f>253+D203</f>
        <v>263</v>
      </c>
      <c r="C203" s="50">
        <v>12</v>
      </c>
      <c r="D203" s="50">
        <v>10</v>
      </c>
      <c r="E203" s="51">
        <v>0.5</v>
      </c>
      <c r="F203" s="51">
        <v>0</v>
      </c>
      <c r="G203" s="51">
        <v>0.3</v>
      </c>
      <c r="H203" s="51">
        <v>0.2</v>
      </c>
      <c r="I203" s="49">
        <f t="shared" si="7"/>
        <v>3.8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>
        <v>75</v>
      </c>
      <c r="B204" s="50">
        <f>261+D204</f>
        <v>270</v>
      </c>
      <c r="C204" s="50">
        <v>13</v>
      </c>
      <c r="D204" s="50">
        <v>9</v>
      </c>
      <c r="E204" s="51">
        <v>0.7</v>
      </c>
      <c r="F204" s="51">
        <v>0</v>
      </c>
      <c r="G204" s="51">
        <v>0.2</v>
      </c>
      <c r="H204" s="51">
        <v>0.1</v>
      </c>
      <c r="I204" s="49">
        <f t="shared" si="7"/>
        <v>3.4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>
        <v>80</v>
      </c>
      <c r="B205" s="50">
        <f>267+8</f>
        <v>275</v>
      </c>
      <c r="C205" s="50" t="s">
        <v>324</v>
      </c>
      <c r="D205" s="50">
        <f>B205</f>
        <v>275</v>
      </c>
      <c r="E205" s="51">
        <v>0.7</v>
      </c>
      <c r="F205" s="51">
        <v>0</v>
      </c>
      <c r="G205" s="51">
        <v>0.2</v>
      </c>
      <c r="H205" s="51">
        <v>0.1</v>
      </c>
      <c r="I205" s="49">
        <f t="shared" si="7"/>
        <v>2.8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>Châtaignier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>
        <v>15</v>
      </c>
      <c r="B218" s="60">
        <f>22+D218</f>
        <v>37</v>
      </c>
      <c r="C218" s="50">
        <v>1</v>
      </c>
      <c r="D218" s="60">
        <v>15</v>
      </c>
      <c r="E218" s="63">
        <v>0</v>
      </c>
      <c r="F218" s="63">
        <v>0</v>
      </c>
      <c r="G218" s="63">
        <v>0</v>
      </c>
      <c r="H218" s="63">
        <v>1</v>
      </c>
      <c r="I218" s="53">
        <f>IFERROR(B218/A218,"")</f>
        <v>2.4666666666666668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>
        <v>20</v>
      </c>
      <c r="B219" s="60">
        <f>52+D219</f>
        <v>80</v>
      </c>
      <c r="C219" s="50">
        <v>2</v>
      </c>
      <c r="D219" s="60">
        <v>28</v>
      </c>
      <c r="E219" s="63">
        <v>0</v>
      </c>
      <c r="F219" s="63">
        <v>0</v>
      </c>
      <c r="G219" s="63">
        <v>0</v>
      </c>
      <c r="H219" s="63">
        <v>1</v>
      </c>
      <c r="I219" s="53">
        <f t="shared" ref="I219:I237" si="8">IF(A219&lt;&gt;0,(B219-(B218-D218))/(A219-A218),"")</f>
        <v>11.6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>
        <v>25</v>
      </c>
      <c r="B220" s="60">
        <f>87+D220</f>
        <v>115</v>
      </c>
      <c r="C220" s="50">
        <v>3</v>
      </c>
      <c r="D220" s="60">
        <v>28</v>
      </c>
      <c r="E220" s="63">
        <v>0</v>
      </c>
      <c r="F220" s="63">
        <v>0</v>
      </c>
      <c r="G220" s="63">
        <v>0</v>
      </c>
      <c r="H220" s="63">
        <v>1</v>
      </c>
      <c r="I220" s="53">
        <f t="shared" si="8"/>
        <v>12.6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>
        <v>30</v>
      </c>
      <c r="B221" s="55">
        <f>118+D221</f>
        <v>146</v>
      </c>
      <c r="C221" s="55">
        <v>4</v>
      </c>
      <c r="D221" s="55">
        <v>28</v>
      </c>
      <c r="E221" s="63">
        <v>0</v>
      </c>
      <c r="F221" s="63">
        <v>0</v>
      </c>
      <c r="G221" s="63">
        <v>0</v>
      </c>
      <c r="H221" s="63">
        <v>1</v>
      </c>
      <c r="I221" s="53">
        <f t="shared" si="8"/>
        <v>11.8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>
        <v>35</v>
      </c>
      <c r="B222" s="55">
        <f>144+D222</f>
        <v>172</v>
      </c>
      <c r="C222" s="55">
        <v>5</v>
      </c>
      <c r="D222" s="55">
        <v>28</v>
      </c>
      <c r="E222" s="63">
        <v>0</v>
      </c>
      <c r="F222" s="63">
        <v>0.3</v>
      </c>
      <c r="G222" s="63">
        <v>0.4</v>
      </c>
      <c r="H222" s="63">
        <v>0.3</v>
      </c>
      <c r="I222" s="53">
        <f t="shared" si="8"/>
        <v>10.8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>
        <v>40</v>
      </c>
      <c r="B223" s="55">
        <f>164+D223</f>
        <v>192</v>
      </c>
      <c r="C223" s="55">
        <v>6</v>
      </c>
      <c r="D223" s="55">
        <v>28</v>
      </c>
      <c r="E223" s="63">
        <v>0.1</v>
      </c>
      <c r="F223" s="63">
        <v>0.4</v>
      </c>
      <c r="G223" s="63">
        <v>0.3</v>
      </c>
      <c r="H223" s="63">
        <v>0.2</v>
      </c>
      <c r="I223" s="53">
        <f t="shared" si="8"/>
        <v>9.6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>
        <v>45</v>
      </c>
      <c r="B224" s="55">
        <f>183+D224</f>
        <v>205</v>
      </c>
      <c r="C224" s="55">
        <v>7</v>
      </c>
      <c r="D224" s="55">
        <v>22</v>
      </c>
      <c r="E224" s="63">
        <v>0.3</v>
      </c>
      <c r="F224" s="63">
        <v>0</v>
      </c>
      <c r="G224" s="63">
        <v>0.4</v>
      </c>
      <c r="H224" s="63">
        <v>0.3</v>
      </c>
      <c r="I224" s="53">
        <f t="shared" si="8"/>
        <v>8.1999999999999993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>
        <v>50</v>
      </c>
      <c r="B225" s="55">
        <f>202+D225</f>
        <v>219</v>
      </c>
      <c r="C225" s="55">
        <v>8</v>
      </c>
      <c r="D225" s="55">
        <v>17</v>
      </c>
      <c r="E225" s="63">
        <v>0.3</v>
      </c>
      <c r="F225" s="63">
        <v>0</v>
      </c>
      <c r="G225" s="63">
        <v>0.4</v>
      </c>
      <c r="H225" s="63">
        <v>0.3</v>
      </c>
      <c r="I225" s="53">
        <f t="shared" si="8"/>
        <v>7.2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>
        <v>55</v>
      </c>
      <c r="B226" s="55">
        <f>219+D226</f>
        <v>232</v>
      </c>
      <c r="C226" s="55">
        <v>9</v>
      </c>
      <c r="D226" s="55">
        <v>13</v>
      </c>
      <c r="E226" s="63">
        <v>0.5</v>
      </c>
      <c r="F226" s="63">
        <v>0</v>
      </c>
      <c r="G226" s="63">
        <v>0.3</v>
      </c>
      <c r="H226" s="63">
        <v>0.2</v>
      </c>
      <c r="I226" s="53">
        <f t="shared" si="8"/>
        <v>6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>
        <v>60</v>
      </c>
      <c r="B227" s="55">
        <f>233+D227</f>
        <v>245</v>
      </c>
      <c r="C227" s="55">
        <v>10</v>
      </c>
      <c r="D227" s="55">
        <v>12</v>
      </c>
      <c r="E227" s="63">
        <v>0.5</v>
      </c>
      <c r="F227" s="63">
        <v>0</v>
      </c>
      <c r="G227" s="63">
        <v>0.3</v>
      </c>
      <c r="H227" s="63">
        <v>0.2</v>
      </c>
      <c r="I227" s="53">
        <f t="shared" si="8"/>
        <v>5.2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>
        <v>65</v>
      </c>
      <c r="B228" s="55">
        <f>244+D228</f>
        <v>255</v>
      </c>
      <c r="C228" s="55">
        <v>11</v>
      </c>
      <c r="D228" s="55">
        <v>11</v>
      </c>
      <c r="E228" s="63">
        <v>0.5</v>
      </c>
      <c r="F228" s="63">
        <v>0</v>
      </c>
      <c r="G228" s="63">
        <v>0.3</v>
      </c>
      <c r="H228" s="63">
        <v>0.2</v>
      </c>
      <c r="I228" s="53">
        <f t="shared" si="8"/>
        <v>4.4000000000000004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>
        <v>70</v>
      </c>
      <c r="B229" s="55">
        <f>253+D229</f>
        <v>263</v>
      </c>
      <c r="C229" s="55">
        <v>12</v>
      </c>
      <c r="D229" s="55">
        <v>10</v>
      </c>
      <c r="E229" s="63">
        <v>0.5</v>
      </c>
      <c r="F229" s="63">
        <v>0</v>
      </c>
      <c r="G229" s="63">
        <v>0.3</v>
      </c>
      <c r="H229" s="63">
        <v>0.2</v>
      </c>
      <c r="I229" s="53">
        <f t="shared" si="8"/>
        <v>3.8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>
        <v>75</v>
      </c>
      <c r="B230" s="55">
        <f>261+D230</f>
        <v>270</v>
      </c>
      <c r="C230" s="55">
        <v>13</v>
      </c>
      <c r="D230" s="55">
        <v>9</v>
      </c>
      <c r="E230" s="64">
        <v>0.7</v>
      </c>
      <c r="F230" s="64">
        <v>0</v>
      </c>
      <c r="G230" s="64">
        <v>0.2</v>
      </c>
      <c r="H230" s="64">
        <v>0.1</v>
      </c>
      <c r="I230" s="53">
        <f t="shared" si="8"/>
        <v>3.4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>
        <v>80</v>
      </c>
      <c r="B231" s="60">
        <f>267+8</f>
        <v>275</v>
      </c>
      <c r="C231" s="88" t="s">
        <v>324</v>
      </c>
      <c r="D231" s="60">
        <f>B231</f>
        <v>275</v>
      </c>
      <c r="E231" s="54">
        <v>0.7</v>
      </c>
      <c r="F231" s="54">
        <v>0</v>
      </c>
      <c r="G231" s="54">
        <v>0.2</v>
      </c>
      <c r="H231" s="54">
        <v>0.1</v>
      </c>
      <c r="I231" s="53">
        <f t="shared" si="8"/>
        <v>2.8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24" sqref="C24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pubescent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rouge d'Amérique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Douglas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Mélèze hybride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Noyer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Alisier torminal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>Châtaignier</v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436.03161778768742</v>
      </c>
      <c r="T3" s="59">
        <f>IF('Données projet'!E9&gt;30,$R$33-$H$33,LOOKUP('Données projet'!$E$9,$A$3:$A$203,R3:R203)-LOOKUP('Données projet'!$E$9,$A$3:$A$203,$H$3:$H$203))</f>
        <v>217.65884352525285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483.45320081988984</v>
      </c>
      <c r="AO3" s="59">
        <f>IF('Données projet'!E10&gt;30,$AM$33-$H$33,LOOKUP('Données projet'!$E$10,$A$3:$A$203,AM3:AM203)-LOOKUP('Données projet'!$E$10,$A$3:$A$203,$H$3:$H$203))</f>
        <v>238.92443174298893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310.44153296396854</v>
      </c>
      <c r="BJ3" s="59">
        <f>IF('Données projet'!E11&gt;30,$BH$33-$H$33,LOOKUP('Données projet'!$E$11,$A$3:$A$203,BH3:BH203)-LOOKUP('Données projet'!$E$11,$A$3:$A$203,$H$3:$H$203))</f>
        <v>388.05195847800502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443.34220761968419</v>
      </c>
      <c r="CE3" s="59">
        <f>IF('Données projet'!E12&gt;30,$CC$33-$H$33,LOOKUP('Données projet'!$E$12,$A$3:$A$203,CC3:CC203)-LOOKUP('Données projet'!$E$12,$A$3:$A$203,$H$3:$H$203))</f>
        <v>546.58234447298014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214.22606988805535</v>
      </c>
      <c r="CZ3" s="59">
        <f>IF('Données projet'!E13&gt;30,$CX$33-$H$33,LOOKUP('Données projet'!$E$13,$A$3:$A$203,CX3:CX203)-LOOKUP('Données projet'!$E$13,$A$3:$A$203,$H$3:$H$203))</f>
        <v>305.78163836959078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304.26232113495314</v>
      </c>
      <c r="DU3" s="59">
        <f>IF('Données projet'!E14&gt;30,$DS$33-$H$33,LOOKUP('Données projet'!$E$14,$A$3:$A$203,DS3:DS203)-LOOKUP('Données projet'!$E$14,$A$3:$A$203,$H$3:$H$203))</f>
        <v>297.47246687305056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256.66666666666669</v>
      </c>
      <c r="EO3" s="59">
        <f ca="1">AVERAGE(OFFSET($EN$3,0,0,'Données projet'!$E$15+1,1))-AVERAGE(OFFSET($H$3,0,0,'Données projet'!$E$15+1,1))</f>
        <v>355.72173590705142</v>
      </c>
      <c r="EP3" s="59">
        <f>IF('Données projet'!E15&gt;30,$EN$33-$H$33,LOOKUP('Données projet'!$E$15,$A$3:$A$203,EN3:EN203)-LOOKUP('Données projet'!$E$15,$A$3:$A$203,$H$3:$H$203))</f>
        <v>346.30980704469363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256.66666666666669</v>
      </c>
      <c r="FJ3" s="59">
        <f ca="1">AVERAGE(OFFSET($FI$3,0,0,'Données projet'!$E$16+1,1))-AVERAGE(OFFSET($H$3,0,0,'Données projet'!$E$16+1,1))</f>
        <v>278.45534008146865</v>
      </c>
      <c r="FK3" s="59">
        <f>IF('Données projet'!E16&gt;30,$FI$33-$H$33,LOOKUP('Données projet'!$E$16,$A$3:$A$203,FI3:FI203)-LOOKUP('Données projet'!$E$16,$A$3:$A$203,$H$3:$H$203))</f>
        <v>272.97841038165217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</v>
      </c>
      <c r="N4" s="13">
        <f>IF('Données projet'!$A$36&gt;35,N3+M4-V3,IF(A4&lt;'Données projet'!$A$36,$K$205^A4,IF(A4='Données projet'!$A$36,'Données projet'!$B$36,N3+M4-V3)))</f>
        <v>3</v>
      </c>
      <c r="O4" s="13">
        <f>N4*VLOOKUP('Données projet'!$B$9,Paramètres!$A$1:$I$89,3,0)*VLOOKUP('Données projet'!$B$9,Paramètres!$A$1:$I$89,5,0)</f>
        <v>2.7143999999999999</v>
      </c>
      <c r="P4" s="13">
        <f>EXP(-1.0587+0.8836*LN(O4)+0.284)</f>
        <v>1.1136437287183383</v>
      </c>
      <c r="Q4" s="20">
        <f t="shared" ref="Q4:Q34" si="2">(O4+P4)*0.475*44/12</f>
        <v>6.6671761608511053</v>
      </c>
      <c r="R4" s="59">
        <f t="shared" si="0"/>
        <v>264.55606504973997</v>
      </c>
      <c r="S4" s="59">
        <f ca="1">AVERAGE(OFFSET($R$3,0,0,'Données projet'!$E$9+1,1))-AVERAGE(OFFSET($H$3,0,0,'Données projet'!$E$9+1,1))</f>
        <v>436.03161778768742</v>
      </c>
      <c r="T4" s="59">
        <f>$T$3</f>
        <v>217.65884352525285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</v>
      </c>
      <c r="AI4" s="13">
        <f>IF('Données projet'!$A$62&gt;35,AI3+AH4-AQ3,IF(A4&lt;'Données projet'!$A$62,$AF$205^A4,IF(A4='Données projet'!$A$62,'Données projet'!$B$62,AI3+AH4-AQ3)))</f>
        <v>3</v>
      </c>
      <c r="AJ4" s="13">
        <f>AI4*VLOOKUP('Données projet'!$B$10,Paramètres!$A$1:$I$89,3,0)*VLOOKUP('Données projet'!$B$10,Paramètres!$A$1:$I$89,5,0)</f>
        <v>3.0420000000000003</v>
      </c>
      <c r="AK4" s="13">
        <f>EXP(-1.0587+0.8836*LN(AJ4)+0.284)</f>
        <v>1.2316052813661467</v>
      </c>
      <c r="AL4" s="20">
        <f t="shared" ref="AL4:AL67" si="4">(AJ4+AK4)*0.475*44/12</f>
        <v>7.4431958650460386</v>
      </c>
      <c r="AM4" s="59">
        <f t="shared" ref="AM4:AM67" si="5">AL4+(AD4+AE4)*44/12</f>
        <v>265.33208475393491</v>
      </c>
      <c r="AN4" s="59">
        <f ca="1">AVERAGE(OFFSET($AM$3,0,0,'Données projet'!$E$10+1,1))-AVERAGE(OFFSET($H$3,0,0,'Données projet'!$E$10+1,1))</f>
        <v>483.45320081988984</v>
      </c>
      <c r="AO4" s="59">
        <f>$AO$3</f>
        <v>238.92443174298893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6.85</v>
      </c>
      <c r="BD4" s="12">
        <f>IF('Données projet'!$A$88&gt;35,BD3+BC4-BL3,IF(A4&lt;'Données projet'!$A$88,$BA$205^A4,IF(A4='Données projet'!$A$88,'Données projet'!$B$88,BD3+BC4-BL3)))</f>
        <v>1.278898353844806</v>
      </c>
      <c r="BE4" s="13">
        <f>BD4*VLOOKUP('Données projet'!$B$11,Paramètres!$A$1:$I$89,3,0)*VLOOKUP('Données projet'!$B$11,Paramètres!$A$1:$I$89,5,0)</f>
        <v>1.1172456019188226</v>
      </c>
      <c r="BF4" s="13">
        <f>EXP(-1.0587+0.8836*LN(BE4)+0.284)</f>
        <v>0.5082720346591344</v>
      </c>
      <c r="BG4" s="20">
        <f t="shared" ref="BG4:BG67" si="7">(BE4+BF4)*0.475*44/12</f>
        <v>2.831109883706608</v>
      </c>
      <c r="BH4" s="59">
        <f t="shared" ref="BH4:BH67" si="8">BG4+(AY4+AZ4)*44/12</f>
        <v>260.71999877259549</v>
      </c>
      <c r="BI4" s="59">
        <f ca="1">AVERAGE(OFFSET($BH$3,0,0,'Données projet'!$E$11+1,1))-AVERAGE(OFFSET($H$3,0,0,'Données projet'!$E$11+1,1))</f>
        <v>310.44153296396854</v>
      </c>
      <c r="BJ4" s="59">
        <f>$BJ$3</f>
        <v>388.05195847800502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8.526315789473685</v>
      </c>
      <c r="BY4" s="12">
        <f>IF('Données projet'!$A$114&gt;35,BY3+BX4-CG3,IF(A4&lt;'Données projet'!$A$114,$BV$205^A4,IF(A4='Données projet'!$A$114,'Données projet'!$B$114,BY3+BX4-CG3)))</f>
        <v>1.3070441688874561</v>
      </c>
      <c r="BZ4" s="13">
        <f>BY4*VLOOKUP('Données projet'!$B$12,Paramètres!$A$1:$I$89,3,0)*VLOOKUP('Données projet'!$B$12,Paramètres!$A$1:$I$89,5,0)</f>
        <v>0.73063769040808801</v>
      </c>
      <c r="CA4" s="13">
        <f>EXP(-1.0587+0.8836*LN(BZ4)+0.284)</f>
        <v>0.34923616900555043</v>
      </c>
      <c r="CB4" s="20">
        <f t="shared" ref="CB4:CB67" si="10">(BZ4+CA4)*0.475*44/12</f>
        <v>1.8807803051454206</v>
      </c>
      <c r="CC4" s="59">
        <f t="shared" ref="CC4:CC67" si="11">CB4+(BT4+BU4)*44/12</f>
        <v>259.76966919403429</v>
      </c>
      <c r="CD4" s="59">
        <f ca="1">AVERAGE(OFFSET($CC$3,0,0,'Données projet'!$E$12+1,1))-AVERAGE(OFFSET($H$3,0,0,'Données projet'!$E$12+1,1))</f>
        <v>443.34220761968419</v>
      </c>
      <c r="CE4" s="59">
        <f>$CE$3</f>
        <v>546.58234447298014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6.2222222222222223</v>
      </c>
      <c r="CT4" s="12">
        <f>IF('Données projet'!$A$140&gt;35,CT3+CS4-DB3,IF(A4&lt;'Données projet'!$A$140,$CQ$205^A4,IF(A4='Données projet'!$A$140,'Données projet'!$B$140,CT3+CS4-DB3)))</f>
        <v>1.2997069632623315</v>
      </c>
      <c r="CU4" s="17">
        <f>CT4*VLOOKUP('Données projet'!$B$13,Paramètres!$A$1:$I$89,3,0)*VLOOKUP('Données projet'!$B$13,Paramètres!$A$1:$I$89,5,0)</f>
        <v>0.709640001941233</v>
      </c>
      <c r="CV4" s="13">
        <f>EXP(-1.0587+0.8836*LN(CU4)+0.284)</f>
        <v>0.34035279372785077</v>
      </c>
      <c r="CW4" s="20">
        <f t="shared" ref="CW4:CW67" si="13">(CU4+CV4)*0.475*44/12</f>
        <v>1.8287374524569875</v>
      </c>
      <c r="CX4" s="59">
        <f t="shared" ref="CX4:CX67" si="14">CW4+(CO4+CP4)*44/12</f>
        <v>259.71762634134586</v>
      </c>
      <c r="CY4" s="59">
        <f ca="1">AVERAGE(OFFSET($CX$3,0,0,'Données projet'!$E$13+1,1))-AVERAGE(OFFSET($H$3,0,0,'Données projet'!$E$13+1,1))</f>
        <v>214.22606988805535</v>
      </c>
      <c r="CZ4" s="59">
        <f>$CZ$3</f>
        <v>305.78163836959078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2.4666666666666668</v>
      </c>
      <c r="DO4" s="12">
        <f>IF('Données projet'!$A$166&gt;35,DO3+DN4-DW3,IF(A4&lt;'Données projet'!$A$166,$DL$205^A4,IF(A4='Données projet'!$A$166,'Données projet'!$B$166,DO3+DN4-DW3)))</f>
        <v>1.2721747796233518</v>
      </c>
      <c r="DP4" s="17">
        <f>DO4*VLOOKUP('Données projet'!$B$14,Paramètres!$A$1:$I$89,3,0)*VLOOKUP('Données projet'!$B$14,Paramètres!$A$1:$I$89,5,0)</f>
        <v>1.031988181230463</v>
      </c>
      <c r="DQ4" s="13">
        <f>EXP(-1.0587+0.8836*LN(DP4)+0.284)</f>
        <v>0.47384363432899212</v>
      </c>
      <c r="DR4" s="20">
        <f t="shared" ref="DR4:DR67" si="16">(DP4+DQ4)*0.475*44/12</f>
        <v>2.6226570787660513</v>
      </c>
      <c r="DS4" s="59">
        <f t="shared" ref="DS4:DS67" si="17">DR4+(DJ4+DK4)*44/12</f>
        <v>260.51154596765491</v>
      </c>
      <c r="DT4" s="59">
        <f ca="1">AVERAGE(OFFSET($DS$3,0,0,'Données projet'!$E$14+1,1))-AVERAGE(OFFSET($H$3,0,0,'Données projet'!$E$14+1,1))</f>
        <v>304.26232113495314</v>
      </c>
      <c r="DU4" s="59">
        <f>$DU$3</f>
        <v>297.47246687305056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2.4666666666666668</v>
      </c>
      <c r="EJ4" s="12">
        <f>IF('Données projet'!$A$192&gt;35,EJ3+EI4-ER3,IF(A4&lt;'Données projet'!$A$192,$EG$205^A4,IF(A4='Données projet'!$A$192,'Données projet'!$B$192,EJ3+EI4-ER3)))</f>
        <v>1.2721747796233518</v>
      </c>
      <c r="EK4" s="17">
        <f>EJ4*VLOOKUP('Données projet'!$B$15,Paramètres!$A$1:$I$89,3,0)*VLOOKUP('Données projet'!$B$15,Paramètres!$A$1:$I$89,5,0)</f>
        <v>1.2304474468517059</v>
      </c>
      <c r="EL4" s="13">
        <f>EXP(-1.0587+0.8836*LN(EK4)+0.284)</f>
        <v>0.55351805691893663</v>
      </c>
      <c r="EM4" s="20">
        <f t="shared" ref="EM4:EM67" si="19">(EK4+EL4)*0.475*44/12</f>
        <v>3.1070732524005358</v>
      </c>
      <c r="EN4" s="59">
        <f t="shared" ref="EN4:EN67" si="20">EM4+(EE4+EF4)*44/12</f>
        <v>260.9959621412894</v>
      </c>
      <c r="EO4" s="59">
        <f ca="1">AVERAGE(OFFSET($EN$3,0,0,'Données projet'!$E$15+1,1))-AVERAGE(OFFSET($H$3,0,0,'Données projet'!$E$15+1,1))</f>
        <v>355.72173590705142</v>
      </c>
      <c r="EP4" s="59">
        <f>$EP$3</f>
        <v>346.30980704469363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2.4666666666666668</v>
      </c>
      <c r="FE4" s="12">
        <f>IF('Données projet'!$A$218&gt;35,FE3+FD4-FM3,IF(A4&lt;'Données projet'!$A$218,$FB$205^A4,IF(A4='Données projet'!$A$218,'Données projet'!$B$218,FE3+FD4-FM3)))</f>
        <v>1.2721747796233518</v>
      </c>
      <c r="FF4" s="17">
        <f>FE4*VLOOKUP('Données projet'!$B$16,Paramètres!$A$1:$I$89,3,0)*VLOOKUP('Données projet'!$B$16,Paramètres!$A$1:$I$89,5,0)</f>
        <v>0.9327585484198414</v>
      </c>
      <c r="FG4" s="13">
        <f>EXP(-1.0587+0.8836*LN(FF4)+0.284)</f>
        <v>0.43335135961225768</v>
      </c>
      <c r="FH4" s="20">
        <f t="shared" ref="FH4:FH67" si="22">(FF4+FG4)*0.475*44/12</f>
        <v>2.3793080898225729</v>
      </c>
      <c r="FI4" s="59">
        <f t="shared" ref="FI4:FI67" si="23">FH4+(EZ4+FA4)*44/12</f>
        <v>260.26819697871144</v>
      </c>
      <c r="FJ4" s="59">
        <f ca="1">AVERAGE(OFFSET($FI$3,0,0,'Données projet'!$E$16+1,1))-AVERAGE(OFFSET($H$3,0,0,'Données projet'!$E$16+1,1))</f>
        <v>278.45534008146865</v>
      </c>
      <c r="FK4" s="59">
        <f>$FK$3</f>
        <v>272.97841038165217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</v>
      </c>
      <c r="N5" s="13">
        <f>IF('Données projet'!$A$36&gt;35,N4+M5-V4,IF(A5&lt;'Données projet'!$A$36,$K$205^A5,IF(A5='Données projet'!$A$36,'Données projet'!$B$36,N4+M5-V4)))</f>
        <v>6</v>
      </c>
      <c r="O5" s="13">
        <f>N5*VLOOKUP('Données projet'!$B$9,Paramètres!$A$1:$I$89,3,0)*VLOOKUP('Données projet'!$B$9,Paramètres!$A$1:$I$89,5,0)</f>
        <v>5.4287999999999998</v>
      </c>
      <c r="P5" s="13">
        <f t="shared" ref="P5:P68" si="33">EXP(-1.0587+0.8836*LN(O5)+0.284)</f>
        <v>2.0546430333413586</v>
      </c>
      <c r="Q5" s="20">
        <f t="shared" si="2"/>
        <v>13.033663283069531</v>
      </c>
      <c r="R5" s="59">
        <f t="shared" si="0"/>
        <v>272.14477439418067</v>
      </c>
      <c r="S5" s="59">
        <f ca="1">AVERAGE(OFFSET($R$3,0,0,'Données projet'!$E$9+1,1))-AVERAGE(OFFSET($H$3,0,0,'Données projet'!$E$9+1,1))</f>
        <v>436.03161778768742</v>
      </c>
      <c r="T5" s="59">
        <f t="shared" ref="T5:T68" si="34">$T$3</f>
        <v>217.65884352525285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</v>
      </c>
      <c r="AI5" s="13">
        <f>IF('Données projet'!$A$62&gt;35,AI4+AH5-AQ4,IF(A5&lt;'Données projet'!$A$62,$AF$205^A5,IF(A5='Données projet'!$A$62,'Données projet'!$B$62,AI4+AH5-AQ4)))</f>
        <v>6</v>
      </c>
      <c r="AJ5" s="13">
        <f>AI5*VLOOKUP('Données projet'!$B$10,Paramètres!$A$1:$I$89,3,0)*VLOOKUP('Données projet'!$B$10,Paramètres!$A$1:$I$89,5,0)</f>
        <v>6.0840000000000005</v>
      </c>
      <c r="AK5" s="13">
        <f t="shared" ref="AK5:AK68" si="35">EXP(-1.0587+0.8836*LN(AJ5)+0.284)</f>
        <v>2.2722789577396267</v>
      </c>
      <c r="AL5" s="20">
        <f t="shared" si="4"/>
        <v>14.553852518063183</v>
      </c>
      <c r="AM5" s="59">
        <f t="shared" si="5"/>
        <v>273.66496362917434</v>
      </c>
      <c r="AN5" s="59">
        <f ca="1">AVERAGE(OFFSET($AM$3,0,0,'Données projet'!$E$10+1,1))-AVERAGE(OFFSET($H$3,0,0,'Données projet'!$E$10+1,1))</f>
        <v>483.45320081988984</v>
      </c>
      <c r="AO5" s="59">
        <f t="shared" ref="AO5:AO68" si="36">$AO$3</f>
        <v>238.92443174298893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6.85</v>
      </c>
      <c r="BD5" s="12">
        <f>IF('Données projet'!$A$88&gt;35,BD4+BC5-BL4,IF(A5&lt;'Données projet'!$A$88,$BA$205^A5,IF(A5='Données projet'!$A$88,'Données projet'!$B$88,BD4+BC5-BL4)))</f>
        <v>1.6355809994669546</v>
      </c>
      <c r="BE5" s="13">
        <f>BD5*VLOOKUP('Données projet'!$B$11,Paramètres!$A$1:$I$89,3,0)*VLOOKUP('Données projet'!$B$11,Paramètres!$A$1:$I$89,5,0)</f>
        <v>1.4288435611343318</v>
      </c>
      <c r="BF5" s="13">
        <f t="shared" ref="BF5:BF68" si="37">EXP(-1.0587+0.8836*LN(BE5)+0.284)</f>
        <v>0.6316791321002988</v>
      </c>
      <c r="BG5" s="20">
        <f t="shared" si="7"/>
        <v>3.588743690716981</v>
      </c>
      <c r="BH5" s="59">
        <f t="shared" si="8"/>
        <v>262.69985480182811</v>
      </c>
      <c r="BI5" s="59">
        <f ca="1">AVERAGE(OFFSET($BH$3,0,0,'Données projet'!$E$11+1,1))-AVERAGE(OFFSET($H$3,0,0,'Données projet'!$E$11+1,1))</f>
        <v>310.44153296396854</v>
      </c>
      <c r="BJ5" s="59">
        <f t="shared" ref="BJ5:BJ68" si="38">$BJ$3</f>
        <v>388.05195847800502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8.526315789473685</v>
      </c>
      <c r="BY5" s="12">
        <f>IF('Données projet'!$A$114&gt;35,BY4+BX5-CG4,IF(A5&lt;'Données projet'!$A$114,$BV$205^A5,IF(A5='Données projet'!$A$114,'Données projet'!$B$114,BY4+BX5-CG4)))</f>
        <v>1.708364459422701</v>
      </c>
      <c r="BZ5" s="13">
        <f>BY5*VLOOKUP('Données projet'!$B$12,Paramètres!$A$1:$I$89,3,0)*VLOOKUP('Données projet'!$B$12,Paramètres!$A$1:$I$89,5,0)</f>
        <v>0.95497573281728976</v>
      </c>
      <c r="CA5" s="13">
        <f t="shared" ref="CA5:CA68" si="39">EXP(-1.0587+0.8836*LN(BZ5)+0.284)</f>
        <v>0.44245926414263009</v>
      </c>
      <c r="CB5" s="20">
        <f t="shared" si="10"/>
        <v>2.4338659530385267</v>
      </c>
      <c r="CC5" s="59">
        <f t="shared" si="11"/>
        <v>261.54497706414969</v>
      </c>
      <c r="CD5" s="59">
        <f ca="1">AVERAGE(OFFSET($CC$3,0,0,'Données projet'!$E$12+1,1))-AVERAGE(OFFSET($H$3,0,0,'Données projet'!$E$12+1,1))</f>
        <v>443.34220761968419</v>
      </c>
      <c r="CE5" s="59">
        <f t="shared" ref="CE5:CE68" si="40">$CE$3</f>
        <v>546.58234447298014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6.2222222222222223</v>
      </c>
      <c r="CT5" s="12">
        <f>IF('Données projet'!$A$140&gt;35,CT4+CS5-DB4,IF(A5&lt;'Données projet'!$A$140,$CQ$205^A5,IF(A5='Données projet'!$A$140,'Données projet'!$B$140,CT4+CS5-DB4)))</f>
        <v>1.6892381903525915</v>
      </c>
      <c r="CU5" s="17">
        <f>CT5*VLOOKUP('Données projet'!$B$13,Paramètres!$A$1:$I$89,3,0)*VLOOKUP('Données projet'!$B$13,Paramètres!$A$1:$I$89,5,0)</f>
        <v>0.92232405193251499</v>
      </c>
      <c r="CV5" s="13">
        <f t="shared" ref="CV5:CV68" si="41">EXP(-1.0587+0.8836*LN(CU5)+0.284)</f>
        <v>0.42906506541961126</v>
      </c>
      <c r="CW5" s="20">
        <f t="shared" si="13"/>
        <v>2.3536693793882866</v>
      </c>
      <c r="CX5" s="59">
        <f t="shared" si="14"/>
        <v>261.46478049049944</v>
      </c>
      <c r="CY5" s="59">
        <f ca="1">AVERAGE(OFFSET($CX$3,0,0,'Données projet'!$E$13+1,1))-AVERAGE(OFFSET($H$3,0,0,'Données projet'!$E$13+1,1))</f>
        <v>214.22606988805535</v>
      </c>
      <c r="CZ5" s="59">
        <f t="shared" ref="CZ5:CZ68" si="42">$CZ$3</f>
        <v>305.78163836959078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2.4666666666666668</v>
      </c>
      <c r="DO5" s="12">
        <f>IF('Données projet'!$A$166&gt;35,DO4+DN5-DW4,IF(A5&lt;'Données projet'!$A$166,$DL$205^A5,IF(A5='Données projet'!$A$166,'Données projet'!$B$166,DO4+DN5-DW4)))</f>
        <v>1.6184286699097237</v>
      </c>
      <c r="DP5" s="17">
        <f>DO5*VLOOKUP('Données projet'!$B$14,Paramètres!$A$1:$I$89,3,0)*VLOOKUP('Données projet'!$B$14,Paramètres!$A$1:$I$89,5,0)</f>
        <v>1.312869337030768</v>
      </c>
      <c r="DQ5" s="13">
        <f t="shared" ref="DQ5:DQ68" si="43">EXP(-1.0587+0.8836*LN(DP5)+0.284)</f>
        <v>0.58615515240543437</v>
      </c>
      <c r="DR5" s="20">
        <f t="shared" si="16"/>
        <v>3.3074676524347191</v>
      </c>
      <c r="DS5" s="59">
        <f t="shared" si="17"/>
        <v>262.41857876354584</v>
      </c>
      <c r="DT5" s="59">
        <f ca="1">AVERAGE(OFFSET($DS$3,0,0,'Données projet'!$E$14+1,1))-AVERAGE(OFFSET($H$3,0,0,'Données projet'!$E$14+1,1))</f>
        <v>304.26232113495314</v>
      </c>
      <c r="DU5" s="59">
        <f t="shared" ref="DU5:DU68" si="44">$DU$3</f>
        <v>297.47246687305056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2.4666666666666668</v>
      </c>
      <c r="EJ5" s="12">
        <f>IF('Données projet'!$A$192&gt;35,EJ4+EI5-ER4,IF(A5&lt;'Données projet'!$A$192,$EG$205^A5,IF(A5='Données projet'!$A$192,'Données projet'!$B$192,EJ4+EI5-ER4)))</f>
        <v>1.6184286699097237</v>
      </c>
      <c r="EK5" s="17">
        <f>EJ5*VLOOKUP('Données projet'!$B$15,Paramètres!$A$1:$I$89,3,0)*VLOOKUP('Données projet'!$B$15,Paramètres!$A$1:$I$89,5,0)</f>
        <v>1.565344209536685</v>
      </c>
      <c r="EL5" s="13">
        <f t="shared" ref="EL5:EL68" si="45">EXP(-1.0587+0.8836*LN(EK5)+0.284)</f>
        <v>0.68471419157488067</v>
      </c>
      <c r="EM5" s="20">
        <f t="shared" si="19"/>
        <v>3.9188517152693092</v>
      </c>
      <c r="EN5" s="59">
        <f t="shared" si="20"/>
        <v>263.02996282638043</v>
      </c>
      <c r="EO5" s="59">
        <f ca="1">AVERAGE(OFFSET($EN$3,0,0,'Données projet'!$E$15+1,1))-AVERAGE(OFFSET($H$3,0,0,'Données projet'!$E$15+1,1))</f>
        <v>355.72173590705142</v>
      </c>
      <c r="EP5" s="59">
        <f t="shared" ref="EP5:EP68" si="46">$EP$3</f>
        <v>346.30980704469363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2.4666666666666668</v>
      </c>
      <c r="FE5" s="12">
        <f>IF('Données projet'!$A$218&gt;35,FE4+FD5-FM4,IF(A5&lt;'Données projet'!$A$218,$FB$205^A5,IF(A5='Données projet'!$A$218,'Données projet'!$B$218,FE4+FD5-FM4)))</f>
        <v>1.6184286699097237</v>
      </c>
      <c r="FF5" s="17">
        <f>FE5*VLOOKUP('Données projet'!$B$16,Paramètres!$A$1:$I$89,3,0)*VLOOKUP('Données projet'!$B$16,Paramètres!$A$1:$I$89,5,0)</f>
        <v>1.1866319007778094</v>
      </c>
      <c r="FG5" s="13">
        <f t="shared" ref="FG5:FG68" si="47">EXP(-1.0587+0.8836*LN(FF5)+0.284)</f>
        <v>0.53606530474621483</v>
      </c>
      <c r="FH5" s="20">
        <f t="shared" si="22"/>
        <v>3.0003642996210083</v>
      </c>
      <c r="FI5" s="59">
        <f t="shared" si="23"/>
        <v>262.11147541073217</v>
      </c>
      <c r="FJ5" s="59">
        <f ca="1">AVERAGE(OFFSET($FI$3,0,0,'Données projet'!$E$16+1,1))-AVERAGE(OFFSET($H$3,0,0,'Données projet'!$E$16+1,1))</f>
        <v>278.45534008146865</v>
      </c>
      <c r="FK5" s="59">
        <f t="shared" ref="FK5:FK68" si="48">$FK$3</f>
        <v>272.97841038165217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</v>
      </c>
      <c r="N6" s="13">
        <f>IF('Données projet'!$A$36&gt;35,N5+M6-V5,IF(A6&lt;'Données projet'!$A$36,$K$205^A6,IF(A6='Données projet'!$A$36,'Données projet'!$B$36,N5+M6-V5)))</f>
        <v>9</v>
      </c>
      <c r="O6" s="13">
        <f>N6*VLOOKUP('Données projet'!$B$9,Paramètres!$A$1:$I$89,3,0)*VLOOKUP('Données projet'!$B$9,Paramètres!$A$1:$I$89,5,0)</f>
        <v>8.1432000000000002</v>
      </c>
      <c r="P6" s="13">
        <f t="shared" si="33"/>
        <v>2.9398868551895574</v>
      </c>
      <c r="Q6" s="20">
        <f t="shared" si="2"/>
        <v>19.303042939455146</v>
      </c>
      <c r="R6" s="59">
        <f t="shared" si="0"/>
        <v>279.63637627278848</v>
      </c>
      <c r="S6" s="59">
        <f ca="1">AVERAGE(OFFSET($R$3,0,0,'Données projet'!$E$9+1,1))-AVERAGE(OFFSET($H$3,0,0,'Données projet'!$E$9+1,1))</f>
        <v>436.03161778768742</v>
      </c>
      <c r="T6" s="59">
        <f t="shared" si="34"/>
        <v>217.65884352525285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</v>
      </c>
      <c r="AI6" s="13">
        <f>IF('Données projet'!$A$62&gt;35,AI5+AH6-AQ5,IF(A6&lt;'Données projet'!$A$62,$AF$205^A6,IF(A6='Données projet'!$A$62,'Données projet'!$B$62,AI5+AH6-AQ5)))</f>
        <v>9</v>
      </c>
      <c r="AJ6" s="13">
        <f>AI6*VLOOKUP('Données projet'!$B$10,Paramètres!$A$1:$I$89,3,0)*VLOOKUP('Données projet'!$B$10,Paramètres!$A$1:$I$89,5,0)</f>
        <v>9.1260000000000012</v>
      </c>
      <c r="AK6" s="13">
        <f t="shared" si="35"/>
        <v>3.2512913098674976</v>
      </c>
      <c r="AL6" s="20">
        <f t="shared" si="4"/>
        <v>21.557115698019228</v>
      </c>
      <c r="AM6" s="59">
        <f t="shared" si="5"/>
        <v>281.89044903135255</v>
      </c>
      <c r="AN6" s="59">
        <f ca="1">AVERAGE(OFFSET($AM$3,0,0,'Données projet'!$E$10+1,1))-AVERAGE(OFFSET($H$3,0,0,'Données projet'!$E$10+1,1))</f>
        <v>483.45320081988984</v>
      </c>
      <c r="AO6" s="59">
        <f t="shared" si="36"/>
        <v>238.92443174298893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6.85</v>
      </c>
      <c r="BD6" s="12">
        <f>IF('Données projet'!$A$88&gt;35,BD5+BC6-BL5,IF(A6&lt;'Données projet'!$A$88,$BA$205^A6,IF(A6='Données projet'!$A$88,'Données projet'!$B$88,BD5+BC6-BL5)))</f>
        <v>2.0917418477981307</v>
      </c>
      <c r="BE6" s="13">
        <f>BD6*VLOOKUP('Données projet'!$B$11,Paramètres!$A$1:$I$89,3,0)*VLOOKUP('Données projet'!$B$11,Paramètres!$A$1:$I$89,5,0)</f>
        <v>1.8273456782364474</v>
      </c>
      <c r="BF6" s="13">
        <f t="shared" si="37"/>
        <v>0.78504914439879214</v>
      </c>
      <c r="BG6" s="20">
        <f t="shared" si="7"/>
        <v>4.5499209827563751</v>
      </c>
      <c r="BH6" s="59">
        <f t="shared" si="8"/>
        <v>264.88325431608968</v>
      </c>
      <c r="BI6" s="59">
        <f ca="1">AVERAGE(OFFSET($BH$3,0,0,'Données projet'!$E$11+1,1))-AVERAGE(OFFSET($H$3,0,0,'Données projet'!$E$11+1,1))</f>
        <v>310.44153296396854</v>
      </c>
      <c r="BJ6" s="59">
        <f t="shared" si="38"/>
        <v>388.05195847800502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8.526315789473685</v>
      </c>
      <c r="BY6" s="12">
        <f>IF('Données projet'!$A$114&gt;35,BY5+BX6-CG5,IF(A6&lt;'Données projet'!$A$114,$BV$205^A6,IF(A6='Données projet'!$A$114,'Données projet'!$B$114,BY5+BX6-CG5)))</f>
        <v>2.2329078050230127</v>
      </c>
      <c r="BZ6" s="13">
        <f>BY6*VLOOKUP('Données projet'!$B$12,Paramètres!$A$1:$I$89,3,0)*VLOOKUP('Données projet'!$B$12,Paramètres!$A$1:$I$89,5,0)</f>
        <v>1.248195463007864</v>
      </c>
      <c r="CA6" s="13">
        <f t="shared" si="39"/>
        <v>0.56056679634040518</v>
      </c>
      <c r="CB6" s="20">
        <f t="shared" si="10"/>
        <v>3.1502609350315693</v>
      </c>
      <c r="CC6" s="59">
        <f t="shared" si="11"/>
        <v>263.48359426836487</v>
      </c>
      <c r="CD6" s="59">
        <f ca="1">AVERAGE(OFFSET($CC$3,0,0,'Données projet'!$E$12+1,1))-AVERAGE(OFFSET($H$3,0,0,'Données projet'!$E$12+1,1))</f>
        <v>443.34220761968419</v>
      </c>
      <c r="CE6" s="59">
        <f t="shared" si="40"/>
        <v>546.58234447298014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6.2222222222222223</v>
      </c>
      <c r="CT6" s="12">
        <f>IF('Données projet'!$A$140&gt;35,CT5+CS6-DB5,IF(A6&lt;'Données projet'!$A$140,$CQ$205^A6,IF(A6='Données projet'!$A$140,'Données projet'!$B$140,CT5+CS6-DB5)))</f>
        <v>2.1955146386099229</v>
      </c>
      <c r="CU6" s="17">
        <f>CT6*VLOOKUP('Données projet'!$B$13,Paramètres!$A$1:$I$89,3,0)*VLOOKUP('Données projet'!$B$13,Paramètres!$A$1:$I$89,5,0)</f>
        <v>1.198750992681018</v>
      </c>
      <c r="CV6" s="13">
        <f t="shared" si="41"/>
        <v>0.54090001244632302</v>
      </c>
      <c r="CW6" s="20">
        <f t="shared" si="13"/>
        <v>3.0298921672634527</v>
      </c>
      <c r="CX6" s="59">
        <f t="shared" si="14"/>
        <v>263.36322550059674</v>
      </c>
      <c r="CY6" s="59">
        <f ca="1">AVERAGE(OFFSET($CX$3,0,0,'Données projet'!$E$13+1,1))-AVERAGE(OFFSET($H$3,0,0,'Données projet'!$E$13+1,1))</f>
        <v>214.22606988805535</v>
      </c>
      <c r="CZ6" s="59">
        <f t="shared" si="42"/>
        <v>305.78163836959078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2.4666666666666668</v>
      </c>
      <c r="DO6" s="12">
        <f>IF('Données projet'!$A$166&gt;35,DO5+DN6-DW5,IF(A6&lt;'Données projet'!$A$166,$DL$205^A6,IF(A6='Données projet'!$A$166,'Données projet'!$B$166,DO5+DN6-DW5)))</f>
        <v>2.0589241364785171</v>
      </c>
      <c r="DP6" s="17">
        <f>DO6*VLOOKUP('Données projet'!$B$14,Paramètres!$A$1:$I$89,3,0)*VLOOKUP('Données projet'!$B$14,Paramètres!$A$1:$I$89,5,0)</f>
        <v>1.6701992595113733</v>
      </c>
      <c r="DQ6" s="13">
        <f t="shared" si="43"/>
        <v>0.72508700718957031</v>
      </c>
      <c r="DR6" s="20">
        <f t="shared" si="16"/>
        <v>4.1717902478374764</v>
      </c>
      <c r="DS6" s="59">
        <f t="shared" si="17"/>
        <v>264.50512358117078</v>
      </c>
      <c r="DT6" s="59">
        <f ca="1">AVERAGE(OFFSET($DS$3,0,0,'Données projet'!$E$14+1,1))-AVERAGE(OFFSET($H$3,0,0,'Données projet'!$E$14+1,1))</f>
        <v>304.26232113495314</v>
      </c>
      <c r="DU6" s="59">
        <f t="shared" si="44"/>
        <v>297.47246687305056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2.4666666666666668</v>
      </c>
      <c r="EJ6" s="12">
        <f>IF('Données projet'!$A$192&gt;35,EJ5+EI6-ER5,IF(A6&lt;'Données projet'!$A$192,$EG$205^A6,IF(A6='Données projet'!$A$192,'Données projet'!$B$192,EJ5+EI6-ER5)))</f>
        <v>2.0589241364785171</v>
      </c>
      <c r="EK6" s="17">
        <f>EJ6*VLOOKUP('Données projet'!$B$15,Paramètres!$A$1:$I$89,3,0)*VLOOKUP('Données projet'!$B$15,Paramètres!$A$1:$I$89,5,0)</f>
        <v>1.9913914248020217</v>
      </c>
      <c r="EL6" s="13">
        <f t="shared" si="45"/>
        <v>0.84700673859444398</v>
      </c>
      <c r="EM6" s="20">
        <f t="shared" si="19"/>
        <v>4.9435434679155108</v>
      </c>
      <c r="EN6" s="59">
        <f t="shared" si="20"/>
        <v>265.27687680124882</v>
      </c>
      <c r="EO6" s="59">
        <f ca="1">AVERAGE(OFFSET($EN$3,0,0,'Données projet'!$E$15+1,1))-AVERAGE(OFFSET($H$3,0,0,'Données projet'!$E$15+1,1))</f>
        <v>355.72173590705142</v>
      </c>
      <c r="EP6" s="59">
        <f t="shared" si="46"/>
        <v>346.30980704469363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2.4666666666666668</v>
      </c>
      <c r="FE6" s="12">
        <f>IF('Données projet'!$A$218&gt;35,FE5+FD6-FM5,IF(A6&lt;'Données projet'!$A$218,$FB$205^A6,IF(A6='Données projet'!$A$218,'Données projet'!$B$218,FE5+FD6-FM5)))</f>
        <v>2.0589241364785171</v>
      </c>
      <c r="FF6" s="17">
        <f>FE6*VLOOKUP('Données projet'!$B$16,Paramètres!$A$1:$I$89,3,0)*VLOOKUP('Données projet'!$B$16,Paramètres!$A$1:$I$89,5,0)</f>
        <v>1.5096031768660487</v>
      </c>
      <c r="FG6" s="13">
        <f t="shared" si="47"/>
        <v>0.66312474757151718</v>
      </c>
      <c r="FH6" s="20">
        <f t="shared" si="22"/>
        <v>3.7841678017287599</v>
      </c>
      <c r="FI6" s="59">
        <f t="shared" si="23"/>
        <v>264.11750113506207</v>
      </c>
      <c r="FJ6" s="59">
        <f ca="1">AVERAGE(OFFSET($FI$3,0,0,'Données projet'!$E$16+1,1))-AVERAGE(OFFSET($H$3,0,0,'Données projet'!$E$16+1,1))</f>
        <v>278.45534008146865</v>
      </c>
      <c r="FK6" s="59">
        <f t="shared" si="48"/>
        <v>272.97841038165217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</v>
      </c>
      <c r="N7" s="13">
        <f>IF('Données projet'!$A$36&gt;35,N6+M7-V6,IF(A7&lt;'Données projet'!$A$36,$K$205^A7,IF(A7='Données projet'!$A$36,'Données projet'!$B$36,N6+M7-V6)))</f>
        <v>12</v>
      </c>
      <c r="O7" s="13">
        <f>N7*VLOOKUP('Données projet'!$B$9,Paramètres!$A$1:$I$89,3,0)*VLOOKUP('Données projet'!$B$9,Paramètres!$A$1:$I$89,5,0)</f>
        <v>10.8576</v>
      </c>
      <c r="P7" s="13">
        <f t="shared" si="33"/>
        <v>3.7907617001683773</v>
      </c>
      <c r="Q7" s="20">
        <f t="shared" si="2"/>
        <v>25.512563294459923</v>
      </c>
      <c r="R7" s="59">
        <f t="shared" si="0"/>
        <v>287.06811885001548</v>
      </c>
      <c r="S7" s="59">
        <f ca="1">AVERAGE(OFFSET($R$3,0,0,'Données projet'!$E$9+1,1))-AVERAGE(OFFSET($H$3,0,0,'Données projet'!$E$9+1,1))</f>
        <v>436.03161778768742</v>
      </c>
      <c r="T7" s="59">
        <f t="shared" si="34"/>
        <v>217.65884352525285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</v>
      </c>
      <c r="AI7" s="13">
        <f>IF('Données projet'!$A$62&gt;35,AI6+AH7-AQ6,IF(A7&lt;'Données projet'!$A$62,$AF$205^A7,IF(A7='Données projet'!$A$62,'Données projet'!$B$62,AI6+AH7-AQ6)))</f>
        <v>12</v>
      </c>
      <c r="AJ7" s="13">
        <f>AI7*VLOOKUP('Données projet'!$B$10,Paramètres!$A$1:$I$89,3,0)*VLOOKUP('Données projet'!$B$10,Paramètres!$A$1:$I$89,5,0)</f>
        <v>12.168000000000001</v>
      </c>
      <c r="AK7" s="13">
        <f t="shared" si="35"/>
        <v>4.192294187029626</v>
      </c>
      <c r="AL7" s="20">
        <f t="shared" si="4"/>
        <v>28.494179042409929</v>
      </c>
      <c r="AM7" s="59">
        <f t="shared" si="5"/>
        <v>290.04973459796548</v>
      </c>
      <c r="AN7" s="59">
        <f ca="1">AVERAGE(OFFSET($AM$3,0,0,'Données projet'!$E$10+1,1))-AVERAGE(OFFSET($H$3,0,0,'Données projet'!$E$10+1,1))</f>
        <v>483.45320081988984</v>
      </c>
      <c r="AO7" s="59">
        <f t="shared" si="36"/>
        <v>238.92443174298893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6.85</v>
      </c>
      <c r="BD7" s="12">
        <f>IF('Données projet'!$A$88&gt;35,BD6+BC7-BL6,IF(A7&lt;'Données projet'!$A$88,$BA$205^A7,IF(A7='Données projet'!$A$88,'Données projet'!$B$88,BD6+BC7-BL6)))</f>
        <v>2.6751252058173218</v>
      </c>
      <c r="BE7" s="13">
        <f>BD7*VLOOKUP('Données projet'!$B$11,Paramètres!$A$1:$I$89,3,0)*VLOOKUP('Données projet'!$B$11,Paramètres!$A$1:$I$89,5,0)</f>
        <v>2.3369893798020125</v>
      </c>
      <c r="BF7" s="13">
        <f t="shared" si="37"/>
        <v>0.97565698754699115</v>
      </c>
      <c r="BG7" s="20">
        <f t="shared" si="7"/>
        <v>5.769525756466181</v>
      </c>
      <c r="BH7" s="59">
        <f t="shared" si="8"/>
        <v>267.32508131202172</v>
      </c>
      <c r="BI7" s="59">
        <f ca="1">AVERAGE(OFFSET($BH$3,0,0,'Données projet'!$E$11+1,1))-AVERAGE(OFFSET($H$3,0,0,'Données projet'!$E$11+1,1))</f>
        <v>310.44153296396854</v>
      </c>
      <c r="BJ7" s="59">
        <f t="shared" si="38"/>
        <v>388.05195847800502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8.526315789473685</v>
      </c>
      <c r="BY7" s="12">
        <f>IF('Données projet'!$A$114&gt;35,BY6+BX7-CG6,IF(A7&lt;'Données projet'!$A$114,$BV$205^A7,IF(A7='Données projet'!$A$114,'Données projet'!$B$114,BY6+BX7-CG6)))</f>
        <v>2.9185091262186176</v>
      </c>
      <c r="BZ7" s="13">
        <f>BY7*VLOOKUP('Données projet'!$B$12,Paramètres!$A$1:$I$89,3,0)*VLOOKUP('Données projet'!$B$12,Paramètres!$A$1:$I$89,5,0)</f>
        <v>1.6314466015562072</v>
      </c>
      <c r="CA7" s="13">
        <f t="shared" si="39"/>
        <v>0.71020127416305878</v>
      </c>
      <c r="CB7" s="20">
        <f t="shared" si="10"/>
        <v>4.0783700502110554</v>
      </c>
      <c r="CC7" s="59">
        <f t="shared" si="11"/>
        <v>265.63392560576659</v>
      </c>
      <c r="CD7" s="59">
        <f ca="1">AVERAGE(OFFSET($CC$3,0,0,'Données projet'!$E$12+1,1))-AVERAGE(OFFSET($H$3,0,0,'Données projet'!$E$12+1,1))</f>
        <v>443.34220761968419</v>
      </c>
      <c r="CE7" s="59">
        <f t="shared" si="40"/>
        <v>546.58234447298014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6.2222222222222223</v>
      </c>
      <c r="CT7" s="12">
        <f>IF('Données projet'!$A$140&gt;35,CT6+CS7-DB6,IF(A7&lt;'Données projet'!$A$140,$CQ$205^A7,IF(A7='Données projet'!$A$140,'Données projet'!$B$140,CT6+CS7-DB6)))</f>
        <v>2.8535256637456983</v>
      </c>
      <c r="CU7" s="17">
        <f>CT7*VLOOKUP('Données projet'!$B$13,Paramètres!$A$1:$I$89,3,0)*VLOOKUP('Données projet'!$B$13,Paramètres!$A$1:$I$89,5,0)</f>
        <v>1.5580250124051513</v>
      </c>
      <c r="CV7" s="13">
        <f t="shared" si="41"/>
        <v>0.68188451366532465</v>
      </c>
      <c r="CW7" s="20">
        <f t="shared" si="13"/>
        <v>3.9011757579060791</v>
      </c>
      <c r="CX7" s="59">
        <f t="shared" si="14"/>
        <v>265.4567313134616</v>
      </c>
      <c r="CY7" s="59">
        <f ca="1">AVERAGE(OFFSET($CX$3,0,0,'Données projet'!$E$13+1,1))-AVERAGE(OFFSET($H$3,0,0,'Données projet'!$E$13+1,1))</f>
        <v>214.22606988805535</v>
      </c>
      <c r="CZ7" s="59">
        <f t="shared" si="42"/>
        <v>305.78163836959078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2.4666666666666668</v>
      </c>
      <c r="DO7" s="12">
        <f>IF('Données projet'!$A$166&gt;35,DO6+DN7-DW6,IF(A7&lt;'Données projet'!$A$166,$DL$205^A7,IF(A7='Données projet'!$A$166,'Données projet'!$B$166,DO6+DN7-DW6)))</f>
        <v>2.6193113595857573</v>
      </c>
      <c r="DP7" s="17">
        <f>DO7*VLOOKUP('Données projet'!$B$14,Paramètres!$A$1:$I$89,3,0)*VLOOKUP('Données projet'!$B$14,Paramètres!$A$1:$I$89,5,0)</f>
        <v>2.1247853748959664</v>
      </c>
      <c r="DQ7" s="13">
        <f t="shared" si="43"/>
        <v>0.89694881267796833</v>
      </c>
      <c r="DR7" s="20">
        <f t="shared" si="16"/>
        <v>5.2628537100246024</v>
      </c>
      <c r="DS7" s="59">
        <f t="shared" si="17"/>
        <v>266.81840926558016</v>
      </c>
      <c r="DT7" s="59">
        <f ca="1">AVERAGE(OFFSET($DS$3,0,0,'Données projet'!$E$14+1,1))-AVERAGE(OFFSET($H$3,0,0,'Données projet'!$E$14+1,1))</f>
        <v>304.26232113495314</v>
      </c>
      <c r="DU7" s="59">
        <f t="shared" si="44"/>
        <v>297.47246687305056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2.4666666666666668</v>
      </c>
      <c r="EJ7" s="12">
        <f>IF('Données projet'!$A$192&gt;35,EJ6+EI7-ER6,IF(A7&lt;'Données projet'!$A$192,$EG$205^A7,IF(A7='Données projet'!$A$192,'Données projet'!$B$192,EJ6+EI7-ER6)))</f>
        <v>2.6193113595857573</v>
      </c>
      <c r="EK7" s="17">
        <f>EJ7*VLOOKUP('Données projet'!$B$15,Paramètres!$A$1:$I$89,3,0)*VLOOKUP('Données projet'!$B$15,Paramètres!$A$1:$I$89,5,0)</f>
        <v>2.5333979469913448</v>
      </c>
      <c r="EL7" s="13">
        <f t="shared" si="45"/>
        <v>1.0477662418158591</v>
      </c>
      <c r="EM7" s="20">
        <f t="shared" si="19"/>
        <v>6.2371942955058799</v>
      </c>
      <c r="EN7" s="59">
        <f t="shared" si="20"/>
        <v>267.79274985106144</v>
      </c>
      <c r="EO7" s="59">
        <f ca="1">AVERAGE(OFFSET($EN$3,0,0,'Données projet'!$E$15+1,1))-AVERAGE(OFFSET($H$3,0,0,'Données projet'!$E$15+1,1))</f>
        <v>355.72173590705142</v>
      </c>
      <c r="EP7" s="59">
        <f t="shared" si="46"/>
        <v>346.30980704469363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2.4666666666666668</v>
      </c>
      <c r="FE7" s="12">
        <f>IF('Données projet'!$A$218&gt;35,FE6+FD7-FM6,IF(A7&lt;'Données projet'!$A$218,$FB$205^A7,IF(A7='Données projet'!$A$218,'Données projet'!$B$218,FE6+FD7-FM6)))</f>
        <v>2.6193113595857573</v>
      </c>
      <c r="FF7" s="17">
        <f>FE7*VLOOKUP('Données projet'!$B$16,Paramètres!$A$1:$I$89,3,0)*VLOOKUP('Données projet'!$B$16,Paramètres!$A$1:$I$89,5,0)</f>
        <v>1.9204790888482772</v>
      </c>
      <c r="FG7" s="13">
        <f t="shared" si="47"/>
        <v>0.82030011446080875</v>
      </c>
      <c r="FH7" s="20">
        <f t="shared" si="22"/>
        <v>4.7735237790966574</v>
      </c>
      <c r="FI7" s="59">
        <f t="shared" si="23"/>
        <v>266.32907933465219</v>
      </c>
      <c r="FJ7" s="59">
        <f ca="1">AVERAGE(OFFSET($FI$3,0,0,'Données projet'!$E$16+1,1))-AVERAGE(OFFSET($H$3,0,0,'Données projet'!$E$16+1,1))</f>
        <v>278.45534008146865</v>
      </c>
      <c r="FK7" s="59">
        <f t="shared" si="48"/>
        <v>272.97841038165217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</v>
      </c>
      <c r="N8" s="13">
        <f>IF('Données projet'!$A$36&gt;35,N7+M8-V7,IF(A8&lt;'Données projet'!$A$36,$K$205^A8,IF(A8='Données projet'!$A$36,'Données projet'!$B$36,N7+M8-V7)))</f>
        <v>15</v>
      </c>
      <c r="O8" s="13">
        <f>N8*VLOOKUP('Données projet'!$B$9,Paramètres!$A$1:$I$89,3,0)*VLOOKUP('Données projet'!$B$9,Paramètres!$A$1:$I$89,5,0)</f>
        <v>13.571999999999999</v>
      </c>
      <c r="P8" s="13">
        <f t="shared" si="33"/>
        <v>4.6169606338501863</v>
      </c>
      <c r="Q8" s="20">
        <f t="shared" si="2"/>
        <v>31.679106437289075</v>
      </c>
      <c r="R8" s="59">
        <f t="shared" si="0"/>
        <v>294.45688421506685</v>
      </c>
      <c r="S8" s="59">
        <f ca="1">AVERAGE(OFFSET($R$3,0,0,'Données projet'!$E$9+1,1))-AVERAGE(OFFSET($H$3,0,0,'Données projet'!$E$9+1,1))</f>
        <v>436.03161778768742</v>
      </c>
      <c r="T8" s="59">
        <f t="shared" si="34"/>
        <v>217.65884352525285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</v>
      </c>
      <c r="AI8" s="13">
        <f>IF('Données projet'!$A$62&gt;35,AI7+AH8-AQ7,IF(A8&lt;'Données projet'!$A$62,$AF$205^A8,IF(A8='Données projet'!$A$62,'Données projet'!$B$62,AI7+AH8-AQ7)))</f>
        <v>15</v>
      </c>
      <c r="AJ8" s="13">
        <f>AI8*VLOOKUP('Données projet'!$B$10,Paramètres!$A$1:$I$89,3,0)*VLOOKUP('Données projet'!$B$10,Paramètres!$A$1:$I$89,5,0)</f>
        <v>15.21</v>
      </c>
      <c r="AK8" s="13">
        <f t="shared" si="35"/>
        <v>5.1060073826785333</v>
      </c>
      <c r="AL8" s="20">
        <f t="shared" si="4"/>
        <v>35.383712858165119</v>
      </c>
      <c r="AM8" s="59">
        <f t="shared" si="5"/>
        <v>298.16149063594287</v>
      </c>
      <c r="AN8" s="59">
        <f ca="1">AVERAGE(OFFSET($AM$3,0,0,'Données projet'!$E$10+1,1))-AVERAGE(OFFSET($H$3,0,0,'Données projet'!$E$10+1,1))</f>
        <v>483.45320081988984</v>
      </c>
      <c r="AO8" s="59">
        <f t="shared" si="36"/>
        <v>238.92443174298893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6.85</v>
      </c>
      <c r="BD8" s="12">
        <f>IF('Données projet'!$A$88&gt;35,BD7+BC8-BL7,IF(A8&lt;'Données projet'!$A$88,$BA$205^A8,IF(A8='Données projet'!$A$88,'Données projet'!$B$88,BD7+BC8-BL7)))</f>
        <v>3.4212132220485207</v>
      </c>
      <c r="BE8" s="13">
        <f>BD8*VLOOKUP('Données projet'!$B$11,Paramètres!$A$1:$I$89,3,0)*VLOOKUP('Données projet'!$B$11,Paramètres!$A$1:$I$89,5,0)</f>
        <v>2.988771870781588</v>
      </c>
      <c r="BF8" s="13">
        <f t="shared" si="37"/>
        <v>1.2125439077807807</v>
      </c>
      <c r="BG8" s="20">
        <f t="shared" si="7"/>
        <v>7.3172916476627918</v>
      </c>
      <c r="BH8" s="59">
        <f t="shared" si="8"/>
        <v>270.09506942544056</v>
      </c>
      <c r="BI8" s="59">
        <f ca="1">AVERAGE(OFFSET($BH$3,0,0,'Données projet'!$E$11+1,1))-AVERAGE(OFFSET($H$3,0,0,'Données projet'!$E$11+1,1))</f>
        <v>310.44153296396854</v>
      </c>
      <c r="BJ8" s="59">
        <f t="shared" si="38"/>
        <v>388.05195847800502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8.526315789473685</v>
      </c>
      <c r="BY8" s="12">
        <f>IF('Données projet'!$A$114&gt;35,BY7+BX8-CG7,IF(A8&lt;'Données projet'!$A$114,$BV$205^A8,IF(A8='Données projet'!$A$114,'Données projet'!$B$114,BY7+BX8-CG7)))</f>
        <v>3.8146203352688688</v>
      </c>
      <c r="BZ8" s="13">
        <f>BY8*VLOOKUP('Données projet'!$B$12,Paramètres!$A$1:$I$89,3,0)*VLOOKUP('Données projet'!$B$12,Paramètres!$A$1:$I$89,5,0)</f>
        <v>2.1323727674152977</v>
      </c>
      <c r="CA8" s="13">
        <f t="shared" si="39"/>
        <v>0.89977831922200224</v>
      </c>
      <c r="CB8" s="20">
        <f t="shared" si="10"/>
        <v>5.2809964758932972</v>
      </c>
      <c r="CC8" s="59">
        <f t="shared" si="11"/>
        <v>268.05877425367106</v>
      </c>
      <c r="CD8" s="59">
        <f ca="1">AVERAGE(OFFSET($CC$3,0,0,'Données projet'!$E$12+1,1))-AVERAGE(OFFSET($H$3,0,0,'Données projet'!$E$12+1,1))</f>
        <v>443.34220761968419</v>
      </c>
      <c r="CE8" s="59">
        <f t="shared" si="40"/>
        <v>546.58234447298014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6.2222222222222223</v>
      </c>
      <c r="CT8" s="12">
        <f>IF('Données projet'!$A$140&gt;35,CT7+CS8-DB7,IF(A8&lt;'Données projet'!$A$140,$CQ$205^A8,IF(A8='Données projet'!$A$140,'Données projet'!$B$140,CT7+CS8-DB7)))</f>
        <v>3.7087471750180505</v>
      </c>
      <c r="CU8" s="17">
        <f>CT8*VLOOKUP('Données projet'!$B$13,Paramètres!$A$1:$I$89,3,0)*VLOOKUP('Données projet'!$B$13,Paramètres!$A$1:$I$89,5,0)</f>
        <v>2.0249759575598554</v>
      </c>
      <c r="CV8" s="13">
        <f t="shared" si="41"/>
        <v>0.85961634179614299</v>
      </c>
      <c r="CW8" s="20">
        <f t="shared" si="13"/>
        <v>5.0239982547116968</v>
      </c>
      <c r="CX8" s="59">
        <f t="shared" si="14"/>
        <v>267.80177603248944</v>
      </c>
      <c r="CY8" s="59">
        <f ca="1">AVERAGE(OFFSET($CX$3,0,0,'Données projet'!$E$13+1,1))-AVERAGE(OFFSET($H$3,0,0,'Données projet'!$E$13+1,1))</f>
        <v>214.22606988805535</v>
      </c>
      <c r="CZ8" s="59">
        <f t="shared" si="42"/>
        <v>305.78163836959078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2.4666666666666668</v>
      </c>
      <c r="DO8" s="12">
        <f>IF('Données projet'!$A$166&gt;35,DO7+DN8-DW7,IF(A8&lt;'Données projet'!$A$166,$DL$205^A8,IF(A8='Données projet'!$A$166,'Données projet'!$B$166,DO7+DN8-DW7)))</f>
        <v>3.332221851645953</v>
      </c>
      <c r="DP8" s="17">
        <f>DO8*VLOOKUP('Données projet'!$B$14,Paramètres!$A$1:$I$89,3,0)*VLOOKUP('Données projet'!$B$14,Paramètres!$A$1:$I$89,5,0)</f>
        <v>2.703098366055197</v>
      </c>
      <c r="DQ8" s="13">
        <f t="shared" si="43"/>
        <v>1.1095457022222992</v>
      </c>
      <c r="DR8" s="20">
        <f t="shared" si="16"/>
        <v>6.6403550855833053</v>
      </c>
      <c r="DS8" s="59">
        <f t="shared" si="17"/>
        <v>269.41813286336105</v>
      </c>
      <c r="DT8" s="59">
        <f ca="1">AVERAGE(OFFSET($DS$3,0,0,'Données projet'!$E$14+1,1))-AVERAGE(OFFSET($H$3,0,0,'Données projet'!$E$14+1,1))</f>
        <v>304.26232113495314</v>
      </c>
      <c r="DU8" s="59">
        <f t="shared" si="44"/>
        <v>297.47246687305056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2.4666666666666668</v>
      </c>
      <c r="EJ8" s="12">
        <f>IF('Données projet'!$A$192&gt;35,EJ7+EI8-ER7,IF(A8&lt;'Données projet'!$A$192,$EG$205^A8,IF(A8='Données projet'!$A$192,'Données projet'!$B$192,EJ7+EI8-ER7)))</f>
        <v>3.332221851645953</v>
      </c>
      <c r="EK8" s="17">
        <f>EJ8*VLOOKUP('Données projet'!$B$15,Paramètres!$A$1:$I$89,3,0)*VLOOKUP('Données projet'!$B$15,Paramètres!$A$1:$I$89,5,0)</f>
        <v>3.2229249749119662</v>
      </c>
      <c r="EL8" s="13">
        <f t="shared" si="45"/>
        <v>1.2961102284861215</v>
      </c>
      <c r="EM8" s="20">
        <f t="shared" si="19"/>
        <v>7.8706529792516697</v>
      </c>
      <c r="EN8" s="59">
        <f t="shared" si="20"/>
        <v>270.64843075702942</v>
      </c>
      <c r="EO8" s="59">
        <f ca="1">AVERAGE(OFFSET($EN$3,0,0,'Données projet'!$E$15+1,1))-AVERAGE(OFFSET($H$3,0,0,'Données projet'!$E$15+1,1))</f>
        <v>355.72173590705142</v>
      </c>
      <c r="EP8" s="59">
        <f t="shared" si="46"/>
        <v>346.30980704469363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2.4666666666666668</v>
      </c>
      <c r="FE8" s="12">
        <f>IF('Données projet'!$A$218&gt;35,FE7+FD8-FM7,IF(A8&lt;'Données projet'!$A$218,$FB$205^A8,IF(A8='Données projet'!$A$218,'Données projet'!$B$218,FE7+FD8-FM7)))</f>
        <v>3.332221851645953</v>
      </c>
      <c r="FF8" s="17">
        <f>FE8*VLOOKUP('Données projet'!$B$16,Paramètres!$A$1:$I$89,3,0)*VLOOKUP('Données projet'!$B$16,Paramètres!$A$1:$I$89,5,0)</f>
        <v>2.4431850616268127</v>
      </c>
      <c r="FG8" s="13">
        <f t="shared" si="47"/>
        <v>1.0147295516396715</v>
      </c>
      <c r="FH8" s="20">
        <f t="shared" si="22"/>
        <v>6.0225346181057935</v>
      </c>
      <c r="FI8" s="59">
        <f t="shared" si="23"/>
        <v>268.80031239588357</v>
      </c>
      <c r="FJ8" s="59">
        <f ca="1">AVERAGE(OFFSET($FI$3,0,0,'Données projet'!$E$16+1,1))-AVERAGE(OFFSET($H$3,0,0,'Données projet'!$E$16+1,1))</f>
        <v>278.45534008146865</v>
      </c>
      <c r="FK8" s="59">
        <f t="shared" si="48"/>
        <v>272.97841038165217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</v>
      </c>
      <c r="N9" s="13">
        <f>IF('Données projet'!$A$36&gt;35,N8+M9-V8,IF(A9&lt;'Données projet'!$A$36,$K$205^A9,IF(A9='Données projet'!$A$36,'Données projet'!$B$36,N8+M9-V8)))</f>
        <v>18</v>
      </c>
      <c r="O9" s="13">
        <f>N9*VLOOKUP('Données projet'!$B$9,Paramètres!$A$1:$I$89,3,0)*VLOOKUP('Données projet'!$B$9,Paramètres!$A$1:$I$89,5,0)</f>
        <v>16.2864</v>
      </c>
      <c r="P9" s="13">
        <f t="shared" si="33"/>
        <v>5.4240129855342607</v>
      </c>
      <c r="Q9" s="20">
        <f t="shared" si="2"/>
        <v>37.812302616472174</v>
      </c>
      <c r="R9" s="59">
        <f t="shared" si="0"/>
        <v>301.81230261647215</v>
      </c>
      <c r="S9" s="59">
        <f ca="1">AVERAGE(OFFSET($R$3,0,0,'Données projet'!$E$9+1,1))-AVERAGE(OFFSET($H$3,0,0,'Données projet'!$E$9+1,1))</f>
        <v>436.03161778768742</v>
      </c>
      <c r="T9" s="59">
        <f t="shared" si="34"/>
        <v>217.65884352525285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</v>
      </c>
      <c r="AI9" s="13">
        <f>IF('Données projet'!$A$62&gt;35,AI8+AH9-AQ8,IF(A9&lt;'Données projet'!$A$62,$AF$205^A9,IF(A9='Données projet'!$A$62,'Données projet'!$B$62,AI8+AH9-AQ8)))</f>
        <v>18</v>
      </c>
      <c r="AJ9" s="13">
        <f>AI9*VLOOKUP('Données projet'!$B$10,Paramètres!$A$1:$I$89,3,0)*VLOOKUP('Données projet'!$B$10,Paramètres!$A$1:$I$89,5,0)</f>
        <v>18.252000000000002</v>
      </c>
      <c r="AK9" s="13">
        <f t="shared" si="35"/>
        <v>5.9985459145634135</v>
      </c>
      <c r="AL9" s="20">
        <f t="shared" si="4"/>
        <v>42.236367467864618</v>
      </c>
      <c r="AM9" s="59">
        <f t="shared" si="5"/>
        <v>306.23636746786462</v>
      </c>
      <c r="AN9" s="59">
        <f ca="1">AVERAGE(OFFSET($AM$3,0,0,'Données projet'!$E$10+1,1))-AVERAGE(OFFSET($H$3,0,0,'Données projet'!$E$10+1,1))</f>
        <v>483.45320081988984</v>
      </c>
      <c r="AO9" s="59">
        <f t="shared" si="36"/>
        <v>238.92443174298893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6.85</v>
      </c>
      <c r="BD9" s="12">
        <f>IF('Données projet'!$A$88&gt;35,BD8+BC9-BL8,IF(A9&lt;'Données projet'!$A$88,$BA$205^A9,IF(A9='Données projet'!$A$88,'Données projet'!$B$88,BD8+BC9-BL8)))</f>
        <v>4.3753839578299374</v>
      </c>
      <c r="BE9" s="13">
        <f>BD9*VLOOKUP('Données projet'!$B$11,Paramètres!$A$1:$I$89,3,0)*VLOOKUP('Données projet'!$B$11,Paramètres!$A$1:$I$89,5,0)</f>
        <v>3.8223354255602335</v>
      </c>
      <c r="BF9" s="13">
        <f t="shared" si="37"/>
        <v>1.5069463418622553</v>
      </c>
      <c r="BG9" s="20">
        <f t="shared" si="7"/>
        <v>9.2818324115941682</v>
      </c>
      <c r="BH9" s="59">
        <f t="shared" si="8"/>
        <v>273.28183241159417</v>
      </c>
      <c r="BI9" s="59">
        <f ca="1">AVERAGE(OFFSET($BH$3,0,0,'Données projet'!$E$11+1,1))-AVERAGE(OFFSET($H$3,0,0,'Données projet'!$E$11+1,1))</f>
        <v>310.44153296396854</v>
      </c>
      <c r="BJ9" s="59">
        <f t="shared" si="38"/>
        <v>388.05195847800502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8.526315789473685</v>
      </c>
      <c r="BY9" s="12">
        <f>IF('Données projet'!$A$114&gt;35,BY8+BX9-CG8,IF(A9&lt;'Données projet'!$A$114,$BV$205^A9,IF(A9='Données projet'!$A$114,'Données projet'!$B$114,BY8+BX9-CG8)))</f>
        <v>4.9858772657326877</v>
      </c>
      <c r="BZ9" s="13">
        <f>BY9*VLOOKUP('Données projet'!$B$12,Paramètres!$A$1:$I$89,3,0)*VLOOKUP('Données projet'!$B$12,Paramètres!$A$1:$I$89,5,0)</f>
        <v>2.7871053915445723</v>
      </c>
      <c r="CA9" s="13">
        <f t="shared" si="39"/>
        <v>1.1399599707787778</v>
      </c>
      <c r="CB9" s="20">
        <f t="shared" si="10"/>
        <v>6.839638839379834</v>
      </c>
      <c r="CC9" s="59">
        <f t="shared" si="11"/>
        <v>270.83963883937986</v>
      </c>
      <c r="CD9" s="59">
        <f ca="1">AVERAGE(OFFSET($CC$3,0,0,'Données projet'!$E$12+1,1))-AVERAGE(OFFSET($H$3,0,0,'Données projet'!$E$12+1,1))</f>
        <v>443.34220761968419</v>
      </c>
      <c r="CE9" s="59">
        <f t="shared" si="40"/>
        <v>546.58234447298014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6.2222222222222223</v>
      </c>
      <c r="CT9" s="12">
        <f>IF('Données projet'!$A$140&gt;35,CT8+CS9-DB8,IF(A9&lt;'Données projet'!$A$140,$CQ$205^A9,IF(A9='Données projet'!$A$140,'Données projet'!$B$140,CT8+CS9-DB8)))</f>
        <v>4.8202845283504612</v>
      </c>
      <c r="CU9" s="17">
        <f>CT9*VLOOKUP('Données projet'!$B$13,Paramètres!$A$1:$I$89,3,0)*VLOOKUP('Données projet'!$B$13,Paramètres!$A$1:$I$89,5,0)</f>
        <v>2.6318753524793519</v>
      </c>
      <c r="CV9" s="13">
        <f t="shared" si="41"/>
        <v>1.0836736137487091</v>
      </c>
      <c r="CW9" s="20">
        <f t="shared" si="13"/>
        <v>6.4712477828472066</v>
      </c>
      <c r="CX9" s="59">
        <f t="shared" si="14"/>
        <v>270.47124778284723</v>
      </c>
      <c r="CY9" s="59">
        <f ca="1">AVERAGE(OFFSET($CX$3,0,0,'Données projet'!$E$13+1,1))-AVERAGE(OFFSET($H$3,0,0,'Données projet'!$E$13+1,1))</f>
        <v>214.22606988805535</v>
      </c>
      <c r="CZ9" s="59">
        <f t="shared" si="42"/>
        <v>305.78163836959078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2.4666666666666668</v>
      </c>
      <c r="DO9" s="12">
        <f>IF('Données projet'!$A$166&gt;35,DO8+DN9-DW8,IF(A9&lt;'Données projet'!$A$166,$DL$205^A9,IF(A9='Données projet'!$A$166,'Données projet'!$B$166,DO8+DN9-DW8)))</f>
        <v>4.2391685997738069</v>
      </c>
      <c r="DP9" s="17">
        <f>DO9*VLOOKUP('Données projet'!$B$14,Paramètres!$A$1:$I$89,3,0)*VLOOKUP('Données projet'!$B$14,Paramètres!$A$1:$I$89,5,0)</f>
        <v>3.4388135681365122</v>
      </c>
      <c r="DQ9" s="13">
        <f t="shared" si="43"/>
        <v>1.3725327999982246</v>
      </c>
      <c r="DR9" s="20">
        <f t="shared" si="16"/>
        <v>8.3797615911680001</v>
      </c>
      <c r="DS9" s="59">
        <f t="shared" si="17"/>
        <v>272.37976159116801</v>
      </c>
      <c r="DT9" s="59">
        <f ca="1">AVERAGE(OFFSET($DS$3,0,0,'Données projet'!$E$14+1,1))-AVERAGE(OFFSET($H$3,0,0,'Données projet'!$E$14+1,1))</f>
        <v>304.26232113495314</v>
      </c>
      <c r="DU9" s="59">
        <f t="shared" si="44"/>
        <v>297.47246687305056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2.4666666666666668</v>
      </c>
      <c r="EJ9" s="12">
        <f>IF('Données projet'!$A$192&gt;35,EJ8+EI9-ER8,IF(A9&lt;'Données projet'!$A$192,$EG$205^A9,IF(A9='Données projet'!$A$192,'Données projet'!$B$192,EJ8+EI9-ER8)))</f>
        <v>4.2391685997738069</v>
      </c>
      <c r="EK9" s="17">
        <f>EJ9*VLOOKUP('Données projet'!$B$15,Paramètres!$A$1:$I$89,3,0)*VLOOKUP('Données projet'!$B$15,Paramètres!$A$1:$I$89,5,0)</f>
        <v>4.1001238697012257</v>
      </c>
      <c r="EL9" s="13">
        <f t="shared" si="45"/>
        <v>1.6033172833235658</v>
      </c>
      <c r="EM9" s="20">
        <f t="shared" si="19"/>
        <v>9.9334933415181794</v>
      </c>
      <c r="EN9" s="59">
        <f t="shared" si="20"/>
        <v>273.93349334151816</v>
      </c>
      <c r="EO9" s="59">
        <f ca="1">AVERAGE(OFFSET($EN$3,0,0,'Données projet'!$E$15+1,1))-AVERAGE(OFFSET($H$3,0,0,'Données projet'!$E$15+1,1))</f>
        <v>355.72173590705142</v>
      </c>
      <c r="EP9" s="59">
        <f t="shared" si="46"/>
        <v>346.30980704469363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2.4666666666666668</v>
      </c>
      <c r="FE9" s="12">
        <f>IF('Données projet'!$A$218&gt;35,FE8+FD9-FM8,IF(A9&lt;'Données projet'!$A$218,$FB$205^A9,IF(A9='Données projet'!$A$218,'Données projet'!$B$218,FE8+FD9-FM8)))</f>
        <v>4.2391685997738069</v>
      </c>
      <c r="FF9" s="17">
        <f>FE9*VLOOKUP('Données projet'!$B$16,Paramètres!$A$1:$I$89,3,0)*VLOOKUP('Données projet'!$B$16,Paramètres!$A$1:$I$89,5,0)</f>
        <v>3.1081584173541552</v>
      </c>
      <c r="FG9" s="13">
        <f t="shared" si="47"/>
        <v>1.2552431053208675</v>
      </c>
      <c r="FH9" s="20">
        <f t="shared" si="22"/>
        <v>7.5995909853256647</v>
      </c>
      <c r="FI9" s="59">
        <f t="shared" si="23"/>
        <v>271.59959098532568</v>
      </c>
      <c r="FJ9" s="59">
        <f ca="1">AVERAGE(OFFSET($FI$3,0,0,'Données projet'!$E$16+1,1))-AVERAGE(OFFSET($H$3,0,0,'Données projet'!$E$16+1,1))</f>
        <v>278.45534008146865</v>
      </c>
      <c r="FK9" s="59">
        <f t="shared" si="48"/>
        <v>272.97841038165217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</v>
      </c>
      <c r="N10" s="13">
        <f>IF('Données projet'!$A$36&gt;35,N9+M10-V9,IF(A10&lt;'Données projet'!$A$36,$K$205^A10,IF(A10='Données projet'!$A$36,'Données projet'!$B$36,N9+M10-V9)))</f>
        <v>21</v>
      </c>
      <c r="O10" s="13">
        <f>N10*VLOOKUP('Données projet'!$B$9,Paramètres!$A$1:$I$89,3,0)*VLOOKUP('Données projet'!$B$9,Paramètres!$A$1:$I$89,5,0)</f>
        <v>19.000800000000002</v>
      </c>
      <c r="P10" s="13">
        <f t="shared" si="33"/>
        <v>6.2154833000252001</v>
      </c>
      <c r="Q10" s="20">
        <f t="shared" si="2"/>
        <v>43.918360080877228</v>
      </c>
      <c r="R10" s="59">
        <f t="shared" si="0"/>
        <v>309.14058230309945</v>
      </c>
      <c r="S10" s="59">
        <f ca="1">AVERAGE(OFFSET($R$3,0,0,'Données projet'!$E$9+1,1))-AVERAGE(OFFSET($H$3,0,0,'Données projet'!$E$9+1,1))</f>
        <v>436.03161778768742</v>
      </c>
      <c r="T10" s="59">
        <f t="shared" si="34"/>
        <v>217.65884352525285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</v>
      </c>
      <c r="AI10" s="13">
        <f>IF('Données projet'!$A$62&gt;35,AI9+AH10-AQ9,IF(A10&lt;'Données projet'!$A$62,$AF$205^A10,IF(A10='Données projet'!$A$62,'Données projet'!$B$62,AI9+AH10-AQ9)))</f>
        <v>21</v>
      </c>
      <c r="AJ10" s="13">
        <f>AI10*VLOOKUP('Données projet'!$B$10,Paramètres!$A$1:$I$89,3,0)*VLOOKUP('Données projet'!$B$10,Paramètres!$A$1:$I$89,5,0)</f>
        <v>21.294</v>
      </c>
      <c r="AK10" s="13">
        <f t="shared" si="35"/>
        <v>6.8738518981865706</v>
      </c>
      <c r="AL10" s="20">
        <f t="shared" si="4"/>
        <v>49.059008722674939</v>
      </c>
      <c r="AM10" s="59">
        <f t="shared" si="5"/>
        <v>314.28123094489717</v>
      </c>
      <c r="AN10" s="59">
        <f ca="1">AVERAGE(OFFSET($AM$3,0,0,'Données projet'!$E$10+1,1))-AVERAGE(OFFSET($H$3,0,0,'Données projet'!$E$10+1,1))</f>
        <v>483.45320081988984</v>
      </c>
      <c r="AO10" s="59">
        <f t="shared" si="36"/>
        <v>238.92443174298893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6.85</v>
      </c>
      <c r="BD10" s="12">
        <f>IF('Données projet'!$A$88&gt;35,BD9+BC10-BL9,IF(A10&lt;'Données projet'!$A$88,$BA$205^A10,IF(A10='Données projet'!$A$88,'Données projet'!$B$88,BD9+BC10-BL9)))</f>
        <v>5.5956713411076793</v>
      </c>
      <c r="BE10" s="13">
        <f>BD10*VLOOKUP('Données projet'!$B$11,Paramètres!$A$1:$I$89,3,0)*VLOOKUP('Données projet'!$B$11,Paramètres!$A$1:$I$89,5,0)</f>
        <v>4.8883784835916693</v>
      </c>
      <c r="BF10" s="13">
        <f t="shared" si="37"/>
        <v>1.8728289034978141</v>
      </c>
      <c r="BG10" s="20">
        <f t="shared" si="7"/>
        <v>11.775769532514182</v>
      </c>
      <c r="BH10" s="59">
        <f t="shared" si="8"/>
        <v>276.9979917547364</v>
      </c>
      <c r="BI10" s="59">
        <f ca="1">AVERAGE(OFFSET($BH$3,0,0,'Données projet'!$E$11+1,1))-AVERAGE(OFFSET($H$3,0,0,'Données projet'!$E$11+1,1))</f>
        <v>310.44153296396854</v>
      </c>
      <c r="BJ10" s="59">
        <f t="shared" si="38"/>
        <v>388.05195847800502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8.526315789473685</v>
      </c>
      <c r="BY10" s="12">
        <f>IF('Données projet'!$A$114&gt;35,BY9+BX10-CG9,IF(A10&lt;'Données projet'!$A$114,$BV$205^A10,IF(A10='Données projet'!$A$114,'Données projet'!$B$114,BY9+BX10-CG9)))</f>
        <v>6.5167618069644444</v>
      </c>
      <c r="BZ10" s="13">
        <f>BY10*VLOOKUP('Données projet'!$B$12,Paramètres!$A$1:$I$89,3,0)*VLOOKUP('Données projet'!$B$12,Paramètres!$A$1:$I$89,5,0)</f>
        <v>3.6428698500931249</v>
      </c>
      <c r="CA10" s="13">
        <f t="shared" si="39"/>
        <v>1.4442543315575544</v>
      </c>
      <c r="CB10" s="20">
        <f t="shared" si="10"/>
        <v>8.8600746163749324</v>
      </c>
      <c r="CC10" s="59">
        <f t="shared" si="11"/>
        <v>274.08229683859719</v>
      </c>
      <c r="CD10" s="59">
        <f ca="1">AVERAGE(OFFSET($CC$3,0,0,'Données projet'!$E$12+1,1))-AVERAGE(OFFSET($H$3,0,0,'Données projet'!$E$12+1,1))</f>
        <v>443.34220761968419</v>
      </c>
      <c r="CE10" s="59">
        <f t="shared" si="40"/>
        <v>546.58234447298014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6.2222222222222223</v>
      </c>
      <c r="CT10" s="12">
        <f>IF('Données projet'!$A$140&gt;35,CT9+CS10-DB9,IF(A10&lt;'Données projet'!$A$140,$CQ$205^A10,IF(A10='Données projet'!$A$140,'Données projet'!$B$140,CT9+CS10-DB9)))</f>
        <v>6.2649573664027773</v>
      </c>
      <c r="CU10" s="17">
        <f>CT10*VLOOKUP('Données projet'!$B$13,Paramètres!$A$1:$I$89,3,0)*VLOOKUP('Données projet'!$B$13,Paramètres!$A$1:$I$89,5,0)</f>
        <v>3.4206667220559162</v>
      </c>
      <c r="CV10" s="13">
        <f t="shared" si="41"/>
        <v>1.3661309633567684</v>
      </c>
      <c r="CW10" s="20">
        <f t="shared" si="13"/>
        <v>8.3370059687604243</v>
      </c>
      <c r="CX10" s="59">
        <f t="shared" si="14"/>
        <v>273.55922819098265</v>
      </c>
      <c r="CY10" s="59">
        <f ca="1">AVERAGE(OFFSET($CX$3,0,0,'Données projet'!$E$13+1,1))-AVERAGE(OFFSET($H$3,0,0,'Données projet'!$E$13+1,1))</f>
        <v>214.22606988805535</v>
      </c>
      <c r="CZ10" s="59">
        <f t="shared" si="42"/>
        <v>305.78163836959078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2.4666666666666668</v>
      </c>
      <c r="DO10" s="12">
        <f>IF('Données projet'!$A$166&gt;35,DO9+DN10-DW9,IF(A10&lt;'Données projet'!$A$166,$DL$205^A10,IF(A10='Données projet'!$A$166,'Données projet'!$B$166,DO9+DN10-DW9)))</f>
        <v>5.3929633792034757</v>
      </c>
      <c r="DP10" s="17">
        <f>DO10*VLOOKUP('Données projet'!$B$14,Paramètres!$A$1:$I$89,3,0)*VLOOKUP('Données projet'!$B$14,Paramètres!$A$1:$I$89,5,0)</f>
        <v>4.3747718932098598</v>
      </c>
      <c r="DQ10" s="13">
        <f t="shared" si="43"/>
        <v>1.6978537101246285</v>
      </c>
      <c r="DR10" s="20">
        <f t="shared" si="16"/>
        <v>10.576489592474234</v>
      </c>
      <c r="DS10" s="59">
        <f t="shared" si="17"/>
        <v>275.79871181469645</v>
      </c>
      <c r="DT10" s="59">
        <f ca="1">AVERAGE(OFFSET($DS$3,0,0,'Données projet'!$E$14+1,1))-AVERAGE(OFFSET($H$3,0,0,'Données projet'!$E$14+1,1))</f>
        <v>304.26232113495314</v>
      </c>
      <c r="DU10" s="59">
        <f t="shared" si="44"/>
        <v>297.47246687305056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2.4666666666666668</v>
      </c>
      <c r="EJ10" s="12">
        <f>IF('Données projet'!$A$192&gt;35,EJ9+EI10-ER9,IF(A10&lt;'Données projet'!$A$192,$EG$205^A10,IF(A10='Données projet'!$A$192,'Données projet'!$B$192,EJ9+EI10-ER9)))</f>
        <v>5.3929633792034757</v>
      </c>
      <c r="EK10" s="17">
        <f>EJ10*VLOOKUP('Données projet'!$B$15,Paramètres!$A$1:$I$89,3,0)*VLOOKUP('Données projet'!$B$15,Paramètres!$A$1:$I$89,5,0)</f>
        <v>5.2160741803656014</v>
      </c>
      <c r="EL10" s="13">
        <f t="shared" si="45"/>
        <v>1.9833392673758889</v>
      </c>
      <c r="EM10" s="20">
        <f t="shared" si="19"/>
        <v>12.538978421483094</v>
      </c>
      <c r="EN10" s="59">
        <f t="shared" si="20"/>
        <v>277.76120064370531</v>
      </c>
      <c r="EO10" s="59">
        <f ca="1">AVERAGE(OFFSET($EN$3,0,0,'Données projet'!$E$15+1,1))-AVERAGE(OFFSET($H$3,0,0,'Données projet'!$E$15+1,1))</f>
        <v>355.72173590705142</v>
      </c>
      <c r="EP10" s="59">
        <f t="shared" si="46"/>
        <v>346.30980704469363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2.4666666666666668</v>
      </c>
      <c r="FE10" s="12">
        <f>IF('Données projet'!$A$218&gt;35,FE9+FD10-FM9,IF(A10&lt;'Données projet'!$A$218,$FB$205^A10,IF(A10='Données projet'!$A$218,'Données projet'!$B$218,FE9+FD10-FM9)))</f>
        <v>5.3929633792034757</v>
      </c>
      <c r="FF10" s="17">
        <f>FE10*VLOOKUP('Données projet'!$B$16,Paramètres!$A$1:$I$89,3,0)*VLOOKUP('Données projet'!$B$16,Paramètres!$A$1:$I$89,5,0)</f>
        <v>3.9541207496319881</v>
      </c>
      <c r="FG10" s="13">
        <f t="shared" si="47"/>
        <v>1.5527637397664751</v>
      </c>
      <c r="FH10" s="20">
        <f t="shared" si="22"/>
        <v>9.5911571523689911</v>
      </c>
      <c r="FI10" s="59">
        <f t="shared" si="23"/>
        <v>274.81337937459119</v>
      </c>
      <c r="FJ10" s="59">
        <f ca="1">AVERAGE(OFFSET($FI$3,0,0,'Données projet'!$E$16+1,1))-AVERAGE(OFFSET($H$3,0,0,'Données projet'!$E$16+1,1))</f>
        <v>278.45534008146865</v>
      </c>
      <c r="FK10" s="59">
        <f t="shared" si="48"/>
        <v>272.97841038165217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</v>
      </c>
      <c r="N11" s="13">
        <f>IF('Données projet'!$A$36&gt;35,N10+M11-V10,IF(A11&lt;'Données projet'!$A$36,$K$205^A11,IF(A11='Données projet'!$A$36,'Données projet'!$B$36,N10+M11-V10)))</f>
        <v>24</v>
      </c>
      <c r="O11" s="13">
        <f>N11*VLOOKUP('Données projet'!$B$9,Paramètres!$A$1:$I$89,3,0)*VLOOKUP('Données projet'!$B$9,Paramètres!$A$1:$I$89,5,0)</f>
        <v>21.715199999999999</v>
      </c>
      <c r="P11" s="13">
        <f t="shared" si="33"/>
        <v>6.9938544235075568</v>
      </c>
      <c r="Q11" s="20">
        <f t="shared" si="2"/>
        <v>50.00160312094232</v>
      </c>
      <c r="R11" s="59">
        <f t="shared" si="0"/>
        <v>316.44604756538678</v>
      </c>
      <c r="S11" s="59">
        <f ca="1">AVERAGE(OFFSET($R$3,0,0,'Données projet'!$E$9+1,1))-AVERAGE(OFFSET($H$3,0,0,'Données projet'!$E$9+1,1))</f>
        <v>436.03161778768742</v>
      </c>
      <c r="T11" s="59">
        <f t="shared" si="34"/>
        <v>217.65884352525285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</v>
      </c>
      <c r="AI11" s="13">
        <f>IF('Données projet'!$A$62&gt;35,AI10+AH11-AQ10,IF(A11&lt;'Données projet'!$A$62,$AF$205^A11,IF(A11='Données projet'!$A$62,'Données projet'!$B$62,AI10+AH11-AQ10)))</f>
        <v>24</v>
      </c>
      <c r="AJ11" s="13">
        <f>AI11*VLOOKUP('Données projet'!$B$10,Paramètres!$A$1:$I$89,3,0)*VLOOKUP('Données projet'!$B$10,Paramètres!$A$1:$I$89,5,0)</f>
        <v>24.336000000000002</v>
      </c>
      <c r="AK11" s="13">
        <f t="shared" si="35"/>
        <v>7.7346711726299766</v>
      </c>
      <c r="AL11" s="20">
        <f t="shared" si="4"/>
        <v>55.85641895899721</v>
      </c>
      <c r="AM11" s="59">
        <f t="shared" si="5"/>
        <v>322.30086340344167</v>
      </c>
      <c r="AN11" s="59">
        <f ca="1">AVERAGE(OFFSET($AM$3,0,0,'Données projet'!$E$10+1,1))-AVERAGE(OFFSET($H$3,0,0,'Données projet'!$E$10+1,1))</f>
        <v>483.45320081988984</v>
      </c>
      <c r="AO11" s="59">
        <f t="shared" si="36"/>
        <v>238.92443174298893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6.85</v>
      </c>
      <c r="BD11" s="12">
        <f>IF('Données projet'!$A$88&gt;35,BD10+BC11-BL10,IF(A11&lt;'Données projet'!$A$88,$BA$205^A11,IF(A11='Données projet'!$A$88,'Données projet'!$B$88,BD10+BC11-BL10)))</f>
        <v>7.1562948667991684</v>
      </c>
      <c r="BE11" s="13">
        <f>BD11*VLOOKUP('Données projet'!$B$11,Paramètres!$A$1:$I$89,3,0)*VLOOKUP('Données projet'!$B$11,Paramètres!$A$1:$I$89,5,0)</f>
        <v>6.2517391956357535</v>
      </c>
      <c r="BF11" s="13">
        <f t="shared" si="37"/>
        <v>2.3275467774402219</v>
      </c>
      <c r="BG11" s="20">
        <f t="shared" si="7"/>
        <v>14.942256403107324</v>
      </c>
      <c r="BH11" s="59">
        <f t="shared" si="8"/>
        <v>281.38670084755177</v>
      </c>
      <c r="BI11" s="59">
        <f ca="1">AVERAGE(OFFSET($BH$3,0,0,'Données projet'!$E$11+1,1))-AVERAGE(OFFSET($H$3,0,0,'Données projet'!$E$11+1,1))</f>
        <v>310.44153296396854</v>
      </c>
      <c r="BJ11" s="59">
        <f t="shared" si="38"/>
        <v>388.05195847800502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8.526315789473685</v>
      </c>
      <c r="BY11" s="12">
        <f>IF('Données projet'!$A$114&gt;35,BY10+BX11-CG10,IF(A11&lt;'Données projet'!$A$114,$BV$205^A11,IF(A11='Données projet'!$A$114,'Données projet'!$B$114,BY10+BX11-CG10)))</f>
        <v>8.5176955198213591</v>
      </c>
      <c r="BZ11" s="13">
        <f>BY11*VLOOKUP('Données projet'!$B$12,Paramètres!$A$1:$I$89,3,0)*VLOOKUP('Données projet'!$B$12,Paramètres!$A$1:$I$89,5,0)</f>
        <v>4.7613917955801393</v>
      </c>
      <c r="CA11" s="13">
        <f t="shared" si="39"/>
        <v>1.8297752795633417</v>
      </c>
      <c r="CB11" s="20">
        <f t="shared" si="10"/>
        <v>11.479615989208229</v>
      </c>
      <c r="CC11" s="59">
        <f t="shared" si="11"/>
        <v>277.9240604336527</v>
      </c>
      <c r="CD11" s="59">
        <f ca="1">AVERAGE(OFFSET($CC$3,0,0,'Données projet'!$E$12+1,1))-AVERAGE(OFFSET($H$3,0,0,'Données projet'!$E$12+1,1))</f>
        <v>443.34220761968419</v>
      </c>
      <c r="CE11" s="59">
        <f t="shared" si="40"/>
        <v>546.58234447298014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6.2222222222222223</v>
      </c>
      <c r="CT11" s="12">
        <f>IF('Données projet'!$A$140&gt;35,CT10+CS11-DB10,IF(A11&lt;'Données projet'!$A$140,$CQ$205^A11,IF(A11='Données projet'!$A$140,'Données projet'!$B$140,CT10+CS11-DB10)))</f>
        <v>8.1426087136553278</v>
      </c>
      <c r="CU11" s="17">
        <f>CT11*VLOOKUP('Données projet'!$B$13,Paramètres!$A$1:$I$89,3,0)*VLOOKUP('Données projet'!$B$13,Paramètres!$A$1:$I$89,5,0)</f>
        <v>4.4458643576558092</v>
      </c>
      <c r="CV11" s="13">
        <f t="shared" si="41"/>
        <v>1.722210253496925</v>
      </c>
      <c r="CW11" s="20">
        <f t="shared" si="13"/>
        <v>10.742729947757679</v>
      </c>
      <c r="CX11" s="59">
        <f t="shared" si="14"/>
        <v>277.18717439220211</v>
      </c>
      <c r="CY11" s="59">
        <f ca="1">AVERAGE(OFFSET($CX$3,0,0,'Données projet'!$E$13+1,1))-AVERAGE(OFFSET($H$3,0,0,'Données projet'!$E$13+1,1))</f>
        <v>214.22606988805535</v>
      </c>
      <c r="CZ11" s="59">
        <f t="shared" si="42"/>
        <v>305.78163836959078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2.4666666666666668</v>
      </c>
      <c r="DO11" s="12">
        <f>IF('Données projet'!$A$166&gt;35,DO10+DN11-DW10,IF(A11&lt;'Données projet'!$A$166,$DL$205^A11,IF(A11='Données projet'!$A$166,'Données projet'!$B$166,DO10+DN11-DW10)))</f>
        <v>6.8607919984549888</v>
      </c>
      <c r="DP11" s="17">
        <f>DO11*VLOOKUP('Données projet'!$B$14,Paramètres!$A$1:$I$89,3,0)*VLOOKUP('Données projet'!$B$14,Paramètres!$A$1:$I$89,5,0)</f>
        <v>5.5654744691466869</v>
      </c>
      <c r="DQ11" s="13">
        <f t="shared" si="43"/>
        <v>2.10028293749169</v>
      </c>
      <c r="DR11" s="20">
        <f t="shared" si="16"/>
        <v>13.351194149895173</v>
      </c>
      <c r="DS11" s="59">
        <f t="shared" si="17"/>
        <v>279.79563859433961</v>
      </c>
      <c r="DT11" s="59">
        <f ca="1">AVERAGE(OFFSET($DS$3,0,0,'Données projet'!$E$14+1,1))-AVERAGE(OFFSET($H$3,0,0,'Données projet'!$E$14+1,1))</f>
        <v>304.26232113495314</v>
      </c>
      <c r="DU11" s="59">
        <f t="shared" si="44"/>
        <v>297.47246687305056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2.4666666666666668</v>
      </c>
      <c r="EJ11" s="12">
        <f>IF('Données projet'!$A$192&gt;35,EJ10+EI11-ER10,IF(A11&lt;'Données projet'!$A$192,$EG$205^A11,IF(A11='Données projet'!$A$192,'Données projet'!$B$192,EJ10+EI11-ER10)))</f>
        <v>6.8607919984549888</v>
      </c>
      <c r="EK11" s="17">
        <f>EJ11*VLOOKUP('Données projet'!$B$15,Paramètres!$A$1:$I$89,3,0)*VLOOKUP('Données projet'!$B$15,Paramètres!$A$1:$I$89,5,0)</f>
        <v>6.6357580209056657</v>
      </c>
      <c r="EL11" s="13">
        <f t="shared" si="45"/>
        <v>2.4534349441808394</v>
      </c>
      <c r="EM11" s="20">
        <f t="shared" si="19"/>
        <v>15.830344414192332</v>
      </c>
      <c r="EN11" s="59">
        <f t="shared" si="20"/>
        <v>282.27478885863678</v>
      </c>
      <c r="EO11" s="59">
        <f ca="1">AVERAGE(OFFSET($EN$3,0,0,'Données projet'!$E$15+1,1))-AVERAGE(OFFSET($H$3,0,0,'Données projet'!$E$15+1,1))</f>
        <v>355.72173590705142</v>
      </c>
      <c r="EP11" s="59">
        <f t="shared" si="46"/>
        <v>346.30980704469363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2.4666666666666668</v>
      </c>
      <c r="FE11" s="12">
        <f>IF('Données projet'!$A$218&gt;35,FE10+FD11-FM10,IF(A11&lt;'Données projet'!$A$218,$FB$205^A11,IF(A11='Données projet'!$A$218,'Données projet'!$B$218,FE10+FD11-FM10)))</f>
        <v>6.8607919984549888</v>
      </c>
      <c r="FF11" s="17">
        <f>FE11*VLOOKUP('Données projet'!$B$16,Paramètres!$A$1:$I$89,3,0)*VLOOKUP('Données projet'!$B$16,Paramètres!$A$1:$I$89,5,0)</f>
        <v>5.0303326932671979</v>
      </c>
      <c r="FG11" s="13">
        <f t="shared" si="47"/>
        <v>1.9208034055819379</v>
      </c>
      <c r="FH11" s="20">
        <f t="shared" si="22"/>
        <v>12.106562038828912</v>
      </c>
      <c r="FI11" s="59">
        <f t="shared" si="23"/>
        <v>278.55100648327334</v>
      </c>
      <c r="FJ11" s="59">
        <f ca="1">AVERAGE(OFFSET($FI$3,0,0,'Données projet'!$E$16+1,1))-AVERAGE(OFFSET($H$3,0,0,'Données projet'!$E$16+1,1))</f>
        <v>278.45534008146865</v>
      </c>
      <c r="FK11" s="59">
        <f t="shared" si="48"/>
        <v>272.97841038165217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</v>
      </c>
      <c r="N12" s="13">
        <f>IF('Données projet'!$A$36&gt;35,N11+M12-V11,IF(A12&lt;'Données projet'!$A$36,$K$205^A12,IF(A12='Données projet'!$A$36,'Données projet'!$B$36,N11+M12-V11)))</f>
        <v>27</v>
      </c>
      <c r="O12" s="13">
        <f>N12*VLOOKUP('Données projet'!$B$9,Paramètres!$A$1:$I$89,3,0)*VLOOKUP('Données projet'!$B$9,Paramètres!$A$1:$I$89,5,0)</f>
        <v>24.429599999999997</v>
      </c>
      <c r="P12" s="13">
        <f t="shared" si="33"/>
        <v>7.7609512795113149</v>
      </c>
      <c r="Q12" s="20">
        <f t="shared" si="2"/>
        <v>56.06521014514886</v>
      </c>
      <c r="R12" s="59">
        <f t="shared" si="0"/>
        <v>323.73187681181554</v>
      </c>
      <c r="S12" s="59">
        <f ca="1">AVERAGE(OFFSET($R$3,0,0,'Données projet'!$E$9+1,1))-AVERAGE(OFFSET($H$3,0,0,'Données projet'!$E$9+1,1))</f>
        <v>436.03161778768742</v>
      </c>
      <c r="T12" s="59">
        <f t="shared" si="34"/>
        <v>217.65884352525285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</v>
      </c>
      <c r="AI12" s="13">
        <f>IF('Données projet'!$A$62&gt;35,AI11+AH12-AQ11,IF(A12&lt;'Données projet'!$A$62,$AF$205^A12,IF(A12='Données projet'!$A$62,'Données projet'!$B$62,AI11+AH12-AQ11)))</f>
        <v>27</v>
      </c>
      <c r="AJ12" s="13">
        <f>AI12*VLOOKUP('Données projet'!$B$10,Paramètres!$A$1:$I$89,3,0)*VLOOKUP('Données projet'!$B$10,Paramètres!$A$1:$I$89,5,0)</f>
        <v>27.378000000000004</v>
      </c>
      <c r="AK12" s="13">
        <f t="shared" si="35"/>
        <v>8.5830219645487738</v>
      </c>
      <c r="AL12" s="20">
        <f t="shared" si="4"/>
        <v>62.632113254922452</v>
      </c>
      <c r="AM12" s="59">
        <f t="shared" si="5"/>
        <v>330.29877992158913</v>
      </c>
      <c r="AN12" s="59">
        <f ca="1">AVERAGE(OFFSET($AM$3,0,0,'Données projet'!$E$10+1,1))-AVERAGE(OFFSET($H$3,0,0,'Données projet'!$E$10+1,1))</f>
        <v>483.45320081988984</v>
      </c>
      <c r="AO12" s="59">
        <f t="shared" si="36"/>
        <v>238.92443174298893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6.85</v>
      </c>
      <c r="BD12" s="12">
        <f>IF('Données projet'!$A$88&gt;35,BD11+BC12-BL11,IF(A12&lt;'Données projet'!$A$88,$BA$205^A12,IF(A12='Données projet'!$A$88,'Données projet'!$B$88,BD11+BC12-BL11)))</f>
        <v>9.1521737247774908</v>
      </c>
      <c r="BE12" s="13">
        <f>BD12*VLOOKUP('Données projet'!$B$11,Paramètres!$A$1:$I$89,3,0)*VLOOKUP('Données projet'!$B$11,Paramètres!$A$1:$I$89,5,0)</f>
        <v>7.9953389659656171</v>
      </c>
      <c r="BF12" s="13">
        <f t="shared" si="37"/>
        <v>2.892668941115947</v>
      </c>
      <c r="BG12" s="20">
        <f t="shared" si="7"/>
        <v>18.963280438167057</v>
      </c>
      <c r="BH12" s="59">
        <f t="shared" si="8"/>
        <v>286.62994710483372</v>
      </c>
      <c r="BI12" s="59">
        <f ca="1">AVERAGE(OFFSET($BH$3,0,0,'Données projet'!$E$11+1,1))-AVERAGE(OFFSET($H$3,0,0,'Données projet'!$E$11+1,1))</f>
        <v>310.44153296396854</v>
      </c>
      <c r="BJ12" s="59">
        <f t="shared" si="38"/>
        <v>388.05195847800502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8.526315789473685</v>
      </c>
      <c r="BY12" s="12">
        <f>IF('Données projet'!$A$114&gt;35,BY11+BX12-CG11,IF(A12&lt;'Données projet'!$A$114,$BV$205^A12,IF(A12='Données projet'!$A$114,'Données projet'!$B$114,BY11+BX12-CG11)))</f>
        <v>11.133004261541316</v>
      </c>
      <c r="BZ12" s="13">
        <f>BY12*VLOOKUP('Données projet'!$B$12,Paramètres!$A$1:$I$89,3,0)*VLOOKUP('Données projet'!$B$12,Paramètres!$A$1:$I$89,5,0)</f>
        <v>6.2233493822015964</v>
      </c>
      <c r="CA12" s="13">
        <f t="shared" si="39"/>
        <v>2.3182049730052579</v>
      </c>
      <c r="CB12" s="20">
        <f t="shared" si="10"/>
        <v>14.87654050198527</v>
      </c>
      <c r="CC12" s="59">
        <f t="shared" si="11"/>
        <v>282.54320716865197</v>
      </c>
      <c r="CD12" s="59">
        <f ca="1">AVERAGE(OFFSET($CC$3,0,0,'Données projet'!$E$12+1,1))-AVERAGE(OFFSET($H$3,0,0,'Données projet'!$E$12+1,1))</f>
        <v>443.34220761968419</v>
      </c>
      <c r="CE12" s="59">
        <f t="shared" si="40"/>
        <v>546.58234447298014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6.2222222222222223</v>
      </c>
      <c r="CT12" s="12">
        <f>IF('Données projet'!$A$140&gt;35,CT11+CS12-DB11,IF(A12&lt;'Données projet'!$A$140,$CQ$205^A12,IF(A12='Données projet'!$A$140,'Données projet'!$B$140,CT11+CS12-DB11)))</f>
        <v>10.583005244258365</v>
      </c>
      <c r="CU12" s="17">
        <f>CT12*VLOOKUP('Données projet'!$B$13,Paramètres!$A$1:$I$89,3,0)*VLOOKUP('Données projet'!$B$13,Paramètres!$A$1:$I$89,5,0)</f>
        <v>5.7783208633650665</v>
      </c>
      <c r="CV12" s="13">
        <f t="shared" si="41"/>
        <v>2.1711008950137973</v>
      </c>
      <c r="CW12" s="20">
        <f t="shared" si="13"/>
        <v>13.845242895843187</v>
      </c>
      <c r="CX12" s="59">
        <f t="shared" si="14"/>
        <v>281.51190956250986</v>
      </c>
      <c r="CY12" s="59">
        <f ca="1">AVERAGE(OFFSET($CX$3,0,0,'Données projet'!$E$13+1,1))-AVERAGE(OFFSET($H$3,0,0,'Données projet'!$E$13+1,1))</f>
        <v>214.22606988805535</v>
      </c>
      <c r="CZ12" s="59">
        <f t="shared" si="42"/>
        <v>305.78163836959078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2.4666666666666668</v>
      </c>
      <c r="DO12" s="12">
        <f>IF('Données projet'!$A$166&gt;35,DO11+DN12-DW11,IF(A12&lt;'Données projet'!$A$166,$DL$205^A12,IF(A12='Données projet'!$A$166,'Données projet'!$B$166,DO11+DN12-DW11)))</f>
        <v>8.7281265486761299</v>
      </c>
      <c r="DP12" s="17">
        <f>DO12*VLOOKUP('Données projet'!$B$14,Paramètres!$A$1:$I$89,3,0)*VLOOKUP('Données projet'!$B$14,Paramètres!$A$1:$I$89,5,0)</f>
        <v>7.0802562562860771</v>
      </c>
      <c r="DQ12" s="13">
        <f t="shared" si="43"/>
        <v>2.5980968744326778</v>
      </c>
      <c r="DR12" s="20">
        <f t="shared" si="16"/>
        <v>16.856465036001829</v>
      </c>
      <c r="DS12" s="59">
        <f t="shared" si="17"/>
        <v>284.52313170266854</v>
      </c>
      <c r="DT12" s="59">
        <f ca="1">AVERAGE(OFFSET($DS$3,0,0,'Données projet'!$E$14+1,1))-AVERAGE(OFFSET($H$3,0,0,'Données projet'!$E$14+1,1))</f>
        <v>304.26232113495314</v>
      </c>
      <c r="DU12" s="59">
        <f t="shared" si="44"/>
        <v>297.47246687305056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2.4666666666666668</v>
      </c>
      <c r="EJ12" s="12">
        <f>IF('Données projet'!$A$192&gt;35,EJ11+EI12-ER11,IF(A12&lt;'Données projet'!$A$192,$EG$205^A12,IF(A12='Données projet'!$A$192,'Données projet'!$B$192,EJ11+EI12-ER11)))</f>
        <v>8.7281265486761299</v>
      </c>
      <c r="EK12" s="17">
        <f>EJ12*VLOOKUP('Données projet'!$B$15,Paramètres!$A$1:$I$89,3,0)*VLOOKUP('Données projet'!$B$15,Paramètres!$A$1:$I$89,5,0)</f>
        <v>8.4418439978795536</v>
      </c>
      <c r="EL12" s="13">
        <f t="shared" si="45"/>
        <v>3.0349537894702676</v>
      </c>
      <c r="EM12" s="20">
        <f t="shared" si="19"/>
        <v>19.988756146300936</v>
      </c>
      <c r="EN12" s="59">
        <f t="shared" si="20"/>
        <v>287.65542281296763</v>
      </c>
      <c r="EO12" s="59">
        <f ca="1">AVERAGE(OFFSET($EN$3,0,0,'Données projet'!$E$15+1,1))-AVERAGE(OFFSET($H$3,0,0,'Données projet'!$E$15+1,1))</f>
        <v>355.72173590705142</v>
      </c>
      <c r="EP12" s="59">
        <f t="shared" si="46"/>
        <v>346.30980704469363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2.4666666666666668</v>
      </c>
      <c r="FE12" s="12">
        <f>IF('Données projet'!$A$218&gt;35,FE11+FD12-FM11,IF(A12&lt;'Données projet'!$A$218,$FB$205^A12,IF(A12='Données projet'!$A$218,'Données projet'!$B$218,FE11+FD12-FM11)))</f>
        <v>8.7281265486761299</v>
      </c>
      <c r="FF12" s="17">
        <f>FE12*VLOOKUP('Données projet'!$B$16,Paramètres!$A$1:$I$89,3,0)*VLOOKUP('Données projet'!$B$16,Paramètres!$A$1:$I$89,5,0)</f>
        <v>6.399462385489338</v>
      </c>
      <c r="FG12" s="13">
        <f t="shared" si="47"/>
        <v>2.3760766872686268</v>
      </c>
      <c r="FH12" s="20">
        <f t="shared" si="22"/>
        <v>15.284063885053456</v>
      </c>
      <c r="FI12" s="59">
        <f t="shared" si="23"/>
        <v>282.95073055172014</v>
      </c>
      <c r="FJ12" s="59">
        <f ca="1">AVERAGE(OFFSET($FI$3,0,0,'Données projet'!$E$16+1,1))-AVERAGE(OFFSET($H$3,0,0,'Données projet'!$E$16+1,1))</f>
        <v>278.45534008146865</v>
      </c>
      <c r="FK12" s="59">
        <f t="shared" si="48"/>
        <v>272.97841038165217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</v>
      </c>
      <c r="N13" s="13">
        <f>IF('Données projet'!$A$36&gt;35,N12+M13-V12,IF(A13&lt;'Données projet'!$A$36,$K$205^A13,IF(A13='Données projet'!$A$36,'Données projet'!$B$36,N12+M13-V12)))</f>
        <v>30</v>
      </c>
      <c r="O13" s="13">
        <f>N13*VLOOKUP('Données projet'!$B$9,Paramètres!$A$1:$I$89,3,0)*VLOOKUP('Données projet'!$B$9,Paramètres!$A$1:$I$89,5,0)</f>
        <v>27.143999999999998</v>
      </c>
      <c r="P13" s="13">
        <f t="shared" si="33"/>
        <v>8.5181694620316346</v>
      </c>
      <c r="Q13" s="20">
        <f t="shared" si="2"/>
        <v>62.111611813038422</v>
      </c>
      <c r="R13" s="59">
        <f t="shared" si="0"/>
        <v>331.00050070192731</v>
      </c>
      <c r="S13" s="59">
        <f ca="1">AVERAGE(OFFSET($R$3,0,0,'Données projet'!$E$9+1,1))-AVERAGE(OFFSET($H$3,0,0,'Données projet'!$E$9+1,1))</f>
        <v>436.03161778768742</v>
      </c>
      <c r="T13" s="59">
        <f t="shared" si="34"/>
        <v>217.65884352525285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</v>
      </c>
      <c r="AI13" s="13">
        <f>IF('Données projet'!$A$62&gt;35,AI12+AH13-AQ12,IF(A13&lt;'Données projet'!$A$62,$AF$205^A13,IF(A13='Données projet'!$A$62,'Données projet'!$B$62,AI12+AH13-AQ12)))</f>
        <v>30</v>
      </c>
      <c r="AJ13" s="13">
        <f>AI13*VLOOKUP('Données projet'!$B$10,Paramètres!$A$1:$I$89,3,0)*VLOOKUP('Données projet'!$B$10,Paramètres!$A$1:$I$89,5,0)</f>
        <v>30.42</v>
      </c>
      <c r="AK13" s="13">
        <f t="shared" si="35"/>
        <v>9.4204476947792024</v>
      </c>
      <c r="AL13" s="20">
        <f t="shared" si="4"/>
        <v>69.388779735073783</v>
      </c>
      <c r="AM13" s="59">
        <f t="shared" si="5"/>
        <v>338.27766862396265</v>
      </c>
      <c r="AN13" s="59">
        <f ca="1">AVERAGE(OFFSET($AM$3,0,0,'Données projet'!$E$10+1,1))-AVERAGE(OFFSET($H$3,0,0,'Données projet'!$E$10+1,1))</f>
        <v>483.45320081988984</v>
      </c>
      <c r="AO13" s="59">
        <f t="shared" si="36"/>
        <v>238.92443174298893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6.85</v>
      </c>
      <c r="BD13" s="12">
        <f>IF('Données projet'!$A$88&gt;35,BD12+BC13-BL12,IF(A13&lt;'Données projet'!$A$88,$BA$205^A13,IF(A13='Données projet'!$A$88,'Données projet'!$B$88,BD12+BC13-BL12)))</f>
        <v>11.70469991071962</v>
      </c>
      <c r="BE13" s="13">
        <f>BD13*VLOOKUP('Données projet'!$B$11,Paramètres!$A$1:$I$89,3,0)*VLOOKUP('Données projet'!$B$11,Paramètres!$A$1:$I$89,5,0)</f>
        <v>10.225225842004662</v>
      </c>
      <c r="BF13" s="13">
        <f t="shared" si="37"/>
        <v>3.5950012622729153</v>
      </c>
      <c r="BG13" s="20">
        <f t="shared" si="7"/>
        <v>24.070228873283444</v>
      </c>
      <c r="BH13" s="59">
        <f t="shared" si="8"/>
        <v>292.9591177621723</v>
      </c>
      <c r="BI13" s="59">
        <f ca="1">AVERAGE(OFFSET($BH$3,0,0,'Données projet'!$E$11+1,1))-AVERAGE(OFFSET($H$3,0,0,'Données projet'!$E$11+1,1))</f>
        <v>310.44153296396854</v>
      </c>
      <c r="BJ13" s="59">
        <f t="shared" si="38"/>
        <v>388.05195847800502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8.526315789473685</v>
      </c>
      <c r="BY13" s="12">
        <f>IF('Données projet'!$A$114&gt;35,BY12+BX13-CG12,IF(A13&lt;'Données projet'!$A$114,$BV$205^A13,IF(A13='Données projet'!$A$114,'Données projet'!$B$114,BY12+BX13-CG12)))</f>
        <v>14.551328302246779</v>
      </c>
      <c r="BZ13" s="13">
        <f>BY13*VLOOKUP('Données projet'!$B$12,Paramètres!$A$1:$I$89,3,0)*VLOOKUP('Données projet'!$B$12,Paramètres!$A$1:$I$89,5,0)</f>
        <v>8.1341925209559491</v>
      </c>
      <c r="CA13" s="13">
        <f t="shared" si="39"/>
        <v>2.9370132807503975</v>
      </c>
      <c r="CB13" s="20">
        <f t="shared" si="10"/>
        <v>19.282350104638549</v>
      </c>
      <c r="CC13" s="59">
        <f t="shared" si="11"/>
        <v>288.17123899352742</v>
      </c>
      <c r="CD13" s="59">
        <f ca="1">AVERAGE(OFFSET($CC$3,0,0,'Données projet'!$E$12+1,1))-AVERAGE(OFFSET($H$3,0,0,'Données projet'!$E$12+1,1))</f>
        <v>443.34220761968419</v>
      </c>
      <c r="CE13" s="59">
        <f t="shared" si="40"/>
        <v>546.58234447298014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6.2222222222222223</v>
      </c>
      <c r="CT13" s="12">
        <f>IF('Données projet'!$A$140&gt;35,CT12+CS13-DB12,IF(A13&lt;'Données projet'!$A$140,$CQ$205^A13,IF(A13='Données projet'!$A$140,'Données projet'!$B$140,CT12+CS13-DB12)))</f>
        <v>13.754805608204368</v>
      </c>
      <c r="CU13" s="17">
        <f>CT13*VLOOKUP('Données projet'!$B$13,Paramètres!$A$1:$I$89,3,0)*VLOOKUP('Données projet'!$B$13,Paramètres!$A$1:$I$89,5,0)</f>
        <v>7.5101238620795847</v>
      </c>
      <c r="CV13" s="13">
        <f t="shared" si="41"/>
        <v>2.7369939801244656</v>
      </c>
      <c r="CW13" s="20">
        <f t="shared" si="13"/>
        <v>17.847063575172051</v>
      </c>
      <c r="CX13" s="59">
        <f t="shared" si="14"/>
        <v>286.73595246406092</v>
      </c>
      <c r="CY13" s="59">
        <f ca="1">AVERAGE(OFFSET($CX$3,0,0,'Données projet'!$E$13+1,1))-AVERAGE(OFFSET($H$3,0,0,'Données projet'!$E$13+1,1))</f>
        <v>214.22606988805535</v>
      </c>
      <c r="CZ13" s="59">
        <f t="shared" si="42"/>
        <v>305.78163836959078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2.4666666666666668</v>
      </c>
      <c r="DO13" s="12">
        <f>IF('Données projet'!$A$166&gt;35,DO12+DN13-DW12,IF(A13&lt;'Données projet'!$A$166,$DL$205^A13,IF(A13='Données projet'!$A$166,'Données projet'!$B$166,DO12+DN13-DW12)))</f>
        <v>11.103702468586782</v>
      </c>
      <c r="DP13" s="17">
        <f>DO13*VLOOKUP('Données projet'!$B$14,Paramètres!$A$1:$I$89,3,0)*VLOOKUP('Données projet'!$B$14,Paramètres!$A$1:$I$89,5,0)</f>
        <v>9.007323442517599</v>
      </c>
      <c r="DQ13" s="13">
        <f t="shared" si="43"/>
        <v>3.2139038262141559</v>
      </c>
      <c r="DR13" s="20">
        <f t="shared" si="16"/>
        <v>21.285304159707806</v>
      </c>
      <c r="DS13" s="59">
        <f t="shared" si="17"/>
        <v>290.17419304859663</v>
      </c>
      <c r="DT13" s="59">
        <f ca="1">AVERAGE(OFFSET($DS$3,0,0,'Données projet'!$E$14+1,1))-AVERAGE(OFFSET($H$3,0,0,'Données projet'!$E$14+1,1))</f>
        <v>304.26232113495314</v>
      </c>
      <c r="DU13" s="59">
        <f t="shared" si="44"/>
        <v>297.47246687305056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2.4666666666666668</v>
      </c>
      <c r="EJ13" s="12">
        <f>IF('Données projet'!$A$192&gt;35,EJ12+EI13-ER12,IF(A13&lt;'Données projet'!$A$192,$EG$205^A13,IF(A13='Données projet'!$A$192,'Données projet'!$B$192,EJ12+EI13-ER12)))</f>
        <v>11.103702468586782</v>
      </c>
      <c r="EK13" s="17">
        <f>EJ13*VLOOKUP('Données projet'!$B$15,Paramètres!$A$1:$I$89,3,0)*VLOOKUP('Données projet'!$B$15,Paramètres!$A$1:$I$89,5,0)</f>
        <v>10.739501027617136</v>
      </c>
      <c r="EL13" s="13">
        <f t="shared" si="45"/>
        <v>3.7543055812695765</v>
      </c>
      <c r="EM13" s="20">
        <f t="shared" si="19"/>
        <v>25.243379843811024</v>
      </c>
      <c r="EN13" s="59">
        <f t="shared" si="20"/>
        <v>294.13226873269986</v>
      </c>
      <c r="EO13" s="59">
        <f ca="1">AVERAGE(OFFSET($EN$3,0,0,'Données projet'!$E$15+1,1))-AVERAGE(OFFSET($H$3,0,0,'Données projet'!$E$15+1,1))</f>
        <v>355.72173590705142</v>
      </c>
      <c r="EP13" s="59">
        <f t="shared" si="46"/>
        <v>346.30980704469363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2.4666666666666668</v>
      </c>
      <c r="FE13" s="12">
        <f>IF('Données projet'!$A$218&gt;35,FE12+FD13-FM12,IF(A13&lt;'Données projet'!$A$218,$FB$205^A13,IF(A13='Données projet'!$A$218,'Données projet'!$B$218,FE12+FD13-FM12)))</f>
        <v>11.103702468586782</v>
      </c>
      <c r="FF13" s="17">
        <f>FE13*VLOOKUP('Données projet'!$B$16,Paramètres!$A$1:$I$89,3,0)*VLOOKUP('Données projet'!$B$16,Paramètres!$A$1:$I$89,5,0)</f>
        <v>8.1412346499678296</v>
      </c>
      <c r="FG13" s="13">
        <f t="shared" si="47"/>
        <v>2.9392598989436851</v>
      </c>
      <c r="FH13" s="20">
        <f t="shared" si="22"/>
        <v>19.298528006020888</v>
      </c>
      <c r="FI13" s="59">
        <f t="shared" si="23"/>
        <v>288.18741689490975</v>
      </c>
      <c r="FJ13" s="59">
        <f ca="1">AVERAGE(OFFSET($FI$3,0,0,'Données projet'!$E$16+1,1))-AVERAGE(OFFSET($H$3,0,0,'Données projet'!$E$16+1,1))</f>
        <v>278.45534008146865</v>
      </c>
      <c r="FK13" s="59">
        <f t="shared" si="48"/>
        <v>272.97841038165217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</v>
      </c>
      <c r="N14" s="13">
        <f>IF('Données projet'!$A$36&gt;35,N13+M14-V13,IF(A14&lt;'Données projet'!$A$36,$K$205^A14,IF(A14='Données projet'!$A$36,'Données projet'!$B$36,N13+M14-V13)))</f>
        <v>33</v>
      </c>
      <c r="O14" s="13">
        <f>N14*VLOOKUP('Données projet'!$B$9,Paramètres!$A$1:$I$89,3,0)*VLOOKUP('Données projet'!$B$9,Paramètres!$A$1:$I$89,5,0)</f>
        <v>29.858399999999996</v>
      </c>
      <c r="P14" s="13">
        <f t="shared" si="33"/>
        <v>9.2666092944057148</v>
      </c>
      <c r="Q14" s="20">
        <f t="shared" si="2"/>
        <v>68.14272452108996</v>
      </c>
      <c r="R14" s="59">
        <f t="shared" si="0"/>
        <v>338.25383563220112</v>
      </c>
      <c r="S14" s="59">
        <f ca="1">AVERAGE(OFFSET($R$3,0,0,'Données projet'!$E$9+1,1))-AVERAGE(OFFSET($H$3,0,0,'Données projet'!$E$9+1,1))</f>
        <v>436.03161778768742</v>
      </c>
      <c r="T14" s="59">
        <f t="shared" si="34"/>
        <v>217.65884352525285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</v>
      </c>
      <c r="AI14" s="13">
        <f>IF('Données projet'!$A$62&gt;35,AI13+AH14-AQ13,IF(A14&lt;'Données projet'!$A$62,$AF$205^A14,IF(A14='Données projet'!$A$62,'Données projet'!$B$62,AI13+AH14-AQ13)))</f>
        <v>33</v>
      </c>
      <c r="AJ14" s="13">
        <f>AI14*VLOOKUP('Données projet'!$B$10,Paramètres!$A$1:$I$89,3,0)*VLOOKUP('Données projet'!$B$10,Paramètres!$A$1:$I$89,5,0)</f>
        <v>33.462000000000003</v>
      </c>
      <c r="AK14" s="13">
        <f t="shared" si="35"/>
        <v>10.248165237262533</v>
      </c>
      <c r="AL14" s="20">
        <f t="shared" si="4"/>
        <v>76.128537788232251</v>
      </c>
      <c r="AM14" s="59">
        <f t="shared" si="5"/>
        <v>346.23964889934336</v>
      </c>
      <c r="AN14" s="59">
        <f ca="1">AVERAGE(OFFSET($AM$3,0,0,'Données projet'!$E$10+1,1))-AVERAGE(OFFSET($H$3,0,0,'Données projet'!$E$10+1,1))</f>
        <v>483.45320081988984</v>
      </c>
      <c r="AO14" s="59">
        <f t="shared" si="36"/>
        <v>238.92443174298893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6.85</v>
      </c>
      <c r="BD14" s="12">
        <f>IF('Données projet'!$A$88&gt;35,BD13+BC14-BL13,IF(A14&lt;'Données projet'!$A$88,$BA$205^A14,IF(A14='Données projet'!$A$88,'Données projet'!$B$88,BD13+BC14-BL13)))</f>
        <v>14.969121448066769</v>
      </c>
      <c r="BE14" s="13">
        <f>BD14*VLOOKUP('Données projet'!$B$11,Paramètres!$A$1:$I$89,3,0)*VLOOKUP('Données projet'!$B$11,Paramètres!$A$1:$I$89,5,0)</f>
        <v>13.077024497031129</v>
      </c>
      <c r="BF14" s="13">
        <f t="shared" si="37"/>
        <v>4.4678580020145571</v>
      </c>
      <c r="BG14" s="20">
        <f t="shared" si="7"/>
        <v>30.557337019171232</v>
      </c>
      <c r="BH14" s="59">
        <f t="shared" si="8"/>
        <v>300.6684481302824</v>
      </c>
      <c r="BI14" s="59">
        <f ca="1">AVERAGE(OFFSET($BH$3,0,0,'Données projet'!$E$11+1,1))-AVERAGE(OFFSET($H$3,0,0,'Données projet'!$E$11+1,1))</f>
        <v>310.44153296396854</v>
      </c>
      <c r="BJ14" s="59">
        <f t="shared" si="38"/>
        <v>388.05195847800502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8.526315789473685</v>
      </c>
      <c r="BY14" s="12">
        <f>IF('Données projet'!$A$114&gt;35,BY13+BX14-CG13,IF(A14&lt;'Données projet'!$A$114,$BV$205^A14,IF(A14='Données projet'!$A$114,'Données projet'!$B$114,BY13+BX14-CG13)))</f>
        <v>19.01922880701866</v>
      </c>
      <c r="BZ14" s="13">
        <f>BY14*VLOOKUP('Données projet'!$B$12,Paramètres!$A$1:$I$89,3,0)*VLOOKUP('Données projet'!$B$12,Paramètres!$A$1:$I$89,5,0)</f>
        <v>10.631748903123432</v>
      </c>
      <c r="CA14" s="13">
        <f t="shared" si="39"/>
        <v>3.7210027205323613</v>
      </c>
      <c r="CB14" s="20">
        <f t="shared" si="10"/>
        <v>24.997709077867171</v>
      </c>
      <c r="CC14" s="59">
        <f t="shared" si="11"/>
        <v>295.10882018897831</v>
      </c>
      <c r="CD14" s="59">
        <f ca="1">AVERAGE(OFFSET($CC$3,0,0,'Données projet'!$E$12+1,1))-AVERAGE(OFFSET($H$3,0,0,'Données projet'!$E$12+1,1))</f>
        <v>443.34220761968419</v>
      </c>
      <c r="CE14" s="59">
        <f t="shared" si="40"/>
        <v>546.58234447298014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6.2222222222222223</v>
      </c>
      <c r="CT14" s="12">
        <f>IF('Données projet'!$A$140&gt;35,CT13+CS14-DB13,IF(A14&lt;'Données projet'!$A$140,$CQ$205^A14,IF(A14='Données projet'!$A$140,'Données projet'!$B$140,CT13+CS14-DB13)))</f>
        <v>17.877216627302985</v>
      </c>
      <c r="CU14" s="17">
        <f>CT14*VLOOKUP('Données projet'!$B$13,Paramètres!$A$1:$I$89,3,0)*VLOOKUP('Données projet'!$B$13,Paramètres!$A$1:$I$89,5,0)</f>
        <v>9.7609602785074294</v>
      </c>
      <c r="CV14" s="13">
        <f t="shared" si="41"/>
        <v>3.4503859606165186</v>
      </c>
      <c r="CW14" s="20">
        <f t="shared" si="13"/>
        <v>23.009761366474208</v>
      </c>
      <c r="CX14" s="59">
        <f t="shared" si="14"/>
        <v>293.12087247758535</v>
      </c>
      <c r="CY14" s="59">
        <f ca="1">AVERAGE(OFFSET($CX$3,0,0,'Données projet'!$E$13+1,1))-AVERAGE(OFFSET($H$3,0,0,'Données projet'!$E$13+1,1))</f>
        <v>214.22606988805535</v>
      </c>
      <c r="CZ14" s="59">
        <f t="shared" si="42"/>
        <v>305.78163836959078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2.4666666666666668</v>
      </c>
      <c r="DO14" s="12">
        <f>IF('Données projet'!$A$166&gt;35,DO13+DN14-DW13,IF(A14&lt;'Données projet'!$A$166,$DL$205^A14,IF(A14='Données projet'!$A$166,'Données projet'!$B$166,DO13+DN14-DW13)))</f>
        <v>14.125850240977657</v>
      </c>
      <c r="DP14" s="17">
        <f>DO14*VLOOKUP('Données projet'!$B$14,Paramètres!$A$1:$I$89,3,0)*VLOOKUP('Données projet'!$B$14,Paramètres!$A$1:$I$89,5,0)</f>
        <v>11.458889715481076</v>
      </c>
      <c r="DQ14" s="13">
        <f t="shared" si="43"/>
        <v>3.9756707710945065</v>
      </c>
      <c r="DR14" s="20">
        <f t="shared" si="16"/>
        <v>26.881859514119139</v>
      </c>
      <c r="DS14" s="59">
        <f t="shared" si="17"/>
        <v>296.99297062523027</v>
      </c>
      <c r="DT14" s="59">
        <f ca="1">AVERAGE(OFFSET($DS$3,0,0,'Données projet'!$E$14+1,1))-AVERAGE(OFFSET($H$3,0,0,'Données projet'!$E$14+1,1))</f>
        <v>304.26232113495314</v>
      </c>
      <c r="DU14" s="59">
        <f t="shared" si="44"/>
        <v>297.47246687305056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2.4666666666666668</v>
      </c>
      <c r="EJ14" s="12">
        <f>IF('Données projet'!$A$192&gt;35,EJ13+EI14-ER13,IF(A14&lt;'Données projet'!$A$192,$EG$205^A14,IF(A14='Données projet'!$A$192,'Données projet'!$B$192,EJ13+EI14-ER13)))</f>
        <v>14.125850240977657</v>
      </c>
      <c r="EK14" s="17">
        <f>EJ14*VLOOKUP('Données projet'!$B$15,Paramètres!$A$1:$I$89,3,0)*VLOOKUP('Données projet'!$B$15,Paramètres!$A$1:$I$89,5,0)</f>
        <v>13.662522353073591</v>
      </c>
      <c r="EL14" s="13">
        <f t="shared" si="45"/>
        <v>4.6441598044931194</v>
      </c>
      <c r="EM14" s="20">
        <f t="shared" si="19"/>
        <v>31.884138091095355</v>
      </c>
      <c r="EN14" s="59">
        <f t="shared" si="20"/>
        <v>301.99524920220648</v>
      </c>
      <c r="EO14" s="59">
        <f ca="1">AVERAGE(OFFSET($EN$3,0,0,'Données projet'!$E$15+1,1))-AVERAGE(OFFSET($H$3,0,0,'Données projet'!$E$15+1,1))</f>
        <v>355.72173590705142</v>
      </c>
      <c r="EP14" s="59">
        <f t="shared" si="46"/>
        <v>346.30980704469363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2.4666666666666668</v>
      </c>
      <c r="FE14" s="12">
        <f>IF('Données projet'!$A$218&gt;35,FE13+FD14-FM13,IF(A14&lt;'Données projet'!$A$218,$FB$205^A14,IF(A14='Données projet'!$A$218,'Données projet'!$B$218,FE13+FD14-FM13)))</f>
        <v>14.125850240977657</v>
      </c>
      <c r="FF14" s="17">
        <f>FE14*VLOOKUP('Données projet'!$B$16,Paramètres!$A$1:$I$89,3,0)*VLOOKUP('Données projet'!$B$16,Paramètres!$A$1:$I$89,5,0)</f>
        <v>10.357073396684818</v>
      </c>
      <c r="FG14" s="13">
        <f t="shared" si="47"/>
        <v>3.6359301026893722</v>
      </c>
      <c r="FH14" s="20">
        <f t="shared" si="22"/>
        <v>24.371147761410047</v>
      </c>
      <c r="FI14" s="59">
        <f t="shared" si="23"/>
        <v>294.48225887252119</v>
      </c>
      <c r="FJ14" s="59">
        <f ca="1">AVERAGE(OFFSET($FI$3,0,0,'Données projet'!$E$16+1,1))-AVERAGE(OFFSET($H$3,0,0,'Données projet'!$E$16+1,1))</f>
        <v>278.45534008146865</v>
      </c>
      <c r="FK14" s="59">
        <f t="shared" si="48"/>
        <v>272.97841038165217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</v>
      </c>
      <c r="N15" s="13">
        <f>IF('Données projet'!$A$36&gt;35,N14+M15-V14,IF(A15&lt;'Données projet'!$A$36,$K$205^A15,IF(A15='Données projet'!$A$36,'Données projet'!$B$36,N14+M15-V14)))</f>
        <v>36</v>
      </c>
      <c r="O15" s="13">
        <f>N15*VLOOKUP('Données projet'!$B$9,Paramètres!$A$1:$I$89,3,0)*VLOOKUP('Données projet'!$B$9,Paramètres!$A$1:$I$89,5,0)</f>
        <v>32.572800000000001</v>
      </c>
      <c r="P15" s="13">
        <f t="shared" si="33"/>
        <v>10.007159566468195</v>
      </c>
      <c r="Q15" s="20">
        <f t="shared" si="2"/>
        <v>74.160096244932106</v>
      </c>
      <c r="R15" s="59">
        <f t="shared" si="0"/>
        <v>345.49342957826542</v>
      </c>
      <c r="S15" s="59">
        <f ca="1">AVERAGE(OFFSET($R$3,0,0,'Données projet'!$E$9+1,1))-AVERAGE(OFFSET($H$3,0,0,'Données projet'!$E$9+1,1))</f>
        <v>436.03161778768742</v>
      </c>
      <c r="T15" s="59">
        <f t="shared" si="34"/>
        <v>217.65884352525285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</v>
      </c>
      <c r="AI15" s="13">
        <f>IF('Données projet'!$A$62&gt;35,AI14+AH15-AQ14,IF(A15&lt;'Données projet'!$A$62,$AF$205^A15,IF(A15='Données projet'!$A$62,'Données projet'!$B$62,AI14+AH15-AQ14)))</f>
        <v>36</v>
      </c>
      <c r="AJ15" s="13">
        <f>AI15*VLOOKUP('Données projet'!$B$10,Paramètres!$A$1:$I$89,3,0)*VLOOKUP('Données projet'!$B$10,Paramètres!$A$1:$I$89,5,0)</f>
        <v>36.504000000000005</v>
      </c>
      <c r="AK15" s="13">
        <f t="shared" si="35"/>
        <v>11.067157525971377</v>
      </c>
      <c r="AL15" s="20">
        <f t="shared" si="4"/>
        <v>82.853099357733484</v>
      </c>
      <c r="AM15" s="59">
        <f t="shared" si="5"/>
        <v>354.18643269106678</v>
      </c>
      <c r="AN15" s="59">
        <f ca="1">AVERAGE(OFFSET($AM$3,0,0,'Données projet'!$E$10+1,1))-AVERAGE(OFFSET($H$3,0,0,'Données projet'!$E$10+1,1))</f>
        <v>483.45320081988984</v>
      </c>
      <c r="AO15" s="59">
        <f t="shared" si="36"/>
        <v>238.92443174298893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6.85</v>
      </c>
      <c r="BD15" s="12">
        <f>IF('Données projet'!$A$88&gt;35,BD14+BC15-BL14,IF(A15&lt;'Données projet'!$A$88,$BA$205^A15,IF(A15='Données projet'!$A$88,'Données projet'!$B$88,BD14+BC15-BL14)))</f>
        <v>19.14398477843557</v>
      </c>
      <c r="BE15" s="13">
        <f>BD15*VLOOKUP('Données projet'!$B$11,Paramètres!$A$1:$I$89,3,0)*VLOOKUP('Données projet'!$B$11,Paramètres!$A$1:$I$89,5,0)</f>
        <v>16.724185102441314</v>
      </c>
      <c r="BF15" s="13">
        <f t="shared" si="37"/>
        <v>5.5526420353868842</v>
      </c>
      <c r="BG15" s="20">
        <f t="shared" si="7"/>
        <v>38.798807265050783</v>
      </c>
      <c r="BH15" s="59">
        <f t="shared" si="8"/>
        <v>310.13214059838413</v>
      </c>
      <c r="BI15" s="59">
        <f ca="1">AVERAGE(OFFSET($BH$3,0,0,'Données projet'!$E$11+1,1))-AVERAGE(OFFSET($H$3,0,0,'Données projet'!$E$11+1,1))</f>
        <v>310.44153296396854</v>
      </c>
      <c r="BJ15" s="59">
        <f t="shared" si="38"/>
        <v>388.05195847800502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8.526315789473685</v>
      </c>
      <c r="BY15" s="12">
        <f>IF('Données projet'!$A$114&gt;35,BY14+BX15-CG14,IF(A15&lt;'Données projet'!$A$114,$BV$205^A15,IF(A15='Données projet'!$A$114,'Données projet'!$B$114,BY14+BX15-CG14)))</f>
        <v>24.85897210895007</v>
      </c>
      <c r="BZ15" s="13">
        <f>BY15*VLOOKUP('Données projet'!$B$12,Paramètres!$A$1:$I$89,3,0)*VLOOKUP('Données projet'!$B$12,Paramètres!$A$1:$I$89,5,0)</f>
        <v>13.896165408903089</v>
      </c>
      <c r="CA15" s="13">
        <f t="shared" si="39"/>
        <v>4.7142657940830492</v>
      </c>
      <c r="CB15" s="20">
        <f t="shared" si="10"/>
        <v>32.413167678534187</v>
      </c>
      <c r="CC15" s="59">
        <f t="shared" si="11"/>
        <v>303.74650101186751</v>
      </c>
      <c r="CD15" s="59">
        <f ca="1">AVERAGE(OFFSET($CC$3,0,0,'Données projet'!$E$12+1,1))-AVERAGE(OFFSET($H$3,0,0,'Données projet'!$E$12+1,1))</f>
        <v>443.34220761968419</v>
      </c>
      <c r="CE15" s="59">
        <f t="shared" si="40"/>
        <v>546.58234447298014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6.2222222222222223</v>
      </c>
      <c r="CT15" s="12">
        <f>IF('Données projet'!$A$140&gt;35,CT14+CS15-DB14,IF(A15&lt;'Données projet'!$A$140,$CQ$205^A15,IF(A15='Données projet'!$A$140,'Données projet'!$B$140,CT14+CS15-DB14)))</f>
        <v>23.235142934254824</v>
      </c>
      <c r="CU15" s="17">
        <f>CT15*VLOOKUP('Données projet'!$B$13,Paramètres!$A$1:$I$89,3,0)*VLOOKUP('Données projet'!$B$13,Paramètres!$A$1:$I$89,5,0)</f>
        <v>12.686388042103133</v>
      </c>
      <c r="CV15" s="13">
        <f t="shared" si="41"/>
        <v>4.3497221271484792</v>
      </c>
      <c r="CW15" s="20">
        <f t="shared" si="13"/>
        <v>29.671225211446551</v>
      </c>
      <c r="CX15" s="59">
        <f t="shared" si="14"/>
        <v>301.00455854477985</v>
      </c>
      <c r="CY15" s="59">
        <f ca="1">AVERAGE(OFFSET($CX$3,0,0,'Données projet'!$E$13+1,1))-AVERAGE(OFFSET($H$3,0,0,'Données projet'!$E$13+1,1))</f>
        <v>214.22606988805535</v>
      </c>
      <c r="CZ15" s="59">
        <f t="shared" si="42"/>
        <v>305.78163836959078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2.4666666666666668</v>
      </c>
      <c r="DO15" s="12">
        <f>IF('Données projet'!$A$166&gt;35,DO14+DN15-DW14,IF(A15&lt;'Données projet'!$A$166,$DL$205^A15,IF(A15='Données projet'!$A$166,'Données projet'!$B$166,DO14+DN15-DW14)))</f>
        <v>17.970550417308221</v>
      </c>
      <c r="DP15" s="17">
        <f>DO15*VLOOKUP('Données projet'!$B$14,Paramètres!$A$1:$I$89,3,0)*VLOOKUP('Données projet'!$B$14,Paramètres!$A$1:$I$89,5,0)</f>
        <v>14.57771049852043</v>
      </c>
      <c r="DQ15" s="13">
        <f t="shared" si="43"/>
        <v>4.9179934854347964</v>
      </c>
      <c r="DR15" s="20">
        <f t="shared" si="16"/>
        <v>33.955017772055356</v>
      </c>
      <c r="DS15" s="59">
        <f t="shared" si="17"/>
        <v>305.28835110538864</v>
      </c>
      <c r="DT15" s="59">
        <f ca="1">AVERAGE(OFFSET($DS$3,0,0,'Données projet'!$E$14+1,1))-AVERAGE(OFFSET($H$3,0,0,'Données projet'!$E$14+1,1))</f>
        <v>304.26232113495314</v>
      </c>
      <c r="DU15" s="59">
        <f t="shared" si="44"/>
        <v>297.47246687305056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2.4666666666666668</v>
      </c>
      <c r="EJ15" s="12">
        <f>IF('Données projet'!$A$192&gt;35,EJ14+EI15-ER14,IF(A15&lt;'Données projet'!$A$192,$EG$205^A15,IF(A15='Données projet'!$A$192,'Données projet'!$B$192,EJ14+EI15-ER14)))</f>
        <v>17.970550417308221</v>
      </c>
      <c r="EK15" s="17">
        <f>EJ15*VLOOKUP('Données projet'!$B$15,Paramètres!$A$1:$I$89,3,0)*VLOOKUP('Données projet'!$B$15,Paramètres!$A$1:$I$89,5,0)</f>
        <v>17.38111636362051</v>
      </c>
      <c r="EL15" s="13">
        <f t="shared" si="45"/>
        <v>5.7449293412008142</v>
      </c>
      <c r="EM15" s="20">
        <f t="shared" si="19"/>
        <v>40.277862935897133</v>
      </c>
      <c r="EN15" s="59">
        <f t="shared" si="20"/>
        <v>311.61119626923045</v>
      </c>
      <c r="EO15" s="59">
        <f ca="1">AVERAGE(OFFSET($EN$3,0,0,'Données projet'!$E$15+1,1))-AVERAGE(OFFSET($H$3,0,0,'Données projet'!$E$15+1,1))</f>
        <v>355.72173590705142</v>
      </c>
      <c r="EP15" s="59">
        <f t="shared" si="46"/>
        <v>346.30980704469363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2.4666666666666668</v>
      </c>
      <c r="FE15" s="12">
        <f>IF('Données projet'!$A$218&gt;35,FE14+FD15-FM14,IF(A15&lt;'Données projet'!$A$218,$FB$205^A15,IF(A15='Données projet'!$A$218,'Données projet'!$B$218,FE14+FD15-FM14)))</f>
        <v>17.970550417308221</v>
      </c>
      <c r="FF15" s="17">
        <f>FE15*VLOOKUP('Données projet'!$B$16,Paramètres!$A$1:$I$89,3,0)*VLOOKUP('Données projet'!$B$16,Paramètres!$A$1:$I$89,5,0)</f>
        <v>13.176007565970389</v>
      </c>
      <c r="FG15" s="13">
        <f t="shared" si="47"/>
        <v>4.4977266952111856</v>
      </c>
      <c r="FH15" s="20">
        <f t="shared" si="22"/>
        <v>30.781753838224574</v>
      </c>
      <c r="FI15" s="59">
        <f t="shared" si="23"/>
        <v>302.11508717155789</v>
      </c>
      <c r="FJ15" s="59">
        <f ca="1">AVERAGE(OFFSET($FI$3,0,0,'Données projet'!$E$16+1,1))-AVERAGE(OFFSET($H$3,0,0,'Données projet'!$E$16+1,1))</f>
        <v>278.45534008146865</v>
      </c>
      <c r="FK15" s="59">
        <f t="shared" si="48"/>
        <v>272.97841038165217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</v>
      </c>
      <c r="N16" s="13">
        <f>IF('Données projet'!$A$36&gt;35,N15+M16-V15,IF(A16&lt;'Données projet'!$A$36,$K$205^A16,IF(A16='Données projet'!$A$36,'Données projet'!$B$36,N15+M16-V15)))</f>
        <v>39</v>
      </c>
      <c r="O16" s="13">
        <f>N16*VLOOKUP('Données projet'!$B$9,Paramètres!$A$1:$I$89,3,0)*VLOOKUP('Données projet'!$B$9,Paramètres!$A$1:$I$89,5,0)</f>
        <v>35.287199999999999</v>
      </c>
      <c r="P16" s="13">
        <f t="shared" si="33"/>
        <v>10.740552489323523</v>
      </c>
      <c r="Q16" s="20">
        <f t="shared" si="2"/>
        <v>80.165002252238452</v>
      </c>
      <c r="R16" s="59">
        <f t="shared" si="0"/>
        <v>352.72055780779397</v>
      </c>
      <c r="S16" s="59">
        <f ca="1">AVERAGE(OFFSET($R$3,0,0,'Données projet'!$E$9+1,1))-AVERAGE(OFFSET($H$3,0,0,'Données projet'!$E$9+1,1))</f>
        <v>436.03161778768742</v>
      </c>
      <c r="T16" s="59">
        <f t="shared" si="34"/>
        <v>217.65884352525285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</v>
      </c>
      <c r="AI16" s="13">
        <f>IF('Données projet'!$A$62&gt;35,AI15+AH16-AQ15,IF(A16&lt;'Données projet'!$A$62,$AF$205^A16,IF(A16='Données projet'!$A$62,'Données projet'!$B$62,AI15+AH16-AQ15)))</f>
        <v>39</v>
      </c>
      <c r="AJ16" s="13">
        <f>AI16*VLOOKUP('Données projet'!$B$10,Paramètres!$A$1:$I$89,3,0)*VLOOKUP('Données projet'!$B$10,Paramètres!$A$1:$I$89,5,0)</f>
        <v>39.546000000000006</v>
      </c>
      <c r="AK16" s="13">
        <f t="shared" si="35"/>
        <v>11.878234330709192</v>
      </c>
      <c r="AL16" s="20">
        <f t="shared" si="4"/>
        <v>89.563874792651845</v>
      </c>
      <c r="AM16" s="59">
        <f t="shared" si="5"/>
        <v>362.1194303482074</v>
      </c>
      <c r="AN16" s="59">
        <f ca="1">AVERAGE(OFFSET($AM$3,0,0,'Données projet'!$E$10+1,1))-AVERAGE(OFFSET($H$3,0,0,'Données projet'!$E$10+1,1))</f>
        <v>483.45320081988984</v>
      </c>
      <c r="AO16" s="59">
        <f t="shared" si="36"/>
        <v>238.92443174298893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6.85</v>
      </c>
      <c r="BD16" s="12">
        <f>IF('Données projet'!$A$88&gt;35,BD15+BC16-BL15,IF(A16&lt;'Données projet'!$A$88,$BA$205^A16,IF(A16='Données projet'!$A$88,'Données projet'!$B$88,BD15+BC16-BL15)))</f>
        <v>24.483210619171274</v>
      </c>
      <c r="BE16" s="13">
        <f>BD16*VLOOKUP('Données projet'!$B$11,Paramètres!$A$1:$I$89,3,0)*VLOOKUP('Données projet'!$B$11,Paramètres!$A$1:$I$89,5,0)</f>
        <v>21.388532796908027</v>
      </c>
      <c r="BF16" s="13">
        <f t="shared" si="37"/>
        <v>6.900808745318975</v>
      </c>
      <c r="BG16" s="20">
        <f t="shared" si="7"/>
        <v>49.270603186045356</v>
      </c>
      <c r="BH16" s="59">
        <f t="shared" si="8"/>
        <v>321.82615874160092</v>
      </c>
      <c r="BI16" s="59">
        <f ca="1">AVERAGE(OFFSET($BH$3,0,0,'Données projet'!$E$11+1,1))-AVERAGE(OFFSET($H$3,0,0,'Données projet'!$E$11+1,1))</f>
        <v>310.44153296396854</v>
      </c>
      <c r="BJ16" s="59">
        <f t="shared" si="38"/>
        <v>388.05195847800502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8.526315789473685</v>
      </c>
      <c r="BY16" s="12">
        <f>IF('Données projet'!$A$114&gt;35,BY15+BX16-CG15,IF(A16&lt;'Données projet'!$A$114,$BV$205^A16,IF(A16='Données projet'!$A$114,'Données projet'!$B$114,BY15+BX16-CG15)))</f>
        <v>32.491774539539094</v>
      </c>
      <c r="BZ16" s="13">
        <f>BY16*VLOOKUP('Données projet'!$B$12,Paramètres!$A$1:$I$89,3,0)*VLOOKUP('Données projet'!$B$12,Paramètres!$A$1:$I$89,5,0)</f>
        <v>18.162901967602355</v>
      </c>
      <c r="CA16" s="13">
        <f t="shared" si="39"/>
        <v>5.9726648020514927</v>
      </c>
      <c r="CB16" s="20">
        <f t="shared" si="10"/>
        <v>42.036112123813787</v>
      </c>
      <c r="CC16" s="59">
        <f t="shared" si="11"/>
        <v>314.59166767936932</v>
      </c>
      <c r="CD16" s="59">
        <f ca="1">AVERAGE(OFFSET($CC$3,0,0,'Données projet'!$E$12+1,1))-AVERAGE(OFFSET($H$3,0,0,'Données projet'!$E$12+1,1))</f>
        <v>443.34220761968419</v>
      </c>
      <c r="CE16" s="59">
        <f t="shared" si="40"/>
        <v>546.58234447298014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6.2222222222222223</v>
      </c>
      <c r="CT16" s="12">
        <f>IF('Données projet'!$A$140&gt;35,CT15+CS16-DB15,IF(A16&lt;'Données projet'!$A$140,$CQ$205^A16,IF(A16='Données projet'!$A$140,'Données projet'!$B$140,CT15+CS16-DB15)))</f>
        <v>30.19887706404656</v>
      </c>
      <c r="CU16" s="17">
        <f>CT16*VLOOKUP('Données projet'!$B$13,Paramètres!$A$1:$I$89,3,0)*VLOOKUP('Données projet'!$B$13,Paramètres!$A$1:$I$89,5,0)</f>
        <v>16.488586876969421</v>
      </c>
      <c r="CV16" s="13">
        <f t="shared" si="41"/>
        <v>5.483468458127053</v>
      </c>
      <c r="CW16" s="20">
        <f t="shared" si="13"/>
        <v>38.267996375293023</v>
      </c>
      <c r="CX16" s="59">
        <f t="shared" si="14"/>
        <v>310.82355193084857</v>
      </c>
      <c r="CY16" s="59">
        <f ca="1">AVERAGE(OFFSET($CX$3,0,0,'Données projet'!$E$13+1,1))-AVERAGE(OFFSET($H$3,0,0,'Données projet'!$E$13+1,1))</f>
        <v>214.22606988805535</v>
      </c>
      <c r="CZ16" s="59">
        <f t="shared" si="42"/>
        <v>305.78163836959078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2.4666666666666668</v>
      </c>
      <c r="DO16" s="12">
        <f>IF('Données projet'!$A$166&gt;35,DO15+DN16-DW15,IF(A16&lt;'Données projet'!$A$166,$DL$205^A16,IF(A16='Données projet'!$A$166,'Données projet'!$B$166,DO15+DN16-DW15)))</f>
        <v>22.86168101684942</v>
      </c>
      <c r="DP16" s="17">
        <f>DO16*VLOOKUP('Données projet'!$B$14,Paramètres!$A$1:$I$89,3,0)*VLOOKUP('Données projet'!$B$14,Paramètres!$A$1:$I$89,5,0)</f>
        <v>18.545395640868254</v>
      </c>
      <c r="DQ16" s="13">
        <f t="shared" si="43"/>
        <v>6.0836677168115934</v>
      </c>
      <c r="DR16" s="20">
        <f t="shared" si="16"/>
        <v>42.895618681292397</v>
      </c>
      <c r="DS16" s="59">
        <f t="shared" si="17"/>
        <v>315.45117423684792</v>
      </c>
      <c r="DT16" s="59">
        <f ca="1">AVERAGE(OFFSET($DS$3,0,0,'Données projet'!$E$14+1,1))-AVERAGE(OFFSET($H$3,0,0,'Données projet'!$E$14+1,1))</f>
        <v>304.26232113495314</v>
      </c>
      <c r="DU16" s="59">
        <f t="shared" si="44"/>
        <v>297.47246687305056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2.4666666666666668</v>
      </c>
      <c r="EJ16" s="12">
        <f>IF('Données projet'!$A$192&gt;35,EJ15+EI16-ER15,IF(A16&lt;'Données projet'!$A$192,$EG$205^A16,IF(A16='Données projet'!$A$192,'Données projet'!$B$192,EJ15+EI16-ER15)))</f>
        <v>22.86168101684942</v>
      </c>
      <c r="EK16" s="17">
        <f>EJ16*VLOOKUP('Données projet'!$B$15,Paramètres!$A$1:$I$89,3,0)*VLOOKUP('Données projet'!$B$15,Paramètres!$A$1:$I$89,5,0)</f>
        <v>22.111817879496762</v>
      </c>
      <c r="EL16" s="13">
        <f t="shared" si="45"/>
        <v>7.1066058285632661</v>
      </c>
      <c r="EM16" s="20">
        <f t="shared" si="19"/>
        <v>50.888754624871218</v>
      </c>
      <c r="EN16" s="59">
        <f t="shared" si="20"/>
        <v>323.44431018042678</v>
      </c>
      <c r="EO16" s="59">
        <f ca="1">AVERAGE(OFFSET($EN$3,0,0,'Données projet'!$E$15+1,1))-AVERAGE(OFFSET($H$3,0,0,'Données projet'!$E$15+1,1))</f>
        <v>355.72173590705142</v>
      </c>
      <c r="EP16" s="59">
        <f t="shared" si="46"/>
        <v>346.30980704469363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2.4666666666666668</v>
      </c>
      <c r="FE16" s="12">
        <f>IF('Données projet'!$A$218&gt;35,FE15+FD16-FM15,IF(A16&lt;'Données projet'!$A$218,$FB$205^A16,IF(A16='Données projet'!$A$218,'Données projet'!$B$218,FE15+FD16-FM15)))</f>
        <v>22.86168101684942</v>
      </c>
      <c r="FF16" s="17">
        <f>FE16*VLOOKUP('Données projet'!$B$16,Paramètres!$A$1:$I$89,3,0)*VLOOKUP('Données projet'!$B$16,Paramètres!$A$1:$I$89,5,0)</f>
        <v>16.762184521553994</v>
      </c>
      <c r="FG16" s="13">
        <f t="shared" si="47"/>
        <v>5.5637883164619248</v>
      </c>
      <c r="FH16" s="20">
        <f t="shared" si="22"/>
        <v>38.884402692877721</v>
      </c>
      <c r="FI16" s="59">
        <f t="shared" si="23"/>
        <v>311.43995824843324</v>
      </c>
      <c r="FJ16" s="59">
        <f ca="1">AVERAGE(OFFSET($FI$3,0,0,'Données projet'!$E$16+1,1))-AVERAGE(OFFSET($H$3,0,0,'Données projet'!$E$16+1,1))</f>
        <v>278.45534008146865</v>
      </c>
      <c r="FK16" s="59">
        <f t="shared" si="48"/>
        <v>272.97841038165217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</v>
      </c>
      <c r="N17" s="13">
        <f>IF('Données projet'!$A$36&gt;35,N16+M17-V16,IF(A17&lt;'Données projet'!$A$36,$K$205^A17,IF(A17='Données projet'!$A$36,'Données projet'!$B$36,N16+M17-V16)))</f>
        <v>42</v>
      </c>
      <c r="O17" s="13">
        <f>N17*VLOOKUP('Données projet'!$B$9,Paramètres!$A$1:$I$89,3,0)*VLOOKUP('Données projet'!$B$9,Paramètres!$A$1:$I$89,5,0)</f>
        <v>38.001600000000003</v>
      </c>
      <c r="P17" s="13">
        <f t="shared" si="33"/>
        <v>11.467401227090512</v>
      </c>
      <c r="Q17" s="20">
        <f t="shared" si="2"/>
        <v>86.158510470515978</v>
      </c>
      <c r="R17" s="59">
        <f t="shared" si="0"/>
        <v>359.93628824829375</v>
      </c>
      <c r="S17" s="59">
        <f ca="1">AVERAGE(OFFSET($R$3,0,0,'Données projet'!$E$9+1,1))-AVERAGE(OFFSET($H$3,0,0,'Données projet'!$E$9+1,1))</f>
        <v>436.03161778768742</v>
      </c>
      <c r="T17" s="59">
        <f t="shared" si="34"/>
        <v>217.65884352525285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</v>
      </c>
      <c r="AI17" s="13">
        <f>IF('Données projet'!$A$62&gt;35,AI16+AH17-AQ16,IF(A17&lt;'Données projet'!$A$62,$AF$205^A17,IF(A17='Données projet'!$A$62,'Données projet'!$B$62,AI16+AH17-AQ16)))</f>
        <v>42</v>
      </c>
      <c r="AJ17" s="13">
        <f>AI17*VLOOKUP('Données projet'!$B$10,Paramètres!$A$1:$I$89,3,0)*VLOOKUP('Données projet'!$B$10,Paramètres!$A$1:$I$89,5,0)</f>
        <v>42.588000000000001</v>
      </c>
      <c r="AK17" s="13">
        <f t="shared" si="35"/>
        <v>12.682073764365764</v>
      </c>
      <c r="AL17" s="20">
        <f t="shared" si="4"/>
        <v>96.262045139603686</v>
      </c>
      <c r="AM17" s="59">
        <f t="shared" si="5"/>
        <v>370.03982291738146</v>
      </c>
      <c r="AN17" s="59">
        <f ca="1">AVERAGE(OFFSET($AM$3,0,0,'Données projet'!$E$10+1,1))-AVERAGE(OFFSET($H$3,0,0,'Données projet'!$E$10+1,1))</f>
        <v>483.45320081988984</v>
      </c>
      <c r="AO17" s="59">
        <f t="shared" si="36"/>
        <v>238.92443174298893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6.85</v>
      </c>
      <c r="BD17" s="12">
        <f>IF('Données projet'!$A$88&gt;35,BD16+BC17-BL16,IF(A17&lt;'Données projet'!$A$88,$BA$205^A17,IF(A17='Données projet'!$A$88,'Données projet'!$B$88,BD16+BC17-BL16)))</f>
        <v>31.311537757693809</v>
      </c>
      <c r="BE17" s="13">
        <f>BD17*VLOOKUP('Données projet'!$B$11,Paramètres!$A$1:$I$89,3,0)*VLOOKUP('Données projet'!$B$11,Paramètres!$A$1:$I$89,5,0)</f>
        <v>27.353759385121315</v>
      </c>
      <c r="BF17" s="13">
        <f t="shared" si="37"/>
        <v>8.5763067447860024</v>
      </c>
      <c r="BG17" s="20">
        <f t="shared" si="7"/>
        <v>62.578198509588582</v>
      </c>
      <c r="BH17" s="59">
        <f t="shared" si="8"/>
        <v>336.35597628736633</v>
      </c>
      <c r="BI17" s="59">
        <f ca="1">AVERAGE(OFFSET($BH$3,0,0,'Données projet'!$E$11+1,1))-AVERAGE(OFFSET($H$3,0,0,'Données projet'!$E$11+1,1))</f>
        <v>310.44153296396854</v>
      </c>
      <c r="BJ17" s="59">
        <f t="shared" si="38"/>
        <v>388.05195847800502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8.526315789473685</v>
      </c>
      <c r="BY17" s="12">
        <f>IF('Données projet'!$A$114&gt;35,BY16+BX17-CG16,IF(A17&lt;'Données projet'!$A$114,$BV$205^A17,IF(A17='Données projet'!$A$114,'Données projet'!$B$114,BY16+BX17-CG16)))</f>
        <v>42.468184448710481</v>
      </c>
      <c r="BZ17" s="13">
        <f>BY17*VLOOKUP('Données projet'!$B$12,Paramètres!$A$1:$I$89,3,0)*VLOOKUP('Données projet'!$B$12,Paramètres!$A$1:$I$89,5,0)</f>
        <v>23.739715106829159</v>
      </c>
      <c r="CA17" s="13">
        <f t="shared" si="39"/>
        <v>7.5669736064602473</v>
      </c>
      <c r="CB17" s="20">
        <f t="shared" si="10"/>
        <v>54.525816175645708</v>
      </c>
      <c r="CC17" s="59">
        <f t="shared" si="11"/>
        <v>328.3035939534235</v>
      </c>
      <c r="CD17" s="59">
        <f ca="1">AVERAGE(OFFSET($CC$3,0,0,'Données projet'!$E$12+1,1))-AVERAGE(OFFSET($H$3,0,0,'Données projet'!$E$12+1,1))</f>
        <v>443.34220761968419</v>
      </c>
      <c r="CE17" s="59">
        <f t="shared" si="40"/>
        <v>546.58234447298014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6.2222222222222223</v>
      </c>
      <c r="CT17" s="12">
        <f>IF('Données projet'!$A$140&gt;35,CT16+CS17-DB16,IF(A17&lt;'Données projet'!$A$140,$CQ$205^A17,IF(A17='Données projet'!$A$140,'Données projet'!$B$140,CT16+CS17-DB16)))</f>
        <v>39.249690802844427</v>
      </c>
      <c r="CU17" s="17">
        <f>CT17*VLOOKUP('Données projet'!$B$13,Paramètres!$A$1:$I$89,3,0)*VLOOKUP('Données projet'!$B$13,Paramètres!$A$1:$I$89,5,0)</f>
        <v>21.430331178353057</v>
      </c>
      <c r="CV17" s="13">
        <f t="shared" si="41"/>
        <v>6.9127234918305129</v>
      </c>
      <c r="CW17" s="20">
        <f t="shared" si="13"/>
        <v>49.364153550569711</v>
      </c>
      <c r="CX17" s="59">
        <f t="shared" si="14"/>
        <v>323.14193132834748</v>
      </c>
      <c r="CY17" s="59">
        <f ca="1">AVERAGE(OFFSET($CX$3,0,0,'Données projet'!$E$13+1,1))-AVERAGE(OFFSET($H$3,0,0,'Données projet'!$E$13+1,1))</f>
        <v>214.22606988805535</v>
      </c>
      <c r="CZ17" s="59">
        <f t="shared" si="42"/>
        <v>305.78163836959078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2.4666666666666668</v>
      </c>
      <c r="DO17" s="12">
        <f>IF('Données projet'!$A$166&gt;35,DO16+DN17-DW16,IF(A17&lt;'Données projet'!$A$166,$DL$205^A17,IF(A17='Données projet'!$A$166,'Données projet'!$B$166,DO16+DN17-DW16)))</f>
        <v>29.084054009429774</v>
      </c>
      <c r="DP17" s="17">
        <f>DO17*VLOOKUP('Données projet'!$B$14,Paramètres!$A$1:$I$89,3,0)*VLOOKUP('Données projet'!$B$14,Paramètres!$A$1:$I$89,5,0)</f>
        <v>23.592984612449435</v>
      </c>
      <c r="DQ17" s="13">
        <f t="shared" si="43"/>
        <v>7.5256327602279143</v>
      </c>
      <c r="DR17" s="20">
        <f t="shared" si="16"/>
        <v>54.198258590746377</v>
      </c>
      <c r="DS17" s="59">
        <f t="shared" si="17"/>
        <v>327.97603636852415</v>
      </c>
      <c r="DT17" s="59">
        <f ca="1">AVERAGE(OFFSET($DS$3,0,0,'Données projet'!$E$14+1,1))-AVERAGE(OFFSET($H$3,0,0,'Données projet'!$E$14+1,1))</f>
        <v>304.26232113495314</v>
      </c>
      <c r="DU17" s="59">
        <f t="shared" si="44"/>
        <v>297.47246687305056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2.4666666666666668</v>
      </c>
      <c r="EJ17" s="12">
        <f>IF('Données projet'!$A$192&gt;35,EJ16+EI17-ER16,IF(A17&lt;'Données projet'!$A$192,$EG$205^A17,IF(A17='Données projet'!$A$192,'Données projet'!$B$192,EJ16+EI17-ER16)))</f>
        <v>29.084054009429774</v>
      </c>
      <c r="EK17" s="17">
        <f>EJ17*VLOOKUP('Données projet'!$B$15,Paramètres!$A$1:$I$89,3,0)*VLOOKUP('Données projet'!$B$15,Paramètres!$A$1:$I$89,5,0)</f>
        <v>28.130097037920478</v>
      </c>
      <c r="EL17" s="13">
        <f t="shared" si="45"/>
        <v>8.7910300376319253</v>
      </c>
      <c r="EM17" s="20">
        <f t="shared" si="19"/>
        <v>64.30429632325378</v>
      </c>
      <c r="EN17" s="59">
        <f t="shared" si="20"/>
        <v>338.08207410103154</v>
      </c>
      <c r="EO17" s="59">
        <f ca="1">AVERAGE(OFFSET($EN$3,0,0,'Données projet'!$E$15+1,1))-AVERAGE(OFFSET($H$3,0,0,'Données projet'!$E$15+1,1))</f>
        <v>355.72173590705142</v>
      </c>
      <c r="EP17" s="59">
        <f t="shared" si="46"/>
        <v>346.30980704469363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2.4666666666666668</v>
      </c>
      <c r="FE17" s="12">
        <f>IF('Données projet'!$A$218&gt;35,FE16+FD17-FM16,IF(A17&lt;'Données projet'!$A$218,$FB$205^A17,IF(A17='Données projet'!$A$218,'Données projet'!$B$218,FE16+FD17-FM16)))</f>
        <v>29.084054009429774</v>
      </c>
      <c r="FF17" s="17">
        <f>FE17*VLOOKUP('Données projet'!$B$16,Paramètres!$A$1:$I$89,3,0)*VLOOKUP('Données projet'!$B$16,Paramètres!$A$1:$I$89,5,0)</f>
        <v>21.324428399713909</v>
      </c>
      <c r="FG17" s="13">
        <f t="shared" si="47"/>
        <v>6.8825303376831179</v>
      </c>
      <c r="FH17" s="20">
        <f t="shared" si="22"/>
        <v>49.127119800966483</v>
      </c>
      <c r="FI17" s="59">
        <f t="shared" si="23"/>
        <v>322.90489757874423</v>
      </c>
      <c r="FJ17" s="59">
        <f ca="1">AVERAGE(OFFSET($FI$3,0,0,'Données projet'!$E$16+1,1))-AVERAGE(OFFSET($H$3,0,0,'Données projet'!$E$16+1,1))</f>
        <v>278.45534008146865</v>
      </c>
      <c r="FK17" s="59">
        <f t="shared" si="48"/>
        <v>272.97841038165217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</v>
      </c>
      <c r="N18" s="13">
        <f>IF('Données projet'!$A$36&gt;35,N17+M18-V17,IF(A18&lt;'Données projet'!$A$36,$K$205^A18,IF(A18='Données projet'!$A$36,'Données projet'!$B$36,N17+M18-V17)))</f>
        <v>45</v>
      </c>
      <c r="O18" s="13">
        <f>N18*VLOOKUP('Données projet'!$B$9,Paramètres!$A$1:$I$89,3,0)*VLOOKUP('Données projet'!$B$9,Paramètres!$A$1:$I$89,5,0)</f>
        <v>40.716000000000001</v>
      </c>
      <c r="P18" s="13">
        <f t="shared" si="33"/>
        <v>12.188226385475176</v>
      </c>
      <c r="Q18" s="20">
        <f t="shared" si="2"/>
        <v>92.141527621369264</v>
      </c>
      <c r="R18" s="59">
        <f t="shared" si="0"/>
        <v>367.14152762136928</v>
      </c>
      <c r="S18" s="59">
        <f ca="1">AVERAGE(OFFSET($R$3,0,0,'Données projet'!$E$9+1,1))-AVERAGE(OFFSET($H$3,0,0,'Données projet'!$E$9+1,1))</f>
        <v>436.03161778768742</v>
      </c>
      <c r="T18" s="59">
        <f t="shared" si="34"/>
        <v>217.65884352525285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</v>
      </c>
      <c r="AI18" s="13">
        <f>IF('Données projet'!$A$62&gt;35,AI17+AH18-AQ17,IF(A18&lt;'Données projet'!$A$62,$AF$205^A18,IF(A18='Données projet'!$A$62,'Données projet'!$B$62,AI17+AH18-AQ17)))</f>
        <v>45</v>
      </c>
      <c r="AJ18" s="13">
        <f>AI18*VLOOKUP('Données projet'!$B$10,Paramètres!$A$1:$I$89,3,0)*VLOOKUP('Données projet'!$B$10,Paramètres!$A$1:$I$89,5,0)</f>
        <v>45.63</v>
      </c>
      <c r="AK18" s="13">
        <f t="shared" si="35"/>
        <v>13.479251577264561</v>
      </c>
      <c r="AL18" s="20">
        <f t="shared" si="4"/>
        <v>102.94861316373577</v>
      </c>
      <c r="AM18" s="59">
        <f t="shared" si="5"/>
        <v>377.94861316373579</v>
      </c>
      <c r="AN18" s="59">
        <f ca="1">AVERAGE(OFFSET($AM$3,0,0,'Données projet'!$E$10+1,1))-AVERAGE(OFFSET($H$3,0,0,'Données projet'!$E$10+1,1))</f>
        <v>483.45320081988984</v>
      </c>
      <c r="AO18" s="59">
        <f t="shared" si="36"/>
        <v>238.92443174298893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6.85</v>
      </c>
      <c r="BD18" s="12">
        <f>IF('Données projet'!$A$88&gt;35,BD17+BC18-BL17,IF(A18&lt;'Données projet'!$A$88,$BA$205^A18,IF(A18='Données projet'!$A$88,'Données projet'!$B$88,BD17+BC18-BL17)))</f>
        <v>40.044274094664104</v>
      </c>
      <c r="BE18" s="13">
        <f>BD18*VLOOKUP('Données projet'!$B$11,Paramètres!$A$1:$I$89,3,0)*VLOOKUP('Données projet'!$B$11,Paramètres!$A$1:$I$89,5,0)</f>
        <v>34.982677849098565</v>
      </c>
      <c r="BF18" s="13">
        <f t="shared" si="37"/>
        <v>10.658611199818449</v>
      </c>
      <c r="BG18" s="20">
        <f t="shared" si="7"/>
        <v>79.491911760197141</v>
      </c>
      <c r="BH18" s="59">
        <f t="shared" si="8"/>
        <v>354.49191176019713</v>
      </c>
      <c r="BI18" s="59">
        <f ca="1">AVERAGE(OFFSET($BH$3,0,0,'Données projet'!$E$11+1,1))-AVERAGE(OFFSET($H$3,0,0,'Données projet'!$E$11+1,1))</f>
        <v>310.44153296396854</v>
      </c>
      <c r="BJ18" s="59">
        <f t="shared" si="38"/>
        <v>388.05195847800502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8.526315789473685</v>
      </c>
      <c r="BY18" s="12">
        <f>IF('Données projet'!$A$114&gt;35,BY17+BX18-CG17,IF(A18&lt;'Données projet'!$A$114,$BV$205^A18,IF(A18='Données projet'!$A$114,'Données projet'!$B$114,BY17+BX18-CG17)))</f>
        <v>55.507792846923991</v>
      </c>
      <c r="BZ18" s="13">
        <f>BY18*VLOOKUP('Données projet'!$B$12,Paramètres!$A$1:$I$89,3,0)*VLOOKUP('Données projet'!$B$12,Paramètres!$A$1:$I$89,5,0)</f>
        <v>31.028856201430514</v>
      </c>
      <c r="CA18" s="13">
        <f t="shared" si="39"/>
        <v>9.5868580371693835</v>
      </c>
      <c r="CB18" s="20">
        <f t="shared" si="10"/>
        <v>70.739035632228152</v>
      </c>
      <c r="CC18" s="59">
        <f t="shared" si="11"/>
        <v>345.73903563222814</v>
      </c>
      <c r="CD18" s="59">
        <f ca="1">AVERAGE(OFFSET($CC$3,0,0,'Données projet'!$E$12+1,1))-AVERAGE(OFFSET($H$3,0,0,'Données projet'!$E$12+1,1))</f>
        <v>443.34220761968419</v>
      </c>
      <c r="CE18" s="59">
        <f t="shared" si="40"/>
        <v>546.58234447298014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6.2222222222222223</v>
      </c>
      <c r="CT18" s="12">
        <f>IF('Données projet'!$A$140&gt;35,CT17+CS18-DB17,IF(A18&lt;'Données projet'!$A$140,$CQ$205^A18,IF(A18='Données projet'!$A$140,'Données projet'!$B$140,CT17+CS18-DB17)))</f>
        <v>51.013096442350388</v>
      </c>
      <c r="CU18" s="17">
        <f>CT18*VLOOKUP('Données projet'!$B$13,Paramètres!$A$1:$I$89,3,0)*VLOOKUP('Données projet'!$B$13,Paramètres!$A$1:$I$89,5,0)</f>
        <v>27.853150657523312</v>
      </c>
      <c r="CV18" s="13">
        <f t="shared" si="41"/>
        <v>8.7145109777520702</v>
      </c>
      <c r="CW18" s="20">
        <f t="shared" si="13"/>
        <v>63.688677348104626</v>
      </c>
      <c r="CX18" s="59">
        <f t="shared" si="14"/>
        <v>338.68867734810465</v>
      </c>
      <c r="CY18" s="59">
        <f ca="1">AVERAGE(OFFSET($CX$3,0,0,'Données projet'!$E$13+1,1))-AVERAGE(OFFSET($H$3,0,0,'Données projet'!$E$13+1,1))</f>
        <v>214.22606988805535</v>
      </c>
      <c r="CZ18" s="59">
        <f t="shared" si="42"/>
        <v>305.78163836959078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37</v>
      </c>
      <c r="DM18" s="12">
        <f>VLOOKUP(A18,'Données projet'!$A$165:$I$185,9,0)</f>
        <v>2.4666666666666668</v>
      </c>
      <c r="DN18" s="12">
        <f t="array" ref="DN18">INDEX(DM:DM,MIN(IF(ISNUMBER(DM18:DM214),ROW(DM18:DM214),"")))</f>
        <v>2.4666666666666668</v>
      </c>
      <c r="DO18" s="12">
        <f>IF('Données projet'!$A$166&gt;35,DO17+DN18-DW17,IF(A18&lt;'Données projet'!$A$166,$DL$205^A18,IF(A18='Données projet'!$A$166,'Données projet'!$B$166,DO17+DN18-DW17)))</f>
        <v>37</v>
      </c>
      <c r="DP18" s="17">
        <f>DO18*VLOOKUP('Données projet'!$B$14,Paramètres!$A$1:$I$89,3,0)*VLOOKUP('Données projet'!$B$14,Paramètres!$A$1:$I$89,5,0)</f>
        <v>30.014400000000006</v>
      </c>
      <c r="DQ18" s="13">
        <f t="shared" si="43"/>
        <v>9.309375705269078</v>
      </c>
      <c r="DR18" s="20">
        <f t="shared" si="16"/>
        <v>68.488909353343658</v>
      </c>
      <c r="DS18" s="59">
        <f t="shared" si="17"/>
        <v>343.48890935334367</v>
      </c>
      <c r="DT18" s="59">
        <f ca="1">AVERAGE(OFFSET($DS$3,0,0,'Données projet'!$E$14+1,1))-AVERAGE(OFFSET($H$3,0,0,'Données projet'!$E$14+1,1))</f>
        <v>304.26232113495314</v>
      </c>
      <c r="DU18" s="59">
        <f t="shared" si="44"/>
        <v>297.47246687305056</v>
      </c>
      <c r="DV18" s="15">
        <f>IF(ISNA(VLOOKUP(A18,'Données projet'!$A$165:$I$185,3,0)),0,VLOOKUP(A18,'Données projet'!$A$165:$I$185,3,0))</f>
        <v>1</v>
      </c>
      <c r="DW18" s="15">
        <f>IF(ISNA(VLOOKUP(A18,'Données projet'!$A$165:$I$185,4,0)),0,VLOOKUP(A18,'Données projet'!$A$165:$I$185,4,0))</f>
        <v>15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>
        <f>VLOOKUP(A18,'Données projet'!$A$191:$I$211,2,0)</f>
        <v>37</v>
      </c>
      <c r="EH18" s="12">
        <f>VLOOKUP(A18,'Données projet'!$A$191:$I$211,9,0)</f>
        <v>2.4666666666666668</v>
      </c>
      <c r="EI18" s="12">
        <f t="array" ref="EI18">INDEX(EH:EH,MIN(IF(ISNUMBER(EH18:EH214),ROW(EH18:EH214),"")))</f>
        <v>2.4666666666666668</v>
      </c>
      <c r="EJ18" s="12">
        <f>IF('Données projet'!$A$192&gt;35,EJ17+EI18-ER17,IF(A18&lt;'Données projet'!$A$192,$EG$205^A18,IF(A18='Données projet'!$A$192,'Données projet'!$B$192,EJ17+EI18-ER17)))</f>
        <v>37</v>
      </c>
      <c r="EK18" s="17">
        <f>EJ18*VLOOKUP('Données projet'!$B$15,Paramètres!$A$1:$I$89,3,0)*VLOOKUP('Données projet'!$B$15,Paramètres!$A$1:$I$89,5,0)</f>
        <v>35.7864</v>
      </c>
      <c r="EL18" s="13">
        <f t="shared" si="45"/>
        <v>10.874700382555321</v>
      </c>
      <c r="EM18" s="20">
        <f t="shared" si="19"/>
        <v>81.26808316628383</v>
      </c>
      <c r="EN18" s="59">
        <f t="shared" si="20"/>
        <v>356.26808316628382</v>
      </c>
      <c r="EO18" s="59">
        <f ca="1">AVERAGE(OFFSET($EN$3,0,0,'Données projet'!$E$15+1,1))-AVERAGE(OFFSET($H$3,0,0,'Données projet'!$E$15+1,1))</f>
        <v>355.72173590705142</v>
      </c>
      <c r="EP18" s="59">
        <f t="shared" si="46"/>
        <v>346.30980704469363</v>
      </c>
      <c r="EQ18" s="15">
        <f>IF(ISNA(VLOOKUP(A18,'Données projet'!$A$191:$I$211,3,0)),0,VLOOKUP(A18,'Données projet'!$A$191:$I$211,3,0))</f>
        <v>1</v>
      </c>
      <c r="ER18" s="15">
        <f>IF(ISNA(VLOOKUP(A18,'Données projet'!$A$191:$I$211,4,0)),0,VLOOKUP(A18,'Données projet'!$A$191:$I$211,4,0))</f>
        <v>15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>
        <f>VLOOKUP(A18,'Données projet'!$A$217:$I$237,2,0)</f>
        <v>37</v>
      </c>
      <c r="FC18" s="12">
        <f>VLOOKUP(A18,'Données projet'!$A$217:$I$237,9,0)</f>
        <v>2.4666666666666668</v>
      </c>
      <c r="FD18" s="12">
        <f t="array" ref="FD18">INDEX(FC:FC,MIN(IF(ISNUMBER(FC18:FC214),ROW(FC18:FC214),"")))</f>
        <v>2.4666666666666668</v>
      </c>
      <c r="FE18" s="12">
        <f>IF('Données projet'!$A$218&gt;35,FE17+FD18-FM17,IF(A18&lt;'Données projet'!$A$218,$FB$205^A18,IF(A18='Données projet'!$A$218,'Données projet'!$B$218,FE17+FD18-FM17)))</f>
        <v>37</v>
      </c>
      <c r="FF18" s="17">
        <f>FE18*VLOOKUP('Données projet'!$B$16,Paramètres!$A$1:$I$89,3,0)*VLOOKUP('Données projet'!$B$16,Paramètres!$A$1:$I$89,5,0)</f>
        <v>27.128400000000003</v>
      </c>
      <c r="FG18" s="13">
        <f t="shared" si="47"/>
        <v>8.5138436537878839</v>
      </c>
      <c r="FH18" s="20">
        <f t="shared" si="22"/>
        <v>62.076907697013901</v>
      </c>
      <c r="FI18" s="59">
        <f t="shared" si="23"/>
        <v>337.07690769701389</v>
      </c>
      <c r="FJ18" s="59">
        <f ca="1">AVERAGE(OFFSET($FI$3,0,0,'Données projet'!$E$16+1,1))-AVERAGE(OFFSET($H$3,0,0,'Données projet'!$E$16+1,1))</f>
        <v>278.45534008146865</v>
      </c>
      <c r="FK18" s="59">
        <f t="shared" si="48"/>
        <v>272.97841038165217</v>
      </c>
      <c r="FL18" s="15">
        <f>IF(ISNA(VLOOKUP(A18,'Données projet'!$A$217:$I$237,3,0)),0,VLOOKUP(A18,'Données projet'!$A$217:$I$237,3,0))</f>
        <v>1</v>
      </c>
      <c r="FM18" s="15">
        <f>IF(ISNA(VLOOKUP(A18,'Données projet'!$A$217:$I$237,4,0)),0,VLOOKUP(A18,'Données projet'!$A$217:$I$237,4,0))</f>
        <v>15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</v>
      </c>
      <c r="N19" s="13">
        <f>IF('Données projet'!$A$36&gt;35,N18+M19-V18,IF(A19&lt;'Données projet'!$A$36,$K$205^A19,IF(A19='Données projet'!$A$36,'Données projet'!$B$36,N18+M19-V18)))</f>
        <v>48</v>
      </c>
      <c r="O19" s="13">
        <f>N19*VLOOKUP('Données projet'!$B$9,Paramètres!$A$1:$I$89,3,0)*VLOOKUP('Données projet'!$B$9,Paramètres!$A$1:$I$89,5,0)</f>
        <v>43.430399999999999</v>
      </c>
      <c r="P19" s="13">
        <f t="shared" si="33"/>
        <v>12.903475229013621</v>
      </c>
      <c r="Q19" s="20">
        <f t="shared" si="2"/>
        <v>98.114832690532054</v>
      </c>
      <c r="R19" s="59">
        <f t="shared" si="0"/>
        <v>374.3370549127543</v>
      </c>
      <c r="S19" s="59">
        <f ca="1">AVERAGE(OFFSET($R$3,0,0,'Données projet'!$E$9+1,1))-AVERAGE(OFFSET($H$3,0,0,'Données projet'!$E$9+1,1))</f>
        <v>436.03161778768742</v>
      </c>
      <c r="T19" s="59">
        <f t="shared" si="34"/>
        <v>217.65884352525285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</v>
      </c>
      <c r="AI19" s="13">
        <f>IF('Données projet'!$A$62&gt;35,AI18+AH19-AQ18,IF(A19&lt;'Données projet'!$A$62,$AF$205^A19,IF(A19='Données projet'!$A$62,'Données projet'!$B$62,AI18+AH19-AQ18)))</f>
        <v>48</v>
      </c>
      <c r="AJ19" s="13">
        <f>AI19*VLOOKUP('Données projet'!$B$10,Paramètres!$A$1:$I$89,3,0)*VLOOKUP('Données projet'!$B$10,Paramètres!$A$1:$I$89,5,0)</f>
        <v>48.672000000000004</v>
      </c>
      <c r="AK19" s="13">
        <f t="shared" si="35"/>
        <v>14.270262409972053</v>
      </c>
      <c r="AL19" s="20">
        <f t="shared" si="4"/>
        <v>109.62444036403467</v>
      </c>
      <c r="AM19" s="59">
        <f t="shared" si="5"/>
        <v>385.84666258625691</v>
      </c>
      <c r="AN19" s="59">
        <f ca="1">AVERAGE(OFFSET($AM$3,0,0,'Données projet'!$E$10+1,1))-AVERAGE(OFFSET($H$3,0,0,'Données projet'!$E$10+1,1))</f>
        <v>483.45320081988984</v>
      </c>
      <c r="AO19" s="59">
        <f t="shared" si="36"/>
        <v>238.92443174298893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6.85</v>
      </c>
      <c r="BD19" s="12">
        <f>IF('Données projet'!$A$88&gt;35,BD18+BC19-BL18,IF(A19&lt;'Données projet'!$A$88,$BA$205^A19,IF(A19='Données projet'!$A$88,'Données projet'!$B$88,BD18+BC19-BL18)))</f>
        <v>51.212556220576126</v>
      </c>
      <c r="BE19" s="13">
        <f>BD19*VLOOKUP('Données projet'!$B$11,Paramètres!$A$1:$I$89,3,0)*VLOOKUP('Données projet'!$B$11,Paramètres!$A$1:$I$89,5,0)</f>
        <v>44.73928911429531</v>
      </c>
      <c r="BF19" s="13">
        <f t="shared" si="37"/>
        <v>13.246493635265834</v>
      </c>
      <c r="BG19" s="20">
        <f t="shared" si="7"/>
        <v>100.99190495548567</v>
      </c>
      <c r="BH19" s="59">
        <f t="shared" si="8"/>
        <v>377.21412717770789</v>
      </c>
      <c r="BI19" s="59">
        <f ca="1">AVERAGE(OFFSET($BH$3,0,0,'Données projet'!$E$11+1,1))-AVERAGE(OFFSET($H$3,0,0,'Données projet'!$E$11+1,1))</f>
        <v>310.44153296396854</v>
      </c>
      <c r="BJ19" s="59">
        <f t="shared" si="38"/>
        <v>388.05195847800502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8.526315789473685</v>
      </c>
      <c r="BY19" s="12">
        <f>IF('Données projet'!$A$114&gt;35,BY18+BX19-CG18,IF(A19&lt;'Données projet'!$A$114,$BV$205^A19,IF(A19='Données projet'!$A$114,'Données projet'!$B$114,BY18+BX19-CG18)))</f>
        <v>72.551136968384853</v>
      </c>
      <c r="BZ19" s="13">
        <f>BY19*VLOOKUP('Données projet'!$B$12,Paramètres!$A$1:$I$89,3,0)*VLOOKUP('Données projet'!$B$12,Paramètres!$A$1:$I$89,5,0)</f>
        <v>40.55608556532713</v>
      </c>
      <c r="CA19" s="13">
        <f t="shared" si="39"/>
        <v>12.145918805157919</v>
      </c>
      <c r="CB19" s="20">
        <f t="shared" si="10"/>
        <v>91.78932427859479</v>
      </c>
      <c r="CC19" s="59">
        <f t="shared" si="11"/>
        <v>368.01154650081702</v>
      </c>
      <c r="CD19" s="59">
        <f ca="1">AVERAGE(OFFSET($CC$3,0,0,'Données projet'!$E$12+1,1))-AVERAGE(OFFSET($H$3,0,0,'Données projet'!$E$12+1,1))</f>
        <v>443.34220761968419</v>
      </c>
      <c r="CE19" s="59">
        <f t="shared" si="40"/>
        <v>546.58234447298014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6.2222222222222223</v>
      </c>
      <c r="CT19" s="12">
        <f>IF('Données projet'!$A$140&gt;35,CT18+CS19-DB18,IF(A19&lt;'Données projet'!$A$140,$CQ$205^A19,IF(A19='Données projet'!$A$140,'Données projet'!$B$140,CT18+CS19-DB18)))</f>
        <v>66.302076663695672</v>
      </c>
      <c r="CU19" s="17">
        <f>CT19*VLOOKUP('Données projet'!$B$13,Paramètres!$A$1:$I$89,3,0)*VLOOKUP('Données projet'!$B$13,Paramètres!$A$1:$I$89,5,0)</f>
        <v>36.200933858377837</v>
      </c>
      <c r="CV19" s="13">
        <f t="shared" si="41"/>
        <v>10.985930750898797</v>
      </c>
      <c r="CW19" s="20">
        <f t="shared" si="13"/>
        <v>82.183789194490132</v>
      </c>
      <c r="CX19" s="59">
        <f t="shared" si="14"/>
        <v>358.40601141671237</v>
      </c>
      <c r="CY19" s="59">
        <f ca="1">AVERAGE(OFFSET($CX$3,0,0,'Données projet'!$E$13+1,1))-AVERAGE(OFFSET($H$3,0,0,'Données projet'!$E$13+1,1))</f>
        <v>214.22606988805535</v>
      </c>
      <c r="CZ19" s="59">
        <f t="shared" si="42"/>
        <v>305.78163836959078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11.6</v>
      </c>
      <c r="DO19" s="12">
        <f>IF('Données projet'!$A$166&gt;35,DO18+DN19-DW18,IF(A19&lt;'Données projet'!$A$166,$DL$205^A19,IF(A19='Données projet'!$A$166,'Données projet'!$B$166,DO18+DN19-DW18)))</f>
        <v>33.6</v>
      </c>
      <c r="DP19" s="17">
        <f>DO19*VLOOKUP('Données projet'!$B$14,Paramètres!$A$1:$I$89,3,0)*VLOOKUP('Données projet'!$B$14,Paramètres!$A$1:$I$89,5,0)</f>
        <v>27.256320000000002</v>
      </c>
      <c r="DQ19" s="13">
        <f t="shared" si="43"/>
        <v>8.5493067504276556</v>
      </c>
      <c r="DR19" s="20">
        <f t="shared" si="16"/>
        <v>62.361466590328156</v>
      </c>
      <c r="DS19" s="59">
        <f t="shared" si="17"/>
        <v>338.58368881255041</v>
      </c>
      <c r="DT19" s="59">
        <f ca="1">AVERAGE(OFFSET($DS$3,0,0,'Données projet'!$E$14+1,1))-AVERAGE(OFFSET($H$3,0,0,'Données projet'!$E$14+1,1))</f>
        <v>304.26232113495314</v>
      </c>
      <c r="DU19" s="59">
        <f t="shared" si="44"/>
        <v>297.47246687305056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11.6</v>
      </c>
      <c r="EJ19" s="12">
        <f>IF('Données projet'!$A$192&gt;35,EJ18+EI19-ER18,IF(A19&lt;'Données projet'!$A$192,$EG$205^A19,IF(A19='Données projet'!$A$192,'Données projet'!$B$192,EJ18+EI19-ER18)))</f>
        <v>33.6</v>
      </c>
      <c r="EK19" s="17">
        <f>EJ19*VLOOKUP('Données projet'!$B$15,Paramètres!$A$1:$I$89,3,0)*VLOOKUP('Données projet'!$B$15,Paramètres!$A$1:$I$89,5,0)</f>
        <v>32.497920000000001</v>
      </c>
      <c r="EL19" s="13">
        <f t="shared" si="45"/>
        <v>9.9868296578509597</v>
      </c>
      <c r="EM19" s="20">
        <f t="shared" si="19"/>
        <v>73.994272320757076</v>
      </c>
      <c r="EN19" s="59">
        <f t="shared" si="20"/>
        <v>350.21649454297932</v>
      </c>
      <c r="EO19" s="59">
        <f ca="1">AVERAGE(OFFSET($EN$3,0,0,'Données projet'!$E$15+1,1))-AVERAGE(OFFSET($H$3,0,0,'Données projet'!$E$15+1,1))</f>
        <v>355.72173590705142</v>
      </c>
      <c r="EP19" s="59">
        <f t="shared" si="46"/>
        <v>346.30980704469363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11.6</v>
      </c>
      <c r="FE19" s="12">
        <f>IF('Données projet'!$A$218&gt;35,FE18+FD19-FM18,IF(A19&lt;'Données projet'!$A$218,$FB$205^A19,IF(A19='Données projet'!$A$218,'Données projet'!$B$218,FE18+FD19-FM18)))</f>
        <v>33.6</v>
      </c>
      <c r="FF19" s="17">
        <f>FE19*VLOOKUP('Données projet'!$B$16,Paramètres!$A$1:$I$89,3,0)*VLOOKUP('Données projet'!$B$16,Paramètres!$A$1:$I$89,5,0)</f>
        <v>24.63552</v>
      </c>
      <c r="FG19" s="13">
        <f t="shared" si="47"/>
        <v>7.8187263384607988</v>
      </c>
      <c r="FH19" s="20">
        <f t="shared" si="22"/>
        <v>56.52447903948589</v>
      </c>
      <c r="FI19" s="59">
        <f t="shared" si="23"/>
        <v>332.7467012617081</v>
      </c>
      <c r="FJ19" s="59">
        <f ca="1">AVERAGE(OFFSET($FI$3,0,0,'Données projet'!$E$16+1,1))-AVERAGE(OFFSET($H$3,0,0,'Données projet'!$E$16+1,1))</f>
        <v>278.45534008146865</v>
      </c>
      <c r="FK19" s="59">
        <f t="shared" si="48"/>
        <v>272.97841038165217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</v>
      </c>
      <c r="N20" s="13">
        <f>IF('Données projet'!$A$36&gt;35,N19+M20-V19,IF(A20&lt;'Données projet'!$A$36,$K$205^A20,IF(A20='Données projet'!$A$36,'Données projet'!$B$36,N19+M20-V19)))</f>
        <v>51</v>
      </c>
      <c r="O20" s="13">
        <f>N20*VLOOKUP('Données projet'!$B$9,Paramètres!$A$1:$I$89,3,0)*VLOOKUP('Données projet'!$B$9,Paramètres!$A$1:$I$89,5,0)</f>
        <v>46.144799999999996</v>
      </c>
      <c r="P20" s="13">
        <f t="shared" si="33"/>
        <v>13.613535954240801</v>
      </c>
      <c r="Q20" s="20">
        <f t="shared" si="2"/>
        <v>104.07910178696937</v>
      </c>
      <c r="R20" s="59">
        <f t="shared" si="0"/>
        <v>381.52354623141383</v>
      </c>
      <c r="S20" s="59">
        <f ca="1">AVERAGE(OFFSET($R$3,0,0,'Données projet'!$E$9+1,1))-AVERAGE(OFFSET($H$3,0,0,'Données projet'!$E$9+1,1))</f>
        <v>436.03161778768742</v>
      </c>
      <c r="T20" s="59">
        <f t="shared" si="34"/>
        <v>217.65884352525285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</v>
      </c>
      <c r="AI20" s="13">
        <f>IF('Données projet'!$A$62&gt;35,AI19+AH20-AQ19,IF(A20&lt;'Données projet'!$A$62,$AF$205^A20,IF(A20='Données projet'!$A$62,'Données projet'!$B$62,AI19+AH20-AQ19)))</f>
        <v>51</v>
      </c>
      <c r="AJ20" s="13">
        <f>AI20*VLOOKUP('Données projet'!$B$10,Paramètres!$A$1:$I$89,3,0)*VLOOKUP('Données projet'!$B$10,Paramètres!$A$1:$I$89,5,0)</f>
        <v>51.713999999999999</v>
      </c>
      <c r="AK20" s="13">
        <f t="shared" si="35"/>
        <v>15.055535578337075</v>
      </c>
      <c r="AL20" s="20">
        <f t="shared" si="4"/>
        <v>116.29027446560372</v>
      </c>
      <c r="AM20" s="59">
        <f t="shared" si="5"/>
        <v>393.73471891004817</v>
      </c>
      <c r="AN20" s="59">
        <f ca="1">AVERAGE(OFFSET($AM$3,0,0,'Données projet'!$E$10+1,1))-AVERAGE(OFFSET($H$3,0,0,'Données projet'!$E$10+1,1))</f>
        <v>483.45320081988984</v>
      </c>
      <c r="AO20" s="59">
        <f t="shared" si="36"/>
        <v>238.92443174298893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6.85</v>
      </c>
      <c r="BD20" s="12">
        <f>IF('Données projet'!$A$88&gt;35,BD19+BC20-BL19,IF(A20&lt;'Données projet'!$A$88,$BA$205^A20,IF(A20='Données projet'!$A$88,'Données projet'!$B$88,BD19+BC20-BL19)))</f>
        <v>65.495653846679389</v>
      </c>
      <c r="BE20" s="13">
        <f>BD20*VLOOKUP('Données projet'!$B$11,Paramètres!$A$1:$I$89,3,0)*VLOOKUP('Données projet'!$B$11,Paramètres!$A$1:$I$89,5,0)</f>
        <v>57.217003200459125</v>
      </c>
      <c r="BF20" s="13">
        <f t="shared" si="37"/>
        <v>16.462707039368052</v>
      </c>
      <c r="BG20" s="20">
        <f t="shared" si="7"/>
        <v>128.32549533436566</v>
      </c>
      <c r="BH20" s="59">
        <f t="shared" si="8"/>
        <v>405.76993977881011</v>
      </c>
      <c r="BI20" s="59">
        <f ca="1">AVERAGE(OFFSET($BH$3,0,0,'Données projet'!$E$11+1,1))-AVERAGE(OFFSET($H$3,0,0,'Données projet'!$E$11+1,1))</f>
        <v>310.44153296396854</v>
      </c>
      <c r="BJ20" s="59">
        <f t="shared" si="38"/>
        <v>388.05195847800502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8.526315789473685</v>
      </c>
      <c r="BY20" s="12">
        <f>IF('Données projet'!$A$114&gt;35,BY19+BX20-CG19,IF(A20&lt;'Données projet'!$A$114,$BV$205^A20,IF(A20='Données projet'!$A$114,'Données projet'!$B$114,BY19+BX20-CG19)))</f>
        <v>94.827540520682575</v>
      </c>
      <c r="BZ20" s="13">
        <f>BY20*VLOOKUP('Données projet'!$B$12,Paramètres!$A$1:$I$89,3,0)*VLOOKUP('Données projet'!$B$12,Paramètres!$A$1:$I$89,5,0)</f>
        <v>53.008595151061563</v>
      </c>
      <c r="CA20" s="13">
        <f t="shared" si="39"/>
        <v>15.388080542084102</v>
      </c>
      <c r="CB20" s="20">
        <f t="shared" si="10"/>
        <v>119.12421016556203</v>
      </c>
      <c r="CC20" s="59">
        <f t="shared" si="11"/>
        <v>396.56865461000649</v>
      </c>
      <c r="CD20" s="59">
        <f ca="1">AVERAGE(OFFSET($CC$3,0,0,'Données projet'!$E$12+1,1))-AVERAGE(OFFSET($H$3,0,0,'Données projet'!$E$12+1,1))</f>
        <v>443.34220761968419</v>
      </c>
      <c r="CE20" s="59">
        <f t="shared" si="40"/>
        <v>546.58234447298014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6.2222222222222223</v>
      </c>
      <c r="CT20" s="12">
        <f>IF('Données projet'!$A$140&gt;35,CT19+CS20-DB19,IF(A20&lt;'Données projet'!$A$140,$CQ$205^A20,IF(A20='Données projet'!$A$140,'Données projet'!$B$140,CT19+CS20-DB19)))</f>
        <v>86.1732707185582</v>
      </c>
      <c r="CU20" s="17">
        <f>CT20*VLOOKUP('Données projet'!$B$13,Paramètres!$A$1:$I$89,3,0)*VLOOKUP('Données projet'!$B$13,Paramètres!$A$1:$I$89,5,0)</f>
        <v>47.050605812332776</v>
      </c>
      <c r="CV20" s="13">
        <f t="shared" si="41"/>
        <v>13.849391523134704</v>
      </c>
      <c r="CW20" s="20">
        <f t="shared" si="13"/>
        <v>106.06749535927253</v>
      </c>
      <c r="CX20" s="59">
        <f t="shared" si="14"/>
        <v>383.51193980371698</v>
      </c>
      <c r="CY20" s="59">
        <f ca="1">AVERAGE(OFFSET($CX$3,0,0,'Données projet'!$E$13+1,1))-AVERAGE(OFFSET($H$3,0,0,'Données projet'!$E$13+1,1))</f>
        <v>214.22606988805535</v>
      </c>
      <c r="CZ20" s="59">
        <f t="shared" si="42"/>
        <v>305.78163836959078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11.6</v>
      </c>
      <c r="DO20" s="12">
        <f>IF('Données projet'!$A$166&gt;35,DO19+DN20-DW19,IF(A20&lt;'Données projet'!$A$166,$DL$205^A20,IF(A20='Données projet'!$A$166,'Données projet'!$B$166,DO19+DN20-DW19)))</f>
        <v>45.2</v>
      </c>
      <c r="DP20" s="17">
        <f>DO20*VLOOKUP('Données projet'!$B$14,Paramètres!$A$1:$I$89,3,0)*VLOOKUP('Données projet'!$B$14,Paramètres!$A$1:$I$89,5,0)</f>
        <v>36.666240000000002</v>
      </c>
      <c r="DQ20" s="13">
        <f t="shared" si="43"/>
        <v>11.110608259650514</v>
      </c>
      <c r="DR20" s="20">
        <f t="shared" si="16"/>
        <v>83.211344052224646</v>
      </c>
      <c r="DS20" s="59">
        <f t="shared" si="17"/>
        <v>360.65578849666912</v>
      </c>
      <c r="DT20" s="59">
        <f ca="1">AVERAGE(OFFSET($DS$3,0,0,'Données projet'!$E$14+1,1))-AVERAGE(OFFSET($H$3,0,0,'Données projet'!$E$14+1,1))</f>
        <v>304.26232113495314</v>
      </c>
      <c r="DU20" s="59">
        <f t="shared" si="44"/>
        <v>297.47246687305056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11.6</v>
      </c>
      <c r="EJ20" s="12">
        <f>IF('Données projet'!$A$192&gt;35,EJ19+EI20-ER19,IF(A20&lt;'Données projet'!$A$192,$EG$205^A20,IF(A20='Données projet'!$A$192,'Données projet'!$B$192,EJ19+EI20-ER19)))</f>
        <v>45.2</v>
      </c>
      <c r="EK20" s="17">
        <f>EJ20*VLOOKUP('Données projet'!$B$15,Paramètres!$A$1:$I$89,3,0)*VLOOKUP('Données projet'!$B$15,Paramètres!$A$1:$I$89,5,0)</f>
        <v>43.717440000000003</v>
      </c>
      <c r="EL20" s="13">
        <f t="shared" si="45"/>
        <v>12.978801126616625</v>
      </c>
      <c r="EM20" s="20">
        <f t="shared" si="19"/>
        <v>98.745953295523961</v>
      </c>
      <c r="EN20" s="59">
        <f t="shared" si="20"/>
        <v>376.19039773996843</v>
      </c>
      <c r="EO20" s="59">
        <f ca="1">AVERAGE(OFFSET($EN$3,0,0,'Données projet'!$E$15+1,1))-AVERAGE(OFFSET($H$3,0,0,'Données projet'!$E$15+1,1))</f>
        <v>355.72173590705142</v>
      </c>
      <c r="EP20" s="59">
        <f t="shared" si="46"/>
        <v>346.30980704469363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11.6</v>
      </c>
      <c r="FE20" s="12">
        <f>IF('Données projet'!$A$218&gt;35,FE19+FD20-FM19,IF(A20&lt;'Données projet'!$A$218,$FB$205^A20,IF(A20='Données projet'!$A$218,'Données projet'!$B$218,FE19+FD20-FM19)))</f>
        <v>45.2</v>
      </c>
      <c r="FF20" s="17">
        <f>FE20*VLOOKUP('Données projet'!$B$16,Paramètres!$A$1:$I$89,3,0)*VLOOKUP('Données projet'!$B$16,Paramètres!$A$1:$I$89,5,0)</f>
        <v>33.140639999999998</v>
      </c>
      <c r="FG20" s="13">
        <f t="shared" si="47"/>
        <v>10.161152005886803</v>
      </c>
      <c r="FH20" s="20">
        <f t="shared" si="22"/>
        <v>75.417287743586172</v>
      </c>
      <c r="FI20" s="59">
        <f t="shared" si="23"/>
        <v>352.8617321880306</v>
      </c>
      <c r="FJ20" s="59">
        <f ca="1">AVERAGE(OFFSET($FI$3,0,0,'Données projet'!$E$16+1,1))-AVERAGE(OFFSET($H$3,0,0,'Données projet'!$E$16+1,1))</f>
        <v>278.45534008146865</v>
      </c>
      <c r="FK20" s="59">
        <f t="shared" si="48"/>
        <v>272.97841038165217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</v>
      </c>
      <c r="N21" s="13">
        <f>IF('Données projet'!$A$36&gt;35,N20+M21-V20,IF(A21&lt;'Données projet'!$A$36,$K$205^A21,IF(A21='Données projet'!$A$36,'Données projet'!$B$36,N20+M21-V20)))</f>
        <v>54</v>
      </c>
      <c r="O21" s="13">
        <f>N21*VLOOKUP('Données projet'!$B$9,Paramètres!$A$1:$I$89,3,0)*VLOOKUP('Données projet'!$B$9,Paramètres!$A$1:$I$89,5,0)</f>
        <v>48.859199999999994</v>
      </c>
      <c r="P21" s="13">
        <f t="shared" si="33"/>
        <v>14.318748507569314</v>
      </c>
      <c r="Q21" s="20">
        <f t="shared" si="2"/>
        <v>110.03492698401654</v>
      </c>
      <c r="R21" s="59">
        <f t="shared" si="0"/>
        <v>388.70159365068321</v>
      </c>
      <c r="S21" s="59">
        <f ca="1">AVERAGE(OFFSET($R$3,0,0,'Données projet'!$E$9+1,1))-AVERAGE(OFFSET($H$3,0,0,'Données projet'!$E$9+1,1))</f>
        <v>436.03161778768742</v>
      </c>
      <c r="T21" s="59">
        <f t="shared" si="34"/>
        <v>217.65884352525285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</v>
      </c>
      <c r="AI21" s="13">
        <f>IF('Données projet'!$A$62&gt;35,AI20+AH21-AQ20,IF(A21&lt;'Données projet'!$A$62,$AF$205^A21,IF(A21='Données projet'!$A$62,'Données projet'!$B$62,AI20+AH21-AQ20)))</f>
        <v>54</v>
      </c>
      <c r="AJ21" s="13">
        <f>AI21*VLOOKUP('Données projet'!$B$10,Paramètres!$A$1:$I$89,3,0)*VLOOKUP('Données projet'!$B$10,Paramètres!$A$1:$I$89,5,0)</f>
        <v>54.756000000000007</v>
      </c>
      <c r="AK21" s="13">
        <f t="shared" si="35"/>
        <v>15.835447037242044</v>
      </c>
      <c r="AL21" s="20">
        <f t="shared" si="4"/>
        <v>122.94677025652992</v>
      </c>
      <c r="AM21" s="59">
        <f t="shared" si="5"/>
        <v>401.61343692319662</v>
      </c>
      <c r="AN21" s="59">
        <f ca="1">AVERAGE(OFFSET($AM$3,0,0,'Données projet'!$E$10+1,1))-AVERAGE(OFFSET($H$3,0,0,'Données projet'!$E$10+1,1))</f>
        <v>483.45320081988984</v>
      </c>
      <c r="AO21" s="59">
        <f t="shared" si="36"/>
        <v>238.92443174298893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6.85</v>
      </c>
      <c r="BD21" s="12">
        <f>IF('Données projet'!$A$88&gt;35,BD20+BC21-BL20,IF(A21&lt;'Données projet'!$A$88,$BA$205^A21,IF(A21='Données projet'!$A$88,'Données projet'!$B$88,BD20+BC21-BL20)))</f>
        <v>83.762283888507497</v>
      </c>
      <c r="BE21" s="13">
        <f>BD21*VLOOKUP('Données projet'!$B$11,Paramètres!$A$1:$I$89,3,0)*VLOOKUP('Données projet'!$B$11,Paramètres!$A$1:$I$89,5,0)</f>
        <v>73.174731205000157</v>
      </c>
      <c r="BF21" s="13">
        <f t="shared" si="37"/>
        <v>20.459808499248883</v>
      </c>
      <c r="BG21" s="20">
        <f t="shared" si="7"/>
        <v>163.08015665156708</v>
      </c>
      <c r="BH21" s="59">
        <f t="shared" si="8"/>
        <v>441.74682331823374</v>
      </c>
      <c r="BI21" s="59">
        <f ca="1">AVERAGE(OFFSET($BH$3,0,0,'Données projet'!$E$11+1,1))-AVERAGE(OFFSET($H$3,0,0,'Données projet'!$E$11+1,1))</f>
        <v>310.44153296396854</v>
      </c>
      <c r="BJ21" s="59">
        <f t="shared" si="38"/>
        <v>388.05195847800502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8.526315789473685</v>
      </c>
      <c r="BY21" s="12">
        <f>IF('Données projet'!$A$114&gt;35,BY20+BX21-CG20,IF(A21&lt;'Données projet'!$A$114,$BV$205^A21,IF(A21='Données projet'!$A$114,'Données projet'!$B$114,BY20+BX21-CG20)))</f>
        <v>123.94378388749713</v>
      </c>
      <c r="BZ21" s="13">
        <f>BY21*VLOOKUP('Données projet'!$B$12,Paramètres!$A$1:$I$89,3,0)*VLOOKUP('Données projet'!$B$12,Paramètres!$A$1:$I$89,5,0)</f>
        <v>69.284575193110896</v>
      </c>
      <c r="CA21" s="13">
        <f t="shared" si="39"/>
        <v>19.495686293334202</v>
      </c>
      <c r="CB21" s="20">
        <f t="shared" si="10"/>
        <v>154.62562208889187</v>
      </c>
      <c r="CC21" s="59">
        <f t="shared" si="11"/>
        <v>433.29228875555856</v>
      </c>
      <c r="CD21" s="59">
        <f ca="1">AVERAGE(OFFSET($CC$3,0,0,'Données projet'!$E$12+1,1))-AVERAGE(OFFSET($H$3,0,0,'Données projet'!$E$12+1,1))</f>
        <v>443.34220761968419</v>
      </c>
      <c r="CE21" s="59">
        <f t="shared" si="40"/>
        <v>546.58234447298014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>
        <f>VLOOKUP(A21,'Données projet'!$A$139:$I$159,2,0)</f>
        <v>112</v>
      </c>
      <c r="CR21" s="12">
        <f>VLOOKUP(A21,'Données projet'!$A$139:$I$159,9,0)</f>
        <v>6.2222222222222223</v>
      </c>
      <c r="CS21" s="12">
        <f t="array" ref="CS21">INDEX(CR:CR,MIN(IF(ISNUMBER(CR21:CR217),ROW(CR21:CR217),"")))</f>
        <v>6.2222222222222223</v>
      </c>
      <c r="CT21" s="12">
        <f>IF('Données projet'!$A$140&gt;35,CT20+CS21-DB20,IF(A21&lt;'Données projet'!$A$140,$CQ$205^A21,IF(A21='Données projet'!$A$140,'Données projet'!$B$140,CT20+CS21-DB20)))</f>
        <v>112</v>
      </c>
      <c r="CU21" s="17">
        <f>CT21*VLOOKUP('Données projet'!$B$13,Paramètres!$A$1:$I$89,3,0)*VLOOKUP('Données projet'!$B$13,Paramètres!$A$1:$I$89,5,0)</f>
        <v>61.152000000000001</v>
      </c>
      <c r="CV21" s="13">
        <f t="shared" si="41"/>
        <v>17.459207591071255</v>
      </c>
      <c r="CW21" s="20">
        <f t="shared" si="13"/>
        <v>136.91451988778243</v>
      </c>
      <c r="CX21" s="59">
        <f t="shared" si="14"/>
        <v>415.58118655444912</v>
      </c>
      <c r="CY21" s="59">
        <f ca="1">AVERAGE(OFFSET($CX$3,0,0,'Données projet'!$E$13+1,1))-AVERAGE(OFFSET($H$3,0,0,'Données projet'!$E$13+1,1))</f>
        <v>214.22606988805535</v>
      </c>
      <c r="CZ21" s="59">
        <f t="shared" si="42"/>
        <v>305.78163836959078</v>
      </c>
      <c r="DA21" s="15">
        <f>IF(ISNA(VLOOKUP(A21,'Données projet'!$A$139:$I$159,3,0)),0,VLOOKUP(A21,'Données projet'!$A$139:$I$159,3,0))</f>
        <v>1</v>
      </c>
      <c r="DB21" s="15">
        <f>IF(ISNA(VLOOKUP(A21,'Données projet'!$A$139:$I$159,4,0)),0,VLOOKUP(A21,'Données projet'!$A$139:$I$159,4,0))</f>
        <v>20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0.36</v>
      </c>
      <c r="DE21" s="16">
        <f>IF(ISNA(VLOOKUP(A21,'Données projet'!$A$139:$I$159,7,0)),0%,VLOOKUP(A21,'Données projet'!$A$139:$I$159,7,0))</f>
        <v>0.4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5.1944567837897742</v>
      </c>
      <c r="DH21" s="21">
        <f>EXP(-LN(2)/2)*DH20+(1-EXP(-LN(2)/2))/(LN(2)/2)*DB21*DE21*VLOOKUP('Données projet'!$B$13,Paramètres!$A$1:$I$89,3,0)*0.475*44/12</f>
        <v>4.9455906755956036</v>
      </c>
      <c r="DI21" s="22">
        <f t="shared" si="15"/>
        <v>10.140047459385379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11.6</v>
      </c>
      <c r="DO21" s="12">
        <f>IF('Données projet'!$A$166&gt;35,DO20+DN21-DW20,IF(A21&lt;'Données projet'!$A$166,$DL$205^A21,IF(A21='Données projet'!$A$166,'Données projet'!$B$166,DO20+DN21-DW20)))</f>
        <v>56.800000000000004</v>
      </c>
      <c r="DP21" s="17">
        <f>DO21*VLOOKUP('Données projet'!$B$14,Paramètres!$A$1:$I$89,3,0)*VLOOKUP('Données projet'!$B$14,Paramètres!$A$1:$I$89,5,0)</f>
        <v>46.076160000000009</v>
      </c>
      <c r="DQ21" s="13">
        <f t="shared" si="43"/>
        <v>13.595641486972058</v>
      </c>
      <c r="DR21" s="20">
        <f t="shared" si="16"/>
        <v>103.92838758980967</v>
      </c>
      <c r="DS21" s="59">
        <f t="shared" si="17"/>
        <v>382.59505425647637</v>
      </c>
      <c r="DT21" s="59">
        <f ca="1">AVERAGE(OFFSET($DS$3,0,0,'Données projet'!$E$14+1,1))-AVERAGE(OFFSET($H$3,0,0,'Données projet'!$E$14+1,1))</f>
        <v>304.26232113495314</v>
      </c>
      <c r="DU21" s="59">
        <f t="shared" si="44"/>
        <v>297.47246687305056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11.6</v>
      </c>
      <c r="EJ21" s="12">
        <f>IF('Données projet'!$A$192&gt;35,EJ20+EI21-ER20,IF(A21&lt;'Données projet'!$A$192,$EG$205^A21,IF(A21='Données projet'!$A$192,'Données projet'!$B$192,EJ20+EI21-ER20)))</f>
        <v>56.800000000000004</v>
      </c>
      <c r="EK21" s="17">
        <f>EJ21*VLOOKUP('Données projet'!$B$15,Paramètres!$A$1:$I$89,3,0)*VLOOKUP('Données projet'!$B$15,Paramètres!$A$1:$I$89,5,0)</f>
        <v>54.936960000000006</v>
      </c>
      <c r="EL21" s="13">
        <f t="shared" si="45"/>
        <v>15.88168018568401</v>
      </c>
      <c r="EM21" s="20">
        <f t="shared" si="19"/>
        <v>123.34246499006633</v>
      </c>
      <c r="EN21" s="59">
        <f t="shared" si="20"/>
        <v>402.00913165673302</v>
      </c>
      <c r="EO21" s="59">
        <f ca="1">AVERAGE(OFFSET($EN$3,0,0,'Données projet'!$E$15+1,1))-AVERAGE(OFFSET($H$3,0,0,'Données projet'!$E$15+1,1))</f>
        <v>355.72173590705142</v>
      </c>
      <c r="EP21" s="59">
        <f t="shared" si="46"/>
        <v>346.30980704469363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11.6</v>
      </c>
      <c r="FE21" s="12">
        <f>IF('Données projet'!$A$218&gt;35,FE20+FD21-FM20,IF(A21&lt;'Données projet'!$A$218,$FB$205^A21,IF(A21='Données projet'!$A$218,'Données projet'!$B$218,FE20+FD21-FM20)))</f>
        <v>56.800000000000004</v>
      </c>
      <c r="FF21" s="17">
        <f>FE21*VLOOKUP('Données projet'!$B$16,Paramètres!$A$1:$I$89,3,0)*VLOOKUP('Données projet'!$B$16,Paramètres!$A$1:$I$89,5,0)</f>
        <v>41.645760000000003</v>
      </c>
      <c r="FG21" s="13">
        <f t="shared" si="47"/>
        <v>12.433826892120967</v>
      </c>
      <c r="FH21" s="20">
        <f t="shared" si="22"/>
        <v>94.18861383711068</v>
      </c>
      <c r="FI21" s="59">
        <f t="shared" si="23"/>
        <v>372.85528050377735</v>
      </c>
      <c r="FJ21" s="59">
        <f ca="1">AVERAGE(OFFSET($FI$3,0,0,'Données projet'!$E$16+1,1))-AVERAGE(OFFSET($H$3,0,0,'Données projet'!$E$16+1,1))</f>
        <v>278.45534008146865</v>
      </c>
      <c r="FK21" s="59">
        <f t="shared" si="48"/>
        <v>272.97841038165217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</v>
      </c>
      <c r="N22" s="13">
        <f>IF('Données projet'!$A$36&gt;35,N21+M22-V21,IF(A22&lt;'Données projet'!$A$36,$K$205^A22,IF(A22='Données projet'!$A$36,'Données projet'!$B$36,N21+M22-V21)))</f>
        <v>57</v>
      </c>
      <c r="O22" s="13">
        <f>N22*VLOOKUP('Données projet'!$B$9,Paramètres!$A$1:$I$89,3,0)*VLOOKUP('Données projet'!$B$9,Paramètres!$A$1:$I$89,5,0)</f>
        <v>51.573599999999992</v>
      </c>
      <c r="P22" s="13">
        <f t="shared" si="33"/>
        <v>15.019412930275323</v>
      </c>
      <c r="Q22" s="20">
        <f t="shared" si="2"/>
        <v>115.98283085356282</v>
      </c>
      <c r="R22" s="59">
        <f t="shared" si="0"/>
        <v>395.87171974245166</v>
      </c>
      <c r="S22" s="59">
        <f ca="1">AVERAGE(OFFSET($R$3,0,0,'Données projet'!$E$9+1,1))-AVERAGE(OFFSET($H$3,0,0,'Données projet'!$E$9+1,1))</f>
        <v>436.03161778768742</v>
      </c>
      <c r="T22" s="59">
        <f t="shared" si="34"/>
        <v>217.65884352525285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</v>
      </c>
      <c r="AI22" s="13">
        <f>IF('Données projet'!$A$62&gt;35,AI21+AH22-AQ21,IF(A22&lt;'Données projet'!$A$62,$AF$205^A22,IF(A22='Données projet'!$A$62,'Données projet'!$B$62,AI21+AH22-AQ21)))</f>
        <v>57</v>
      </c>
      <c r="AJ22" s="13">
        <f>AI22*VLOOKUP('Données projet'!$B$10,Paramètres!$A$1:$I$89,3,0)*VLOOKUP('Données projet'!$B$10,Paramètres!$A$1:$I$89,5,0)</f>
        <v>57.798000000000009</v>
      </c>
      <c r="AK22" s="13">
        <f t="shared" si="35"/>
        <v>16.610328609522991</v>
      </c>
      <c r="AL22" s="20">
        <f t="shared" si="4"/>
        <v>129.59450566158588</v>
      </c>
      <c r="AM22" s="59">
        <f t="shared" si="5"/>
        <v>409.48339455047471</v>
      </c>
      <c r="AN22" s="59">
        <f ca="1">AVERAGE(OFFSET($AM$3,0,0,'Données projet'!$E$10+1,1))-AVERAGE(OFFSET($H$3,0,0,'Données projet'!$E$10+1,1))</f>
        <v>483.45320081988984</v>
      </c>
      <c r="AO22" s="59">
        <f t="shared" si="36"/>
        <v>238.92443174298893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6.85</v>
      </c>
      <c r="BD22" s="12">
        <f>IF('Données projet'!$A$88&gt;35,BD21+BC22-BL21,IF(A22&lt;'Données projet'!$A$88,$BA$205^A22,IF(A22='Données projet'!$A$88,'Données projet'!$B$88,BD21+BC22-BL21)))</f>
        <v>107.12344697929356</v>
      </c>
      <c r="BE22" s="13">
        <f>BD22*VLOOKUP('Données projet'!$B$11,Paramètres!$A$1:$I$89,3,0)*VLOOKUP('Données projet'!$B$11,Paramètres!$A$1:$I$89,5,0)</f>
        <v>93.583043281110861</v>
      </c>
      <c r="BF22" s="13">
        <f t="shared" si="37"/>
        <v>25.427395556812755</v>
      </c>
      <c r="BG22" s="20">
        <f t="shared" si="7"/>
        <v>207.27651430938363</v>
      </c>
      <c r="BH22" s="59">
        <f t="shared" si="8"/>
        <v>487.16540319827249</v>
      </c>
      <c r="BI22" s="59">
        <f ca="1">AVERAGE(OFFSET($BH$3,0,0,'Données projet'!$E$11+1,1))-AVERAGE(OFFSET($H$3,0,0,'Données projet'!$E$11+1,1))</f>
        <v>310.44153296396854</v>
      </c>
      <c r="BJ22" s="59">
        <f t="shared" si="38"/>
        <v>388.05195847800502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>
        <f>VLOOKUP(A22,'Données projet'!$A$113:$I$133,2,0)</f>
        <v>162</v>
      </c>
      <c r="BW22" s="12">
        <f>VLOOKUP(A22,'Données projet'!$A$113:$I$133,9,0)</f>
        <v>8.526315789473685</v>
      </c>
      <c r="BX22" s="12">
        <f t="array" ref="BX22">INDEX(BW:BW,MIN(IF(ISNUMBER(BW22:BW218),ROW(BW22:BW218),"")))</f>
        <v>8.526315789473685</v>
      </c>
      <c r="BY22" s="12">
        <f>IF('Données projet'!$A$114&gt;35,BY21+BX22-CG21,IF(A22&lt;'Données projet'!$A$114,$BV$205^A22,IF(A22='Données projet'!$A$114,'Données projet'!$B$114,BY21+BX22-CG21)))</f>
        <v>162</v>
      </c>
      <c r="BZ22" s="13">
        <f>BY22*VLOOKUP('Données projet'!$B$12,Paramètres!$A$1:$I$89,3,0)*VLOOKUP('Données projet'!$B$12,Paramètres!$A$1:$I$89,5,0)</f>
        <v>90.557999999999993</v>
      </c>
      <c r="CA22" s="13">
        <f t="shared" si="39"/>
        <v>24.699752708509138</v>
      </c>
      <c r="CB22" s="20">
        <f t="shared" si="10"/>
        <v>200.74058596732007</v>
      </c>
      <c r="CC22" s="59">
        <f t="shared" si="11"/>
        <v>480.62947485620896</v>
      </c>
      <c r="CD22" s="59">
        <f ca="1">AVERAGE(OFFSET($CC$3,0,0,'Données projet'!$E$12+1,1))-AVERAGE(OFFSET($H$3,0,0,'Données projet'!$E$12+1,1))</f>
        <v>443.34220761968419</v>
      </c>
      <c r="CE22" s="59">
        <f t="shared" si="40"/>
        <v>546.58234447298014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0.33</v>
      </c>
      <c r="CJ22" s="16">
        <f>IF(ISNA(VLOOKUP(A22,'Données projet'!$A$113:$I$133,7,0)),0%,VLOOKUP(A22,'Données projet'!$A$113:$I$133,7,0))</f>
        <v>0.4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18</v>
      </c>
      <c r="CT22" s="12">
        <f>IF('Données projet'!$A$140&gt;35,CT21+CS22-DB21,IF(A22&lt;'Données projet'!$A$140,$CQ$205^A22,IF(A22='Données projet'!$A$140,'Données projet'!$B$140,CT21+CS22-DB21)))</f>
        <v>110</v>
      </c>
      <c r="CU22" s="17">
        <f>CT22*VLOOKUP('Données projet'!$B$13,Paramètres!$A$1:$I$89,3,0)*VLOOKUP('Données projet'!$B$13,Paramètres!$A$1:$I$89,5,0)</f>
        <v>60.059999999999995</v>
      </c>
      <c r="CV22" s="13">
        <f t="shared" si="41"/>
        <v>17.183438012437968</v>
      </c>
      <c r="CW22" s="20">
        <f t="shared" si="13"/>
        <v>134.53232120499612</v>
      </c>
      <c r="CX22" s="59">
        <f t="shared" si="14"/>
        <v>414.42121009388495</v>
      </c>
      <c r="CY22" s="59">
        <f ca="1">AVERAGE(OFFSET($CX$3,0,0,'Données projet'!$E$13+1,1))-AVERAGE(OFFSET($H$3,0,0,'Données projet'!$E$13+1,1))</f>
        <v>214.22606988805535</v>
      </c>
      <c r="CZ22" s="59">
        <f t="shared" si="42"/>
        <v>305.78163836959078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5.0524140898724328</v>
      </c>
      <c r="DH22" s="21">
        <f>EXP(-LN(2)/2)*DH21+(1-EXP(-LN(2)/2))/(LN(2)/2)*DB22*DE22*VLOOKUP('Données projet'!$B$13,Paramètres!$A$1:$I$89,3,0)*0.475*44/12</f>
        <v>3.4970607036866106</v>
      </c>
      <c r="DI22" s="22">
        <f t="shared" si="15"/>
        <v>8.5494747935590425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11.6</v>
      </c>
      <c r="DO22" s="12">
        <f>IF('Données projet'!$A$166&gt;35,DO21+DN22-DW21,IF(A22&lt;'Données projet'!$A$166,$DL$205^A22,IF(A22='Données projet'!$A$166,'Données projet'!$B$166,DO21+DN22-DW21)))</f>
        <v>68.400000000000006</v>
      </c>
      <c r="DP22" s="17">
        <f>DO22*VLOOKUP('Données projet'!$B$14,Paramètres!$A$1:$I$89,3,0)*VLOOKUP('Données projet'!$B$14,Paramètres!$A$1:$I$89,5,0)</f>
        <v>55.486080000000008</v>
      </c>
      <c r="DQ22" s="13">
        <f t="shared" si="43"/>
        <v>16.021865657934267</v>
      </c>
      <c r="DR22" s="20">
        <f t="shared" si="16"/>
        <v>124.54300535423552</v>
      </c>
      <c r="DS22" s="59">
        <f t="shared" si="17"/>
        <v>404.43189424312436</v>
      </c>
      <c r="DT22" s="59">
        <f ca="1">AVERAGE(OFFSET($DS$3,0,0,'Données projet'!$E$14+1,1))-AVERAGE(OFFSET($H$3,0,0,'Données projet'!$E$14+1,1))</f>
        <v>304.26232113495314</v>
      </c>
      <c r="DU22" s="59">
        <f t="shared" si="44"/>
        <v>297.47246687305056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11.6</v>
      </c>
      <c r="EJ22" s="12">
        <f>IF('Données projet'!$A$192&gt;35,EJ21+EI22-ER21,IF(A22&lt;'Données projet'!$A$192,$EG$205^A22,IF(A22='Données projet'!$A$192,'Données projet'!$B$192,EJ21+EI22-ER21)))</f>
        <v>68.400000000000006</v>
      </c>
      <c r="EK22" s="17">
        <f>EJ22*VLOOKUP('Données projet'!$B$15,Paramètres!$A$1:$I$89,3,0)*VLOOKUP('Données projet'!$B$15,Paramètres!$A$1:$I$89,5,0)</f>
        <v>66.156480000000002</v>
      </c>
      <c r="EL22" s="13">
        <f t="shared" si="45"/>
        <v>18.71586174150994</v>
      </c>
      <c r="EM22" s="20">
        <f t="shared" si="19"/>
        <v>147.81932853312981</v>
      </c>
      <c r="EN22" s="59">
        <f t="shared" si="20"/>
        <v>427.70821742201866</v>
      </c>
      <c r="EO22" s="59">
        <f ca="1">AVERAGE(OFFSET($EN$3,0,0,'Données projet'!$E$15+1,1))-AVERAGE(OFFSET($H$3,0,0,'Données projet'!$E$15+1,1))</f>
        <v>355.72173590705142</v>
      </c>
      <c r="EP22" s="59">
        <f t="shared" si="46"/>
        <v>346.30980704469363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11.6</v>
      </c>
      <c r="FE22" s="12">
        <f>IF('Données projet'!$A$218&gt;35,FE21+FD22-FM21,IF(A22&lt;'Données projet'!$A$218,$FB$205^A22,IF(A22='Données projet'!$A$218,'Données projet'!$B$218,FE21+FD22-FM21)))</f>
        <v>68.400000000000006</v>
      </c>
      <c r="FF22" s="17">
        <f>FE22*VLOOKUP('Données projet'!$B$16,Paramètres!$A$1:$I$89,3,0)*VLOOKUP('Données projet'!$B$16,Paramètres!$A$1:$I$89,5,0)</f>
        <v>50.150880000000008</v>
      </c>
      <c r="FG22" s="13">
        <f t="shared" si="47"/>
        <v>14.652718245804536</v>
      </c>
      <c r="FH22" s="20">
        <f t="shared" si="22"/>
        <v>112.86626694477626</v>
      </c>
      <c r="FI22" s="59">
        <f t="shared" si="23"/>
        <v>392.75515583366513</v>
      </c>
      <c r="FJ22" s="59">
        <f ca="1">AVERAGE(OFFSET($FI$3,0,0,'Données projet'!$E$16+1,1))-AVERAGE(OFFSET($H$3,0,0,'Données projet'!$E$16+1,1))</f>
        <v>278.45534008146865</v>
      </c>
      <c r="FK22" s="59">
        <f t="shared" si="48"/>
        <v>272.97841038165217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3</v>
      </c>
      <c r="N23" s="13">
        <f>IF('Données projet'!$A$36&gt;35,N22+M23-V22,IF(A23&lt;'Données projet'!$A$36,$K$205^A23,IF(A23='Données projet'!$A$36,'Données projet'!$B$36,N22+M23-V22)))</f>
        <v>60</v>
      </c>
      <c r="O23" s="13">
        <f>N23*VLOOKUP('Données projet'!$B$9,Paramètres!$A$1:$I$89,3,0)*VLOOKUP('Données projet'!$B$9,Paramètres!$A$1:$I$89,5,0)</f>
        <v>54.287999999999997</v>
      </c>
      <c r="P23" s="13">
        <f t="shared" si="33"/>
        <v>15.715795896526746</v>
      </c>
      <c r="Q23" s="20">
        <f t="shared" si="2"/>
        <v>121.9232778531174</v>
      </c>
      <c r="R23" s="59">
        <f t="shared" si="0"/>
        <v>403.03438896422853</v>
      </c>
      <c r="S23" s="59">
        <f ca="1">AVERAGE(OFFSET($R$3,0,0,'Données projet'!$E$9+1,1))-AVERAGE(OFFSET($H$3,0,0,'Données projet'!$E$9+1,1))</f>
        <v>436.03161778768742</v>
      </c>
      <c r="T23" s="59">
        <f t="shared" si="34"/>
        <v>217.65884352525285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3</v>
      </c>
      <c r="AI23" s="13">
        <f>IF('Données projet'!$A$62&gt;35,AI22+AH23-AQ22,IF(A23&lt;'Données projet'!$A$62,$AF$205^A23,IF(A23='Données projet'!$A$62,'Données projet'!$B$62,AI22+AH23-AQ22)))</f>
        <v>60</v>
      </c>
      <c r="AJ23" s="13">
        <f>AI23*VLOOKUP('Données projet'!$B$10,Paramètres!$A$1:$I$89,3,0)*VLOOKUP('Données projet'!$B$10,Paramètres!$A$1:$I$89,5,0)</f>
        <v>60.84</v>
      </c>
      <c r="AK23" s="13">
        <f t="shared" si="35"/>
        <v>17.380475216531455</v>
      </c>
      <c r="AL23" s="20">
        <f t="shared" si="4"/>
        <v>136.23399433545893</v>
      </c>
      <c r="AM23" s="59">
        <f t="shared" si="5"/>
        <v>417.34510544657007</v>
      </c>
      <c r="AN23" s="59">
        <f ca="1">AVERAGE(OFFSET($AM$3,0,0,'Données projet'!$E$10+1,1))-AVERAGE(OFFSET($H$3,0,0,'Données projet'!$E$10+1,1))</f>
        <v>483.45320081988984</v>
      </c>
      <c r="AO23" s="59">
        <f t="shared" si="36"/>
        <v>238.92443174298893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137</v>
      </c>
      <c r="BB23" s="12">
        <f>VLOOKUP(A23,'Données projet'!$A$87:$I$107,9,0)</f>
        <v>6.85</v>
      </c>
      <c r="BC23" s="12">
        <f t="array" ref="BC23">INDEX(BB:BB,MIN(IF(ISNUMBER(BB23:BB219),ROW(BB23:BB219),"")))</f>
        <v>6.85</v>
      </c>
      <c r="BD23" s="12">
        <f>IF('Données projet'!$A$88&gt;35,BD22+BC23-BL22,IF(A23&lt;'Données projet'!$A$88,$BA$205^A23,IF(A23='Données projet'!$A$88,'Données projet'!$B$88,BD22+BC23-BL22)))</f>
        <v>137</v>
      </c>
      <c r="BE23" s="13">
        <f>BD23*VLOOKUP('Données projet'!$B$11,Paramètres!$A$1:$I$89,3,0)*VLOOKUP('Données projet'!$B$11,Paramètres!$A$1:$I$89,5,0)</f>
        <v>119.68320000000003</v>
      </c>
      <c r="BF23" s="13">
        <f t="shared" si="37"/>
        <v>31.601099532596194</v>
      </c>
      <c r="BG23" s="20">
        <f t="shared" si="7"/>
        <v>263.48682168593842</v>
      </c>
      <c r="BH23" s="59">
        <f t="shared" si="8"/>
        <v>544.59793279704957</v>
      </c>
      <c r="BI23" s="59">
        <f ca="1">AVERAGE(OFFSET($BH$3,0,0,'Données projet'!$E$11+1,1))-AVERAGE(OFFSET($H$3,0,0,'Données projet'!$E$11+1,1))</f>
        <v>310.44153296396854</v>
      </c>
      <c r="BJ23" s="59">
        <f t="shared" si="38"/>
        <v>388.05195847800502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43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28.833333333333332</v>
      </c>
      <c r="BY23" s="12">
        <f>IF('Données projet'!$A$114&gt;35,BY22+BX23-CG22,IF(A23&lt;'Données projet'!$A$114,$BV$205^A23,IF(A23='Données projet'!$A$114,'Données projet'!$B$114,BY22+BX23-CG22)))</f>
        <v>190.83333333333334</v>
      </c>
      <c r="BZ23" s="13">
        <f>BY23*VLOOKUP('Données projet'!$B$12,Paramètres!$A$1:$I$89,3,0)*VLOOKUP('Données projet'!$B$12,Paramètres!$A$1:$I$89,5,0)</f>
        <v>106.67583333333334</v>
      </c>
      <c r="CA23" s="13">
        <f t="shared" si="39"/>
        <v>28.546391754319739</v>
      </c>
      <c r="CB23" s="20">
        <f t="shared" si="10"/>
        <v>235.51204202766243</v>
      </c>
      <c r="CC23" s="59">
        <f t="shared" si="11"/>
        <v>516.62315313877355</v>
      </c>
      <c r="CD23" s="59">
        <f ca="1">AVERAGE(OFFSET($CC$3,0,0,'Données projet'!$E$12+1,1))-AVERAGE(OFFSET($H$3,0,0,'Données projet'!$E$12+1,1))</f>
        <v>443.34220761968419</v>
      </c>
      <c r="CE23" s="59">
        <f t="shared" si="40"/>
        <v>546.58234447298014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18</v>
      </c>
      <c r="CT23" s="12">
        <f>IF('Données projet'!$A$140&gt;35,CT22+CS23-DB22,IF(A23&lt;'Données projet'!$A$140,$CQ$205^A23,IF(A23='Données projet'!$A$140,'Données projet'!$B$140,CT22+CS23-DB22)))</f>
        <v>128</v>
      </c>
      <c r="CU23" s="17">
        <f>CT23*VLOOKUP('Données projet'!$B$13,Paramètres!$A$1:$I$89,3,0)*VLOOKUP('Données projet'!$B$13,Paramètres!$A$1:$I$89,5,0)</f>
        <v>69.888000000000005</v>
      </c>
      <c r="CV23" s="13">
        <f t="shared" si="41"/>
        <v>19.645641432461961</v>
      </c>
      <c r="CW23" s="20">
        <f t="shared" si="13"/>
        <v>155.93775882820458</v>
      </c>
      <c r="CX23" s="59">
        <f t="shared" si="14"/>
        <v>437.04886993931575</v>
      </c>
      <c r="CY23" s="59">
        <f ca="1">AVERAGE(OFFSET($CX$3,0,0,'Données projet'!$E$13+1,1))-AVERAGE(OFFSET($H$3,0,0,'Données projet'!$E$13+1,1))</f>
        <v>214.22606988805535</v>
      </c>
      <c r="CZ23" s="59">
        <f t="shared" si="42"/>
        <v>305.78163836959078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4.9142555608899618</v>
      </c>
      <c r="DH23" s="21">
        <f>EXP(-LN(2)/2)*DH22+(1-EXP(-LN(2)/2))/(LN(2)/2)*DB23*DE23*VLOOKUP('Données projet'!$B$13,Paramètres!$A$1:$I$89,3,0)*0.475*44/12</f>
        <v>2.4727953377978023</v>
      </c>
      <c r="DI23" s="22">
        <f t="shared" si="15"/>
        <v>7.3870508986877645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80</v>
      </c>
      <c r="DM23" s="12">
        <f>VLOOKUP(A23,'Données projet'!$A$165:$I$185,9,0)</f>
        <v>11.6</v>
      </c>
      <c r="DN23" s="12">
        <f t="array" ref="DN23">INDEX(DM:DM,MIN(IF(ISNUMBER(DM23:DM219),ROW(DM23:DM219),"")))</f>
        <v>11.6</v>
      </c>
      <c r="DO23" s="12">
        <f>IF('Données projet'!$A$166&gt;35,DO22+DN23-DW22,IF(A23&lt;'Données projet'!$A$166,$DL$205^A23,IF(A23='Données projet'!$A$166,'Données projet'!$B$166,DO22+DN23-DW22)))</f>
        <v>80</v>
      </c>
      <c r="DP23" s="17">
        <f>DO23*VLOOKUP('Données projet'!$B$14,Paramètres!$A$1:$I$89,3,0)*VLOOKUP('Données projet'!$B$14,Paramètres!$A$1:$I$89,5,0)</f>
        <v>64.896000000000001</v>
      </c>
      <c r="DQ23" s="13">
        <f t="shared" si="43"/>
        <v>18.400423846102964</v>
      </c>
      <c r="DR23" s="20">
        <f t="shared" si="16"/>
        <v>145.07460486529598</v>
      </c>
      <c r="DS23" s="59">
        <f t="shared" si="17"/>
        <v>426.1857159764071</v>
      </c>
      <c r="DT23" s="59">
        <f ca="1">AVERAGE(OFFSET($DS$3,0,0,'Données projet'!$E$14+1,1))-AVERAGE(OFFSET($H$3,0,0,'Données projet'!$E$14+1,1))</f>
        <v>304.26232113495314</v>
      </c>
      <c r="DU23" s="59">
        <f t="shared" si="44"/>
        <v>297.47246687305056</v>
      </c>
      <c r="DV23" s="15">
        <f>IF(ISNA(VLOOKUP(A23,'Données projet'!$A$165:$I$185,3,0)),0,VLOOKUP(A23,'Données projet'!$A$165:$I$185,3,0))</f>
        <v>2</v>
      </c>
      <c r="DW23" s="15">
        <f>IF(ISNA(VLOOKUP(A23,'Données projet'!$A$165:$I$185,4,0)),0,VLOOKUP(A23,'Données projet'!$A$165:$I$185,4,0))</f>
        <v>28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80</v>
      </c>
      <c r="EH23" s="12">
        <f>VLOOKUP(A23,'Données projet'!$A$191:$I$211,9,0)</f>
        <v>11.6</v>
      </c>
      <c r="EI23" s="12">
        <f t="array" ref="EI23">INDEX(EH:EH,MIN(IF(ISNUMBER(EH23:EH219),ROW(EH23:EH219),"")))</f>
        <v>11.6</v>
      </c>
      <c r="EJ23" s="12">
        <f>IF('Données projet'!$A$192&gt;35,EJ22+EI23-ER22,IF(A23&lt;'Données projet'!$A$192,$EG$205^A23,IF(A23='Données projet'!$A$192,'Données projet'!$B$192,EJ22+EI23-ER22)))</f>
        <v>80</v>
      </c>
      <c r="EK23" s="17">
        <f>EJ23*VLOOKUP('Données projet'!$B$15,Paramètres!$A$1:$I$89,3,0)*VLOOKUP('Données projet'!$B$15,Paramètres!$A$1:$I$89,5,0)</f>
        <v>77.376000000000005</v>
      </c>
      <c r="EL23" s="13">
        <f t="shared" si="45"/>
        <v>21.494362519405076</v>
      </c>
      <c r="EM23" s="20">
        <f t="shared" si="19"/>
        <v>172.19921472129715</v>
      </c>
      <c r="EN23" s="59">
        <f t="shared" si="20"/>
        <v>453.3103258324083</v>
      </c>
      <c r="EO23" s="59">
        <f ca="1">AVERAGE(OFFSET($EN$3,0,0,'Données projet'!$E$15+1,1))-AVERAGE(OFFSET($H$3,0,0,'Données projet'!$E$15+1,1))</f>
        <v>355.72173590705142</v>
      </c>
      <c r="EP23" s="59">
        <f t="shared" si="46"/>
        <v>346.30980704469363</v>
      </c>
      <c r="EQ23" s="15">
        <f>IF(ISNA(VLOOKUP(A23,'Données projet'!$A$191:$I$211,3,0)),0,VLOOKUP(A23,'Données projet'!$A$191:$I$211,3,0))</f>
        <v>2</v>
      </c>
      <c r="ER23" s="15">
        <f>IF(ISNA(VLOOKUP(A23,'Données projet'!$A$191:$I$211,4,0)),0,VLOOKUP(A23,'Données projet'!$A$191:$I$211,4,0))</f>
        <v>28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>
        <f>VLOOKUP(A23,'Données projet'!$A$217:$I$237,2,0)</f>
        <v>80</v>
      </c>
      <c r="FC23" s="12">
        <f>VLOOKUP(A23,'Données projet'!$A$217:$I$237,9,0)</f>
        <v>11.6</v>
      </c>
      <c r="FD23" s="12">
        <f t="array" ref="FD23">INDEX(FC:FC,MIN(IF(ISNUMBER(FC23:FC219),ROW(FC23:FC219),"")))</f>
        <v>11.6</v>
      </c>
      <c r="FE23" s="12">
        <f>IF('Données projet'!$A$218&gt;35,FE22+FD23-FM22,IF(A23&lt;'Données projet'!$A$218,$FB$205^A23,IF(A23='Données projet'!$A$218,'Données projet'!$B$218,FE22+FD23-FM22)))</f>
        <v>80</v>
      </c>
      <c r="FF23" s="17">
        <f>FE23*VLOOKUP('Données projet'!$B$16,Paramètres!$A$1:$I$89,3,0)*VLOOKUP('Données projet'!$B$16,Paramètres!$A$1:$I$89,5,0)</f>
        <v>58.655999999999992</v>
      </c>
      <c r="FG23" s="13">
        <f t="shared" si="47"/>
        <v>16.828016909929062</v>
      </c>
      <c r="FH23" s="20">
        <f t="shared" si="22"/>
        <v>131.46799611812642</v>
      </c>
      <c r="FI23" s="59">
        <f t="shared" si="23"/>
        <v>412.57910722923759</v>
      </c>
      <c r="FJ23" s="59">
        <f ca="1">AVERAGE(OFFSET($FI$3,0,0,'Données projet'!$E$16+1,1))-AVERAGE(OFFSET($H$3,0,0,'Données projet'!$E$16+1,1))</f>
        <v>278.45534008146865</v>
      </c>
      <c r="FK23" s="59">
        <f t="shared" si="48"/>
        <v>272.97841038165217</v>
      </c>
      <c r="FL23" s="15">
        <f>IF(ISNA(VLOOKUP(A23,'Données projet'!$A$217:$I$237,3,0)),0,VLOOKUP(A23,'Données projet'!$A$217:$I$237,3,0))</f>
        <v>2</v>
      </c>
      <c r="FM23" s="15">
        <f>IF(ISNA(VLOOKUP(A23,'Données projet'!$A$217:$I$237,4,0)),0,VLOOKUP(A23,'Données projet'!$A$217:$I$237,4,0))</f>
        <v>28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3</v>
      </c>
      <c r="N24" s="13">
        <f>IF('Données projet'!$A$36&gt;35,N23+M24-V23,IF(A24&lt;'Données projet'!$A$36,$K$205^A24,IF(A24='Données projet'!$A$36,'Données projet'!$B$36,N23+M24-V23)))</f>
        <v>63</v>
      </c>
      <c r="O24" s="13">
        <f>N24*VLOOKUP('Données projet'!$B$9,Paramètres!$A$1:$I$89,3,0)*VLOOKUP('Données projet'!$B$9,Paramètres!$A$1:$I$89,5,0)</f>
        <v>57.002400000000002</v>
      </c>
      <c r="P24" s="13">
        <f t="shared" si="33"/>
        <v>16.4081359066458</v>
      </c>
      <c r="Q24" s="20">
        <f t="shared" si="2"/>
        <v>127.85668337074144</v>
      </c>
      <c r="R24" s="59">
        <f t="shared" si="0"/>
        <v>410.19001670407476</v>
      </c>
      <c r="S24" s="59">
        <f ca="1">AVERAGE(OFFSET($R$3,0,0,'Données projet'!$E$9+1,1))-AVERAGE(OFFSET($H$3,0,0,'Données projet'!$E$9+1,1))</f>
        <v>436.03161778768742</v>
      </c>
      <c r="T24" s="59">
        <f t="shared" si="34"/>
        <v>217.65884352525285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</v>
      </c>
      <c r="AI24" s="13">
        <f>IF('Données projet'!$A$62&gt;35,AI23+AH24-AQ23,IF(A24&lt;'Données projet'!$A$62,$AF$205^A24,IF(A24='Données projet'!$A$62,'Données projet'!$B$62,AI23+AH24-AQ23)))</f>
        <v>63</v>
      </c>
      <c r="AJ24" s="13">
        <f>AI24*VLOOKUP('Données projet'!$B$10,Paramètres!$A$1:$I$89,3,0)*VLOOKUP('Données projet'!$B$10,Paramètres!$A$1:$I$89,5,0)</f>
        <v>63.882000000000005</v>
      </c>
      <c r="AK24" s="13">
        <f t="shared" si="35"/>
        <v>18.146150621487983</v>
      </c>
      <c r="AL24" s="20">
        <f t="shared" si="4"/>
        <v>142.86569566575824</v>
      </c>
      <c r="AM24" s="59">
        <f t="shared" si="5"/>
        <v>425.19902899909152</v>
      </c>
      <c r="AN24" s="59">
        <f ca="1">AVERAGE(OFFSET($AM$3,0,0,'Données projet'!$E$10+1,1))-AVERAGE(OFFSET($H$3,0,0,'Données projet'!$E$10+1,1))</f>
        <v>483.45320081988984</v>
      </c>
      <c r="AO24" s="59">
        <f t="shared" si="36"/>
        <v>238.92443174298893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9</v>
      </c>
      <c r="BD24" s="12">
        <f>IF('Données projet'!$A$88&gt;35,BD23+BC24-BL23,IF(A24&lt;'Données projet'!$A$88,$BA$205^A24,IF(A24='Données projet'!$A$88,'Données projet'!$B$88,BD23+BC24-BL23)))</f>
        <v>103</v>
      </c>
      <c r="BE24" s="13">
        <f>BD24*VLOOKUP('Données projet'!$B$11,Paramètres!$A$1:$I$89,3,0)*VLOOKUP('Données projet'!$B$11,Paramètres!$A$1:$I$89,5,0)</f>
        <v>89.980800000000016</v>
      </c>
      <c r="BF24" s="13">
        <f t="shared" si="37"/>
        <v>24.560594358746648</v>
      </c>
      <c r="BG24" s="20">
        <f t="shared" si="7"/>
        <v>199.49292850815041</v>
      </c>
      <c r="BH24" s="59">
        <f t="shared" si="8"/>
        <v>481.82626184148376</v>
      </c>
      <c r="BI24" s="59">
        <f ca="1">AVERAGE(OFFSET($BH$3,0,0,'Données projet'!$E$11+1,1))-AVERAGE(OFFSET($H$3,0,0,'Données projet'!$E$11+1,1))</f>
        <v>310.44153296396854</v>
      </c>
      <c r="BJ24" s="59">
        <f t="shared" si="38"/>
        <v>388.05195847800502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28.833333333333332</v>
      </c>
      <c r="BY24" s="12">
        <f>IF('Données projet'!$A$114&gt;35,BY23+BX24-CG23,IF(A24&lt;'Données projet'!$A$114,$BV$205^A24,IF(A24='Données projet'!$A$114,'Données projet'!$B$114,BY23+BX24-CG23)))</f>
        <v>219.66666666666669</v>
      </c>
      <c r="BZ24" s="13">
        <f>BY24*VLOOKUP('Données projet'!$B$12,Paramètres!$A$1:$I$89,3,0)*VLOOKUP('Données projet'!$B$12,Paramètres!$A$1:$I$89,5,0)</f>
        <v>122.79366666666668</v>
      </c>
      <c r="CA24" s="13">
        <f t="shared" si="39"/>
        <v>32.32570088253398</v>
      </c>
      <c r="CB24" s="20">
        <f t="shared" si="10"/>
        <v>270.16623181485778</v>
      </c>
      <c r="CC24" s="59">
        <f t="shared" si="11"/>
        <v>552.4995651481911</v>
      </c>
      <c r="CD24" s="59">
        <f ca="1">AVERAGE(OFFSET($CC$3,0,0,'Données projet'!$E$12+1,1))-AVERAGE(OFFSET($H$3,0,0,'Données projet'!$E$12+1,1))</f>
        <v>443.34220761968419</v>
      </c>
      <c r="CE24" s="59">
        <f t="shared" si="40"/>
        <v>546.58234447298014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>
        <f>VLOOKUP(A24,'Données projet'!$A$139:$I$159,2,0)</f>
        <v>146</v>
      </c>
      <c r="CR24" s="12">
        <f>VLOOKUP(A24,'Données projet'!$A$139:$I$159,9,0)</f>
        <v>18</v>
      </c>
      <c r="CS24" s="12">
        <f t="array" ref="CS24">INDEX(CR:CR,MIN(IF(ISNUMBER(CR24:CR220),ROW(CR24:CR220),"")))</f>
        <v>18</v>
      </c>
      <c r="CT24" s="12">
        <f>IF('Données projet'!$A$140&gt;35,CT23+CS24-DB23,IF(A24&lt;'Données projet'!$A$140,$CQ$205^A24,IF(A24='Données projet'!$A$140,'Données projet'!$B$140,CT23+CS24-DB23)))</f>
        <v>146</v>
      </c>
      <c r="CU24" s="17">
        <f>CT24*VLOOKUP('Données projet'!$B$13,Paramètres!$A$1:$I$89,3,0)*VLOOKUP('Données projet'!$B$13,Paramètres!$A$1:$I$89,5,0)</f>
        <v>79.716000000000008</v>
      </c>
      <c r="CV24" s="13">
        <f t="shared" si="41"/>
        <v>22.067730286351054</v>
      </c>
      <c r="CW24" s="20">
        <f t="shared" si="13"/>
        <v>177.27333024872806</v>
      </c>
      <c r="CX24" s="59">
        <f t="shared" si="14"/>
        <v>459.6066635820614</v>
      </c>
      <c r="CY24" s="59">
        <f ca="1">AVERAGE(OFFSET($CX$3,0,0,'Données projet'!$E$13+1,1))-AVERAGE(OFFSET($H$3,0,0,'Données projet'!$E$13+1,1))</f>
        <v>214.22606988805535</v>
      </c>
      <c r="CZ24" s="59">
        <f t="shared" si="42"/>
        <v>305.78163836959078</v>
      </c>
      <c r="DA24" s="15">
        <f>IF(ISNA(VLOOKUP(A24,'Données projet'!$A$139:$I$159,3,0)),0,VLOOKUP(A24,'Données projet'!$A$139:$I$159,3,0))</f>
        <v>2</v>
      </c>
      <c r="DB24" s="15">
        <f>IF(ISNA(VLOOKUP(A24,'Données projet'!$A$139:$I$159,4,0)),0,VLOOKUP(A24,'Données projet'!$A$139:$I$159,4,0))</f>
        <v>26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0.36</v>
      </c>
      <c r="DE24" s="16">
        <f>IF(ISNA(VLOOKUP(A24,'Données projet'!$A$139:$I$159,7,0)),0%,VLOOKUP(A24,'Données projet'!$A$139:$I$159,7,0))</f>
        <v>0.4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11.532668803074664</v>
      </c>
      <c r="DH24" s="21">
        <f>EXP(-LN(2)/2)*DH23+(1-EXP(-LN(2)/2))/(LN(2)/2)*DB24*DE24*VLOOKUP('Données projet'!$B$13,Paramètres!$A$1:$I$89,3,0)*0.475*44/12</f>
        <v>8.17779823011759</v>
      </c>
      <c r="DI24" s="22">
        <f t="shared" si="15"/>
        <v>19.710467033192252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12.6</v>
      </c>
      <c r="DO24" s="12">
        <f>IF('Données projet'!$A$166&gt;35,DO23+DN24-DW23,IF(A24&lt;'Données projet'!$A$166,$DL$205^A24,IF(A24='Données projet'!$A$166,'Données projet'!$B$166,DO23+DN24-DW23)))</f>
        <v>64.599999999999994</v>
      </c>
      <c r="DP24" s="17">
        <f>DO24*VLOOKUP('Données projet'!$B$14,Paramètres!$A$1:$I$89,3,0)*VLOOKUP('Données projet'!$B$14,Paramètres!$A$1:$I$89,5,0)</f>
        <v>52.40352</v>
      </c>
      <c r="DQ24" s="13">
        <f t="shared" si="43"/>
        <v>15.232772897226488</v>
      </c>
      <c r="DR24" s="20">
        <f t="shared" si="16"/>
        <v>117.79987679600281</v>
      </c>
      <c r="DS24" s="59">
        <f t="shared" si="17"/>
        <v>400.13321012933613</v>
      </c>
      <c r="DT24" s="59">
        <f ca="1">AVERAGE(OFFSET($DS$3,0,0,'Données projet'!$E$14+1,1))-AVERAGE(OFFSET($H$3,0,0,'Données projet'!$E$14+1,1))</f>
        <v>304.26232113495314</v>
      </c>
      <c r="DU24" s="59">
        <f t="shared" si="44"/>
        <v>297.47246687305056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12.6</v>
      </c>
      <c r="EJ24" s="12">
        <f>IF('Données projet'!$A$192&gt;35,EJ23+EI24-ER23,IF(A24&lt;'Données projet'!$A$192,$EG$205^A24,IF(A24='Données projet'!$A$192,'Données projet'!$B$192,EJ23+EI24-ER23)))</f>
        <v>64.599999999999994</v>
      </c>
      <c r="EK24" s="17">
        <f>EJ24*VLOOKUP('Données projet'!$B$15,Paramètres!$A$1:$I$89,3,0)*VLOOKUP('Données projet'!$B$15,Paramètres!$A$1:$I$89,5,0)</f>
        <v>62.481120000000004</v>
      </c>
      <c r="EL24" s="13">
        <f t="shared" si="45"/>
        <v>17.794087004039255</v>
      </c>
      <c r="EM24" s="20">
        <f t="shared" si="19"/>
        <v>139.81265219870173</v>
      </c>
      <c r="EN24" s="59">
        <f t="shared" si="20"/>
        <v>422.14598553203507</v>
      </c>
      <c r="EO24" s="59">
        <f ca="1">AVERAGE(OFFSET($EN$3,0,0,'Données projet'!$E$15+1,1))-AVERAGE(OFFSET($H$3,0,0,'Données projet'!$E$15+1,1))</f>
        <v>355.72173590705142</v>
      </c>
      <c r="EP24" s="59">
        <f t="shared" si="46"/>
        <v>346.30980704469363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12.6</v>
      </c>
      <c r="FE24" s="12">
        <f>IF('Données projet'!$A$218&gt;35,FE23+FD24-FM23,IF(A24&lt;'Données projet'!$A$218,$FB$205^A24,IF(A24='Données projet'!$A$218,'Données projet'!$B$218,FE23+FD24-FM23)))</f>
        <v>64.599999999999994</v>
      </c>
      <c r="FF24" s="17">
        <f>FE24*VLOOKUP('Données projet'!$B$16,Paramètres!$A$1:$I$89,3,0)*VLOOKUP('Données projet'!$B$16,Paramètres!$A$1:$I$89,5,0)</f>
        <v>47.364719999999991</v>
      </c>
      <c r="FG24" s="13">
        <f t="shared" si="47"/>
        <v>13.931057351916726</v>
      </c>
      <c r="FH24" s="20">
        <f t="shared" si="22"/>
        <v>106.75681222125495</v>
      </c>
      <c r="FI24" s="59">
        <f t="shared" si="23"/>
        <v>389.09014555458828</v>
      </c>
      <c r="FJ24" s="59">
        <f ca="1">AVERAGE(OFFSET($FI$3,0,0,'Données projet'!$E$16+1,1))-AVERAGE(OFFSET($H$3,0,0,'Données projet'!$E$16+1,1))</f>
        <v>278.45534008146865</v>
      </c>
      <c r="FK24" s="59">
        <f t="shared" si="48"/>
        <v>272.97841038165217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3</v>
      </c>
      <c r="N25" s="13">
        <f>IF('Données projet'!$A$36&gt;35,N24+M25-V24,IF(A25&lt;'Données projet'!$A$36,$K$205^A25,IF(A25='Données projet'!$A$36,'Données projet'!$B$36,N24+M25-V24)))</f>
        <v>66</v>
      </c>
      <c r="O25" s="13">
        <f>N25*VLOOKUP('Données projet'!$B$9,Paramètres!$A$1:$I$89,3,0)*VLOOKUP('Données projet'!$B$9,Paramètres!$A$1:$I$89,5,0)</f>
        <v>59.716799999999992</v>
      </c>
      <c r="P25" s="13">
        <f t="shared" si="33"/>
        <v>17.096647463151516</v>
      </c>
      <c r="Q25" s="20">
        <f t="shared" si="2"/>
        <v>133.78342099832221</v>
      </c>
      <c r="R25" s="59">
        <f t="shared" si="0"/>
        <v>417.33897655387773</v>
      </c>
      <c r="S25" s="59">
        <f ca="1">AVERAGE(OFFSET($R$3,0,0,'Données projet'!$E$9+1,1))-AVERAGE(OFFSET($H$3,0,0,'Données projet'!$E$9+1,1))</f>
        <v>436.03161778768742</v>
      </c>
      <c r="T25" s="59">
        <f t="shared" si="34"/>
        <v>217.65884352525285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</v>
      </c>
      <c r="AI25" s="13">
        <f>IF('Données projet'!$A$62&gt;35,AI24+AH25-AQ24,IF(A25&lt;'Données projet'!$A$62,$AF$205^A25,IF(A25='Données projet'!$A$62,'Données projet'!$B$62,AI24+AH25-AQ24)))</f>
        <v>66</v>
      </c>
      <c r="AJ25" s="13">
        <f>AI25*VLOOKUP('Données projet'!$B$10,Paramètres!$A$1:$I$89,3,0)*VLOOKUP('Données projet'!$B$10,Paramètres!$A$1:$I$89,5,0)</f>
        <v>66.924000000000007</v>
      </c>
      <c r="AK25" s="13">
        <f t="shared" si="35"/>
        <v>18.90759204786767</v>
      </c>
      <c r="AL25" s="20">
        <f t="shared" si="4"/>
        <v>149.49002281670286</v>
      </c>
      <c r="AM25" s="59">
        <f t="shared" si="5"/>
        <v>433.04557837225843</v>
      </c>
      <c r="AN25" s="59">
        <f ca="1">AVERAGE(OFFSET($AM$3,0,0,'Données projet'!$E$10+1,1))-AVERAGE(OFFSET($H$3,0,0,'Données projet'!$E$10+1,1))</f>
        <v>483.45320081988984</v>
      </c>
      <c r="AO25" s="59">
        <f t="shared" si="36"/>
        <v>238.92443174298893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9</v>
      </c>
      <c r="BD25" s="12">
        <f>IF('Données projet'!$A$88&gt;35,BD24+BC25-BL24,IF(A25&lt;'Données projet'!$A$88,$BA$205^A25,IF(A25='Données projet'!$A$88,'Données projet'!$B$88,BD24+BC25-BL24)))</f>
        <v>112</v>
      </c>
      <c r="BE25" s="13">
        <f>BD25*VLOOKUP('Données projet'!$B$11,Paramètres!$A$1:$I$89,3,0)*VLOOKUP('Données projet'!$B$11,Paramètres!$A$1:$I$89,5,0)</f>
        <v>97.84320000000001</v>
      </c>
      <c r="BF25" s="13">
        <f t="shared" si="37"/>
        <v>26.447519466918756</v>
      </c>
      <c r="BG25" s="20">
        <f t="shared" si="7"/>
        <v>216.47300307155021</v>
      </c>
      <c r="BH25" s="59">
        <f t="shared" si="8"/>
        <v>500.02855862710578</v>
      </c>
      <c r="BI25" s="59">
        <f ca="1">AVERAGE(OFFSET($BH$3,0,0,'Données projet'!$E$11+1,1))-AVERAGE(OFFSET($H$3,0,0,'Données projet'!$E$11+1,1))</f>
        <v>310.44153296396854</v>
      </c>
      <c r="BJ25" s="59">
        <f t="shared" si="38"/>
        <v>388.05195847800502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28.833333333333332</v>
      </c>
      <c r="BY25" s="12">
        <f>IF('Données projet'!$A$114&gt;35,BY24+BX25-CG24,IF(A25&lt;'Données projet'!$A$114,$BV$205^A25,IF(A25='Données projet'!$A$114,'Données projet'!$B$114,BY24+BX25-CG24)))</f>
        <v>248.50000000000003</v>
      </c>
      <c r="BZ25" s="13">
        <f>BY25*VLOOKUP('Données projet'!$B$12,Paramètres!$A$1:$I$89,3,0)*VLOOKUP('Données projet'!$B$12,Paramètres!$A$1:$I$89,5,0)</f>
        <v>138.91150000000002</v>
      </c>
      <c r="CA25" s="13">
        <f t="shared" si="39"/>
        <v>36.047532265727178</v>
      </c>
      <c r="CB25" s="20">
        <f t="shared" si="10"/>
        <v>304.72031452947482</v>
      </c>
      <c r="CC25" s="59">
        <f t="shared" si="11"/>
        <v>588.27587008503042</v>
      </c>
      <c r="CD25" s="59">
        <f ca="1">AVERAGE(OFFSET($CC$3,0,0,'Données projet'!$E$12+1,1))-AVERAGE(OFFSET($H$3,0,0,'Données projet'!$E$12+1,1))</f>
        <v>443.34220761968419</v>
      </c>
      <c r="CE25" s="59">
        <f t="shared" si="40"/>
        <v>546.58234447298014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16</v>
      </c>
      <c r="CT25" s="12">
        <f>IF('Données projet'!$A$140&gt;35,CT24+CS25-DB24,IF(A25&lt;'Données projet'!$A$140,$CQ$205^A25,IF(A25='Données projet'!$A$140,'Données projet'!$B$140,CT24+CS25-DB24)))</f>
        <v>136</v>
      </c>
      <c r="CU25" s="17">
        <f>CT25*VLOOKUP('Données projet'!$B$13,Paramètres!$A$1:$I$89,3,0)*VLOOKUP('Données projet'!$B$13,Paramètres!$A$1:$I$89,5,0)</f>
        <v>74.256</v>
      </c>
      <c r="CV25" s="13">
        <f t="shared" si="41"/>
        <v>20.726714411291823</v>
      </c>
      <c r="CW25" s="20">
        <f t="shared" si="13"/>
        <v>165.4282275996666</v>
      </c>
      <c r="CX25" s="59">
        <f t="shared" si="14"/>
        <v>448.98378315522211</v>
      </c>
      <c r="CY25" s="59">
        <f ca="1">AVERAGE(OFFSET($CX$3,0,0,'Données projet'!$E$13+1,1))-AVERAGE(OFFSET($H$3,0,0,'Données projet'!$E$13+1,1))</f>
        <v>214.22606988805535</v>
      </c>
      <c r="CZ25" s="59">
        <f t="shared" si="42"/>
        <v>305.78163836959078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11.217307368177893</v>
      </c>
      <c r="DH25" s="21">
        <f>EXP(-LN(2)/2)*DH24+(1-EXP(-LN(2)/2))/(LN(2)/2)*DB25*DE25*VLOOKUP('Données projet'!$B$13,Paramètres!$A$1:$I$89,3,0)*0.475*44/12</f>
        <v>5.7825765836914949</v>
      </c>
      <c r="DI25" s="22">
        <f t="shared" si="15"/>
        <v>16.999883951869389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12.6</v>
      </c>
      <c r="DO25" s="12">
        <f>IF('Données projet'!$A$166&gt;35,DO24+DN25-DW24,IF(A25&lt;'Données projet'!$A$166,$DL$205^A25,IF(A25='Données projet'!$A$166,'Données projet'!$B$166,DO24+DN25-DW24)))</f>
        <v>77.199999999999989</v>
      </c>
      <c r="DP25" s="17">
        <f>DO25*VLOOKUP('Données projet'!$B$14,Paramètres!$A$1:$I$89,3,0)*VLOOKUP('Données projet'!$B$14,Paramètres!$A$1:$I$89,5,0)</f>
        <v>62.624639999999999</v>
      </c>
      <c r="DQ25" s="13">
        <f t="shared" si="43"/>
        <v>17.830197796836153</v>
      </c>
      <c r="DR25" s="20">
        <f t="shared" si="16"/>
        <v>140.12550916282296</v>
      </c>
      <c r="DS25" s="59">
        <f t="shared" si="17"/>
        <v>423.68106471837848</v>
      </c>
      <c r="DT25" s="59">
        <f ca="1">AVERAGE(OFFSET($DS$3,0,0,'Données projet'!$E$14+1,1))-AVERAGE(OFFSET($H$3,0,0,'Données projet'!$E$14+1,1))</f>
        <v>304.26232113495314</v>
      </c>
      <c r="DU25" s="59">
        <f t="shared" si="44"/>
        <v>297.47246687305056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12.6</v>
      </c>
      <c r="EJ25" s="12">
        <f>IF('Données projet'!$A$192&gt;35,EJ24+EI25-ER24,IF(A25&lt;'Données projet'!$A$192,$EG$205^A25,IF(A25='Données projet'!$A$192,'Données projet'!$B$192,EJ24+EI25-ER24)))</f>
        <v>77.199999999999989</v>
      </c>
      <c r="EK25" s="17">
        <f>EJ25*VLOOKUP('Données projet'!$B$15,Paramètres!$A$1:$I$89,3,0)*VLOOKUP('Données projet'!$B$15,Paramètres!$A$1:$I$89,5,0)</f>
        <v>74.667839999999984</v>
      </c>
      <c r="EL25" s="13">
        <f t="shared" si="45"/>
        <v>20.8282558295016</v>
      </c>
      <c r="EM25" s="20">
        <f t="shared" si="19"/>
        <v>166.32236690304859</v>
      </c>
      <c r="EN25" s="59">
        <f t="shared" si="20"/>
        <v>449.87792245860413</v>
      </c>
      <c r="EO25" s="59">
        <f ca="1">AVERAGE(OFFSET($EN$3,0,0,'Données projet'!$E$15+1,1))-AVERAGE(OFFSET($H$3,0,0,'Données projet'!$E$15+1,1))</f>
        <v>355.72173590705142</v>
      </c>
      <c r="EP25" s="59">
        <f t="shared" si="46"/>
        <v>346.30980704469363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12.6</v>
      </c>
      <c r="FE25" s="12">
        <f>IF('Données projet'!$A$218&gt;35,FE24+FD25-FM24,IF(A25&lt;'Données projet'!$A$218,$FB$205^A25,IF(A25='Données projet'!$A$218,'Données projet'!$B$218,FE24+FD25-FM24)))</f>
        <v>77.199999999999989</v>
      </c>
      <c r="FF25" s="17">
        <f>FE25*VLOOKUP('Données projet'!$B$16,Paramètres!$A$1:$I$89,3,0)*VLOOKUP('Données projet'!$B$16,Paramètres!$A$1:$I$89,5,0)</f>
        <v>56.603039999999986</v>
      </c>
      <c r="FG25" s="13">
        <f t="shared" si="47"/>
        <v>16.306519487923971</v>
      </c>
      <c r="FH25" s="20">
        <f t="shared" si="22"/>
        <v>126.98414944146755</v>
      </c>
      <c r="FI25" s="59">
        <f t="shared" si="23"/>
        <v>410.53970499702308</v>
      </c>
      <c r="FJ25" s="59">
        <f ca="1">AVERAGE(OFFSET($FI$3,0,0,'Données projet'!$E$16+1,1))-AVERAGE(OFFSET($H$3,0,0,'Données projet'!$E$16+1,1))</f>
        <v>278.45534008146865</v>
      </c>
      <c r="FK25" s="59">
        <f t="shared" si="48"/>
        <v>272.97841038165217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3</v>
      </c>
      <c r="N26" s="13">
        <f>IF('Données projet'!$A$36&gt;35,N25+M26-V25,IF(A26&lt;'Données projet'!$A$36,$K$205^A26,IF(A26='Données projet'!$A$36,'Données projet'!$B$36,N25+M26-V25)))</f>
        <v>69</v>
      </c>
      <c r="O26" s="13">
        <f>N26*VLOOKUP('Données projet'!$B$9,Paramètres!$A$1:$I$89,3,0)*VLOOKUP('Données projet'!$B$9,Paramètres!$A$1:$I$89,5,0)</f>
        <v>62.431199999999997</v>
      </c>
      <c r="P26" s="13">
        <f t="shared" si="33"/>
        <v>17.781524466058684</v>
      </c>
      <c r="Q26" s="20">
        <f t="shared" si="2"/>
        <v>139.70382844505221</v>
      </c>
      <c r="R26" s="59">
        <f t="shared" si="0"/>
        <v>424.48160622283001</v>
      </c>
      <c r="S26" s="59">
        <f ca="1">AVERAGE(OFFSET($R$3,0,0,'Données projet'!$E$9+1,1))-AVERAGE(OFFSET($H$3,0,0,'Données projet'!$E$9+1,1))</f>
        <v>436.03161778768742</v>
      </c>
      <c r="T26" s="59">
        <f t="shared" si="34"/>
        <v>217.65884352525285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</v>
      </c>
      <c r="AI26" s="13">
        <f>IF('Données projet'!$A$62&gt;35,AI25+AH26-AQ25,IF(A26&lt;'Données projet'!$A$62,$AF$205^A26,IF(A26='Données projet'!$A$62,'Données projet'!$B$62,AI25+AH26-AQ25)))</f>
        <v>69</v>
      </c>
      <c r="AJ26" s="13">
        <f>AI26*VLOOKUP('Données projet'!$B$10,Paramètres!$A$1:$I$89,3,0)*VLOOKUP('Données projet'!$B$10,Paramètres!$A$1:$I$89,5,0)</f>
        <v>69.966000000000008</v>
      </c>
      <c r="AK26" s="13">
        <f t="shared" si="35"/>
        <v>19.665013934342461</v>
      </c>
      <c r="AL26" s="20">
        <f t="shared" si="4"/>
        <v>156.10734926897979</v>
      </c>
      <c r="AM26" s="59">
        <f t="shared" si="5"/>
        <v>440.88512704675759</v>
      </c>
      <c r="AN26" s="59">
        <f ca="1">AVERAGE(OFFSET($AM$3,0,0,'Données projet'!$E$10+1,1))-AVERAGE(OFFSET($H$3,0,0,'Données projet'!$E$10+1,1))</f>
        <v>483.45320081988984</v>
      </c>
      <c r="AO26" s="59">
        <f t="shared" si="36"/>
        <v>238.92443174298893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9</v>
      </c>
      <c r="BD26" s="12">
        <f>IF('Données projet'!$A$88&gt;35,BD25+BC26-BL25,IF(A26&lt;'Données projet'!$A$88,$BA$205^A26,IF(A26='Données projet'!$A$88,'Données projet'!$B$88,BD25+BC26-BL25)))</f>
        <v>121</v>
      </c>
      <c r="BE26" s="13">
        <f>BD26*VLOOKUP('Données projet'!$B$11,Paramètres!$A$1:$I$89,3,0)*VLOOKUP('Données projet'!$B$11,Paramètres!$A$1:$I$89,5,0)</f>
        <v>105.70560000000002</v>
      </c>
      <c r="BF26" s="13">
        <f t="shared" si="37"/>
        <v>28.316857405559993</v>
      </c>
      <c r="BG26" s="20">
        <f t="shared" si="7"/>
        <v>233.42244664801697</v>
      </c>
      <c r="BH26" s="59">
        <f t="shared" si="8"/>
        <v>518.20022442579477</v>
      </c>
      <c r="BI26" s="59">
        <f ca="1">AVERAGE(OFFSET($BH$3,0,0,'Données projet'!$E$11+1,1))-AVERAGE(OFFSET($H$3,0,0,'Données projet'!$E$11+1,1))</f>
        <v>310.44153296396854</v>
      </c>
      <c r="BJ26" s="59">
        <f t="shared" si="38"/>
        <v>388.05195847800502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28.833333333333332</v>
      </c>
      <c r="BY26" s="12">
        <f>IF('Données projet'!$A$114&gt;35,BY25+BX26-CG25,IF(A26&lt;'Données projet'!$A$114,$BV$205^A26,IF(A26='Données projet'!$A$114,'Données projet'!$B$114,BY25+BX26-CG25)))</f>
        <v>277.33333333333337</v>
      </c>
      <c r="BZ26" s="13">
        <f>BY26*VLOOKUP('Données projet'!$B$12,Paramètres!$A$1:$I$89,3,0)*VLOOKUP('Données projet'!$B$12,Paramètres!$A$1:$I$89,5,0)</f>
        <v>155.02933333333334</v>
      </c>
      <c r="CA26" s="13">
        <f t="shared" si="39"/>
        <v>39.719316712120367</v>
      </c>
      <c r="CB26" s="20">
        <f t="shared" si="10"/>
        <v>339.1872321624985</v>
      </c>
      <c r="CC26" s="59">
        <f t="shared" si="11"/>
        <v>623.96500994027633</v>
      </c>
      <c r="CD26" s="59">
        <f ca="1">AVERAGE(OFFSET($CC$3,0,0,'Données projet'!$E$12+1,1))-AVERAGE(OFFSET($H$3,0,0,'Données projet'!$E$12+1,1))</f>
        <v>443.34220761968419</v>
      </c>
      <c r="CE26" s="59">
        <f t="shared" si="40"/>
        <v>546.58234447298014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16</v>
      </c>
      <c r="CT26" s="12">
        <f>IF('Données projet'!$A$140&gt;35,CT25+CS26-DB25,IF(A26&lt;'Données projet'!$A$140,$CQ$205^A26,IF(A26='Données projet'!$A$140,'Données projet'!$B$140,CT25+CS26-DB25)))</f>
        <v>152</v>
      </c>
      <c r="CU26" s="17">
        <f>CT26*VLOOKUP('Données projet'!$B$13,Paramètres!$A$1:$I$89,3,0)*VLOOKUP('Données projet'!$B$13,Paramètres!$A$1:$I$89,5,0)</f>
        <v>82.992000000000004</v>
      </c>
      <c r="CV26" s="13">
        <f t="shared" si="41"/>
        <v>22.867173045817324</v>
      </c>
      <c r="CW26" s="20">
        <f t="shared" si="13"/>
        <v>184.37139305479852</v>
      </c>
      <c r="CX26" s="59">
        <f t="shared" si="14"/>
        <v>469.14917083257626</v>
      </c>
      <c r="CY26" s="59">
        <f ca="1">AVERAGE(OFFSET($CX$3,0,0,'Données projet'!$E$13+1,1))-AVERAGE(OFFSET($H$3,0,0,'Données projet'!$E$13+1,1))</f>
        <v>214.22606988805535</v>
      </c>
      <c r="CZ26" s="59">
        <f t="shared" si="42"/>
        <v>305.78163836959078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10.910569508302512</v>
      </c>
      <c r="DH26" s="21">
        <f>EXP(-LN(2)/2)*DH25+(1-EXP(-LN(2)/2))/(LN(2)/2)*DB26*DE26*VLOOKUP('Données projet'!$B$13,Paramètres!$A$1:$I$89,3,0)*0.475*44/12</f>
        <v>4.0888991150587959</v>
      </c>
      <c r="DI26" s="22">
        <f t="shared" si="15"/>
        <v>14.999468623361308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12.6</v>
      </c>
      <c r="DO26" s="12">
        <f>IF('Données projet'!$A$166&gt;35,DO25+DN26-DW25,IF(A26&lt;'Données projet'!$A$166,$DL$205^A26,IF(A26='Données projet'!$A$166,'Données projet'!$B$166,DO25+DN26-DW25)))</f>
        <v>89.799999999999983</v>
      </c>
      <c r="DP26" s="17">
        <f>DO26*VLOOKUP('Données projet'!$B$14,Paramètres!$A$1:$I$89,3,0)*VLOOKUP('Données projet'!$B$14,Paramètres!$A$1:$I$89,5,0)</f>
        <v>72.845759999999984</v>
      </c>
      <c r="DQ26" s="13">
        <f t="shared" si="43"/>
        <v>20.378512751497539</v>
      </c>
      <c r="DR26" s="20">
        <f t="shared" si="16"/>
        <v>162.36560837552486</v>
      </c>
      <c r="DS26" s="59">
        <f t="shared" si="17"/>
        <v>447.14338615330263</v>
      </c>
      <c r="DT26" s="59">
        <f ca="1">AVERAGE(OFFSET($DS$3,0,0,'Données projet'!$E$14+1,1))-AVERAGE(OFFSET($H$3,0,0,'Données projet'!$E$14+1,1))</f>
        <v>304.26232113495314</v>
      </c>
      <c r="DU26" s="59">
        <f t="shared" si="44"/>
        <v>297.47246687305056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12.6</v>
      </c>
      <c r="EJ26" s="12">
        <f>IF('Données projet'!$A$192&gt;35,EJ25+EI26-ER25,IF(A26&lt;'Données projet'!$A$192,$EG$205^A26,IF(A26='Données projet'!$A$192,'Données projet'!$B$192,EJ25+EI26-ER25)))</f>
        <v>89.799999999999983</v>
      </c>
      <c r="EK26" s="17">
        <f>EJ26*VLOOKUP('Données projet'!$B$15,Paramètres!$A$1:$I$89,3,0)*VLOOKUP('Données projet'!$B$15,Paramètres!$A$1:$I$89,5,0)</f>
        <v>86.854559999999978</v>
      </c>
      <c r="EL26" s="13">
        <f t="shared" si="45"/>
        <v>23.805057119908486</v>
      </c>
      <c r="EM26" s="20">
        <f t="shared" si="19"/>
        <v>192.73216648384053</v>
      </c>
      <c r="EN26" s="59">
        <f t="shared" si="20"/>
        <v>477.50994426161833</v>
      </c>
      <c r="EO26" s="59">
        <f ca="1">AVERAGE(OFFSET($EN$3,0,0,'Données projet'!$E$15+1,1))-AVERAGE(OFFSET($H$3,0,0,'Données projet'!$E$15+1,1))</f>
        <v>355.72173590705142</v>
      </c>
      <c r="EP26" s="59">
        <f t="shared" si="46"/>
        <v>346.30980704469363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12.6</v>
      </c>
      <c r="FE26" s="12">
        <f>IF('Données projet'!$A$218&gt;35,FE25+FD26-FM25,IF(A26&lt;'Données projet'!$A$218,$FB$205^A26,IF(A26='Données projet'!$A$218,'Données projet'!$B$218,FE25+FD26-FM25)))</f>
        <v>89.799999999999983</v>
      </c>
      <c r="FF26" s="17">
        <f>FE26*VLOOKUP('Données projet'!$B$16,Paramètres!$A$1:$I$89,3,0)*VLOOKUP('Données projet'!$B$16,Paramètres!$A$1:$I$89,5,0)</f>
        <v>65.84135999999998</v>
      </c>
      <c r="FG26" s="13">
        <f t="shared" si="47"/>
        <v>18.637068365902625</v>
      </c>
      <c r="FH26" s="20">
        <f t="shared" si="22"/>
        <v>147.13326273728035</v>
      </c>
      <c r="FI26" s="59">
        <f t="shared" si="23"/>
        <v>431.91104051505812</v>
      </c>
      <c r="FJ26" s="59">
        <f ca="1">AVERAGE(OFFSET($FI$3,0,0,'Données projet'!$E$16+1,1))-AVERAGE(OFFSET($H$3,0,0,'Données projet'!$E$16+1,1))</f>
        <v>278.45534008146865</v>
      </c>
      <c r="FK26" s="59">
        <f t="shared" si="48"/>
        <v>272.97841038165217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3</v>
      </c>
      <c r="N27" s="13">
        <f>IF('Données projet'!$A$36&gt;35,N26+M27-V26,IF(A27&lt;'Données projet'!$A$36,$K$205^A27,IF(A27='Données projet'!$A$36,'Données projet'!$B$36,N26+M27-V26)))</f>
        <v>72</v>
      </c>
      <c r="O27" s="13">
        <f>N27*VLOOKUP('Données projet'!$B$9,Paramètres!$A$1:$I$89,3,0)*VLOOKUP('Données projet'!$B$9,Paramètres!$A$1:$I$89,5,0)</f>
        <v>65.145600000000002</v>
      </c>
      <c r="P27" s="13">
        <f t="shared" si="33"/>
        <v>18.462943001028204</v>
      </c>
      <c r="Q27" s="20">
        <f t="shared" si="2"/>
        <v>145.61821239345747</v>
      </c>
      <c r="R27" s="59">
        <f t="shared" si="0"/>
        <v>431.6182123934575</v>
      </c>
      <c r="S27" s="59">
        <f ca="1">AVERAGE(OFFSET($R$3,0,0,'Données projet'!$E$9+1,1))-AVERAGE(OFFSET($H$3,0,0,'Données projet'!$E$9+1,1))</f>
        <v>436.03161778768742</v>
      </c>
      <c r="T27" s="59">
        <f t="shared" si="34"/>
        <v>217.65884352525285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</v>
      </c>
      <c r="AI27" s="13">
        <f>IF('Données projet'!$A$62&gt;35,AI26+AH27-AQ26,IF(A27&lt;'Données projet'!$A$62,$AF$205^A27,IF(A27='Données projet'!$A$62,'Données projet'!$B$62,AI26+AH27-AQ26)))</f>
        <v>72</v>
      </c>
      <c r="AJ27" s="13">
        <f>AI27*VLOOKUP('Données projet'!$B$10,Paramètres!$A$1:$I$89,3,0)*VLOOKUP('Données projet'!$B$10,Paramètres!$A$1:$I$89,5,0)</f>
        <v>73.00800000000001</v>
      </c>
      <c r="AK27" s="13">
        <f t="shared" si="35"/>
        <v>20.418611018263636</v>
      </c>
      <c r="AL27" s="20">
        <f t="shared" si="4"/>
        <v>162.7180141901425</v>
      </c>
      <c r="AM27" s="59">
        <f t="shared" si="5"/>
        <v>448.71801419014253</v>
      </c>
      <c r="AN27" s="59">
        <f ca="1">AVERAGE(OFFSET($AM$3,0,0,'Données projet'!$E$10+1,1))-AVERAGE(OFFSET($H$3,0,0,'Données projet'!$E$10+1,1))</f>
        <v>483.45320081988984</v>
      </c>
      <c r="AO27" s="59">
        <f t="shared" si="36"/>
        <v>238.92443174298893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9</v>
      </c>
      <c r="BD27" s="12">
        <f>IF('Données projet'!$A$88&gt;35,BD26+BC27-BL26,IF(A27&lt;'Données projet'!$A$88,$BA$205^A27,IF(A27='Données projet'!$A$88,'Données projet'!$B$88,BD26+BC27-BL26)))</f>
        <v>130</v>
      </c>
      <c r="BE27" s="13">
        <f>BD27*VLOOKUP('Données projet'!$B$11,Paramètres!$A$1:$I$89,3,0)*VLOOKUP('Données projet'!$B$11,Paramètres!$A$1:$I$89,5,0)</f>
        <v>113.56800000000003</v>
      </c>
      <c r="BF27" s="13">
        <f t="shared" si="37"/>
        <v>30.17006506205821</v>
      </c>
      <c r="BG27" s="20">
        <f t="shared" si="7"/>
        <v>250.34379664975143</v>
      </c>
      <c r="BH27" s="59">
        <f t="shared" si="8"/>
        <v>536.34379664975143</v>
      </c>
      <c r="BI27" s="59">
        <f ca="1">AVERAGE(OFFSET($BH$3,0,0,'Données projet'!$E$11+1,1))-AVERAGE(OFFSET($H$3,0,0,'Données projet'!$E$11+1,1))</f>
        <v>310.44153296396854</v>
      </c>
      <c r="BJ27" s="59">
        <f t="shared" si="38"/>
        <v>388.05195847800502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28.833333333333332</v>
      </c>
      <c r="BY27" s="12">
        <f>IF('Données projet'!$A$114&gt;35,BY26+BX27-CG26,IF(A27&lt;'Données projet'!$A$114,$BV$205^A27,IF(A27='Données projet'!$A$114,'Données projet'!$B$114,BY26+BX27-CG26)))</f>
        <v>306.16666666666669</v>
      </c>
      <c r="BZ27" s="13">
        <f>BY27*VLOOKUP('Données projet'!$B$12,Paramètres!$A$1:$I$89,3,0)*VLOOKUP('Données projet'!$B$12,Paramètres!$A$1:$I$89,5,0)</f>
        <v>171.14716666666669</v>
      </c>
      <c r="CA27" s="13">
        <f t="shared" si="39"/>
        <v>43.346850105371793</v>
      </c>
      <c r="CB27" s="20">
        <f t="shared" si="10"/>
        <v>373.57707921130037</v>
      </c>
      <c r="CC27" s="59">
        <f t="shared" si="11"/>
        <v>659.57707921130032</v>
      </c>
      <c r="CD27" s="59">
        <f ca="1">AVERAGE(OFFSET($CC$3,0,0,'Données projet'!$E$12+1,1))-AVERAGE(OFFSET($H$3,0,0,'Données projet'!$E$12+1,1))</f>
        <v>443.34220761968419</v>
      </c>
      <c r="CE27" s="59">
        <f t="shared" si="40"/>
        <v>546.58234447298014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>
        <f>VLOOKUP(A27,'Données projet'!$A$139:$I$159,2,0)</f>
        <v>168</v>
      </c>
      <c r="CR27" s="12">
        <f>VLOOKUP(A27,'Données projet'!$A$139:$I$159,9,0)</f>
        <v>16</v>
      </c>
      <c r="CS27" s="12">
        <f t="array" ref="CS27">INDEX(CR:CR,MIN(IF(ISNUMBER(CR27:CR223),ROW(CR27:CR223),"")))</f>
        <v>16</v>
      </c>
      <c r="CT27" s="12">
        <f>IF('Données projet'!$A$140&gt;35,CT26+CS27-DB26,IF(A27&lt;'Données projet'!$A$140,$CQ$205^A27,IF(A27='Données projet'!$A$140,'Données projet'!$B$140,CT26+CS27-DB26)))</f>
        <v>168</v>
      </c>
      <c r="CU27" s="17">
        <f>CT27*VLOOKUP('Données projet'!$B$13,Paramètres!$A$1:$I$89,3,0)*VLOOKUP('Données projet'!$B$13,Paramètres!$A$1:$I$89,5,0)</f>
        <v>91.728000000000009</v>
      </c>
      <c r="CV27" s="13">
        <f t="shared" si="41"/>
        <v>24.981514582386563</v>
      </c>
      <c r="CW27" s="20">
        <f t="shared" si="13"/>
        <v>203.26907123098991</v>
      </c>
      <c r="CX27" s="59">
        <f t="shared" si="14"/>
        <v>489.26907123098988</v>
      </c>
      <c r="CY27" s="59">
        <f ca="1">AVERAGE(OFFSET($CX$3,0,0,'Données projet'!$E$13+1,1))-AVERAGE(OFFSET($H$3,0,0,'Données projet'!$E$13+1,1))</f>
        <v>214.22606988805535</v>
      </c>
      <c r="CZ27" s="59">
        <f t="shared" si="42"/>
        <v>305.78163836959078</v>
      </c>
      <c r="DA27" s="15">
        <f>IF(ISNA(VLOOKUP(A27,'Données projet'!$A$139:$I$159,3,0)),0,VLOOKUP(A27,'Données projet'!$A$139:$I$159,3,0))</f>
        <v>3</v>
      </c>
      <c r="DB27" s="15">
        <f>IF(ISNA(VLOOKUP(A27,'Données projet'!$A$139:$I$159,4,0)),0,VLOOKUP(A27,'Données projet'!$A$139:$I$159,4,0))</f>
        <v>29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0.36</v>
      </c>
      <c r="DE27" s="16">
        <f>IF(ISNA(VLOOKUP(A27,'Données projet'!$A$139:$I$159,7,0)),0%,VLOOKUP(A27,'Données projet'!$A$139:$I$159,7,0))</f>
        <v>0.4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18.14418174783124</v>
      </c>
      <c r="DH27" s="21">
        <f>EXP(-LN(2)/2)*DH26+(1-EXP(-LN(2)/2))/(LN(2)/2)*DB27*DE27*VLOOKUP('Données projet'!$B$13,Paramètres!$A$1:$I$89,3,0)*0.475*44/12</f>
        <v>10.062394771459372</v>
      </c>
      <c r="DI27" s="22">
        <f t="shared" si="15"/>
        <v>28.206576519290614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12.6</v>
      </c>
      <c r="DO27" s="12">
        <f>IF('Données projet'!$A$166&gt;35,DO26+DN27-DW26,IF(A27&lt;'Données projet'!$A$166,$DL$205^A27,IF(A27='Données projet'!$A$166,'Données projet'!$B$166,DO26+DN27-DW26)))</f>
        <v>102.39999999999998</v>
      </c>
      <c r="DP27" s="17">
        <f>DO27*VLOOKUP('Données projet'!$B$14,Paramètres!$A$1:$I$89,3,0)*VLOOKUP('Données projet'!$B$14,Paramètres!$A$1:$I$89,5,0)</f>
        <v>83.066879999999983</v>
      </c>
      <c r="DQ27" s="13">
        <f t="shared" si="43"/>
        <v>22.88540255569357</v>
      </c>
      <c r="DR27" s="20">
        <f t="shared" si="16"/>
        <v>184.5335587844996</v>
      </c>
      <c r="DS27" s="59">
        <f t="shared" si="17"/>
        <v>470.53355878449963</v>
      </c>
      <c r="DT27" s="59">
        <f ca="1">AVERAGE(OFFSET($DS$3,0,0,'Données projet'!$E$14+1,1))-AVERAGE(OFFSET($H$3,0,0,'Données projet'!$E$14+1,1))</f>
        <v>304.26232113495314</v>
      </c>
      <c r="DU27" s="59">
        <f t="shared" si="44"/>
        <v>297.47246687305056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12.6</v>
      </c>
      <c r="EJ27" s="12">
        <f>IF('Données projet'!$A$192&gt;35,EJ26+EI27-ER26,IF(A27&lt;'Données projet'!$A$192,$EG$205^A27,IF(A27='Données projet'!$A$192,'Données projet'!$B$192,EJ26+EI27-ER26)))</f>
        <v>102.39999999999998</v>
      </c>
      <c r="EK27" s="17">
        <f>EJ27*VLOOKUP('Données projet'!$B$15,Paramètres!$A$1:$I$89,3,0)*VLOOKUP('Données projet'!$B$15,Paramètres!$A$1:$I$89,5,0)</f>
        <v>99.041279999999986</v>
      </c>
      <c r="EL27" s="13">
        <f t="shared" si="45"/>
        <v>26.733467829262995</v>
      </c>
      <c r="EM27" s="20">
        <f t="shared" si="19"/>
        <v>219.05768580263302</v>
      </c>
      <c r="EN27" s="59">
        <f t="shared" si="20"/>
        <v>505.05768580263305</v>
      </c>
      <c r="EO27" s="59">
        <f ca="1">AVERAGE(OFFSET($EN$3,0,0,'Données projet'!$E$15+1,1))-AVERAGE(OFFSET($H$3,0,0,'Données projet'!$E$15+1,1))</f>
        <v>355.72173590705142</v>
      </c>
      <c r="EP27" s="59">
        <f t="shared" si="46"/>
        <v>346.30980704469363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12.6</v>
      </c>
      <c r="FE27" s="12">
        <f>IF('Données projet'!$A$218&gt;35,FE26+FD27-FM26,IF(A27&lt;'Données projet'!$A$218,$FB$205^A27,IF(A27='Données projet'!$A$218,'Données projet'!$B$218,FE26+FD27-FM26)))</f>
        <v>102.39999999999998</v>
      </c>
      <c r="FF27" s="17">
        <f>FE27*VLOOKUP('Données projet'!$B$16,Paramètres!$A$1:$I$89,3,0)*VLOOKUP('Données projet'!$B$16,Paramètres!$A$1:$I$89,5,0)</f>
        <v>75.079679999999982</v>
      </c>
      <c r="FG27" s="13">
        <f t="shared" si="47"/>
        <v>20.929732076759169</v>
      </c>
      <c r="FH27" s="20">
        <f t="shared" si="22"/>
        <v>167.2163927003555</v>
      </c>
      <c r="FI27" s="59">
        <f t="shared" si="23"/>
        <v>453.21639270035553</v>
      </c>
      <c r="FJ27" s="59">
        <f ca="1">AVERAGE(OFFSET($FI$3,0,0,'Données projet'!$E$16+1,1))-AVERAGE(OFFSET($H$3,0,0,'Données projet'!$E$16+1,1))</f>
        <v>278.45534008146865</v>
      </c>
      <c r="FK27" s="59">
        <f t="shared" si="48"/>
        <v>272.97841038165217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3</v>
      </c>
      <c r="N28" s="13">
        <f>IF('Données projet'!$A$36&gt;35,N27+M28-V27,IF(A28&lt;'Données projet'!$A$36,$K$205^A28,IF(A28='Données projet'!$A$36,'Données projet'!$B$36,N27+M28-V27)))</f>
        <v>75</v>
      </c>
      <c r="O28" s="13">
        <f>N28*VLOOKUP('Données projet'!$B$9,Paramètres!$A$1:$I$89,3,0)*VLOOKUP('Données projet'!$B$9,Paramètres!$A$1:$I$89,5,0)</f>
        <v>67.86</v>
      </c>
      <c r="P28" s="13">
        <f t="shared" si="33"/>
        <v>19.141063649731766</v>
      </c>
      <c r="Q28" s="20">
        <f t="shared" si="2"/>
        <v>151.52685252328283</v>
      </c>
      <c r="R28" s="59">
        <f t="shared" si="0"/>
        <v>438.74907474550503</v>
      </c>
      <c r="S28" s="59">
        <f ca="1">AVERAGE(OFFSET($R$3,0,0,'Données projet'!$E$9+1,1))-AVERAGE(OFFSET($H$3,0,0,'Données projet'!$E$9+1,1))</f>
        <v>436.03161778768742</v>
      </c>
      <c r="T28" s="59">
        <f t="shared" si="34"/>
        <v>217.65884352525285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3</v>
      </c>
      <c r="AI28" s="13">
        <f>IF('Données projet'!$A$62&gt;35,AI27+AH28-AQ27,IF(A28&lt;'Données projet'!$A$62,$AF$205^A28,IF(A28='Données projet'!$A$62,'Données projet'!$B$62,AI27+AH28-AQ27)))</f>
        <v>75</v>
      </c>
      <c r="AJ28" s="13">
        <f>AI28*VLOOKUP('Données projet'!$B$10,Paramètres!$A$1:$I$89,3,0)*VLOOKUP('Données projet'!$B$10,Paramètres!$A$1:$I$89,5,0)</f>
        <v>76.05</v>
      </c>
      <c r="AK28" s="13">
        <f t="shared" si="35"/>
        <v>21.16856089074928</v>
      </c>
      <c r="AL28" s="20">
        <f t="shared" si="4"/>
        <v>169.32232688472163</v>
      </c>
      <c r="AM28" s="59">
        <f t="shared" si="5"/>
        <v>456.54454910694386</v>
      </c>
      <c r="AN28" s="59">
        <f ca="1">AVERAGE(OFFSET($AM$3,0,0,'Données projet'!$E$10+1,1))-AVERAGE(OFFSET($H$3,0,0,'Données projet'!$E$10+1,1))</f>
        <v>483.45320081988984</v>
      </c>
      <c r="AO28" s="59">
        <f t="shared" si="36"/>
        <v>238.92443174298893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9</v>
      </c>
      <c r="BD28" s="12">
        <f>IF('Données projet'!$A$88&gt;35,BD27+BC28-BL27,IF(A28&lt;'Données projet'!$A$88,$BA$205^A28,IF(A28='Données projet'!$A$88,'Données projet'!$B$88,BD27+BC28-BL27)))</f>
        <v>139</v>
      </c>
      <c r="BE28" s="13">
        <f>BD28*VLOOKUP('Données projet'!$B$11,Paramètres!$A$1:$I$89,3,0)*VLOOKUP('Données projet'!$B$11,Paramètres!$A$1:$I$89,5,0)</f>
        <v>121.43040000000001</v>
      </c>
      <c r="BF28" s="13">
        <f t="shared" si="37"/>
        <v>32.008386179504484</v>
      </c>
      <c r="BG28" s="20">
        <f t="shared" si="7"/>
        <v>267.23921926263699</v>
      </c>
      <c r="BH28" s="59">
        <f t="shared" si="8"/>
        <v>554.46144148485928</v>
      </c>
      <c r="BI28" s="59">
        <f ca="1">AVERAGE(OFFSET($BH$3,0,0,'Données projet'!$E$11+1,1))-AVERAGE(OFFSET($H$3,0,0,'Données projet'!$E$11+1,1))</f>
        <v>310.44153296396854</v>
      </c>
      <c r="BJ28" s="59">
        <f t="shared" si="38"/>
        <v>388.05195847800502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335</v>
      </c>
      <c r="BW28" s="12">
        <f>VLOOKUP(A28,'Données projet'!$A$113:$I$133,9,0)</f>
        <v>28.833333333333332</v>
      </c>
      <c r="BX28" s="12">
        <f t="array" ref="BX28">INDEX(BW:BW,MIN(IF(ISNUMBER(BW28:BW224),ROW(BW28:BW224),"")))</f>
        <v>28.833333333333332</v>
      </c>
      <c r="BY28" s="12">
        <f>IF('Données projet'!$A$114&gt;35,BY27+BX28-CG27,IF(A28&lt;'Données projet'!$A$114,$BV$205^A28,IF(A28='Données projet'!$A$114,'Données projet'!$B$114,BY27+BX28-CG27)))</f>
        <v>335</v>
      </c>
      <c r="BZ28" s="13">
        <f>BY28*VLOOKUP('Données projet'!$B$12,Paramètres!$A$1:$I$89,3,0)*VLOOKUP('Données projet'!$B$12,Paramètres!$A$1:$I$89,5,0)</f>
        <v>187.26500000000001</v>
      </c>
      <c r="CA28" s="13">
        <f t="shared" si="39"/>
        <v>46.934773872544483</v>
      </c>
      <c r="CB28" s="20">
        <f t="shared" si="10"/>
        <v>407.89793949468162</v>
      </c>
      <c r="CC28" s="59">
        <f t="shared" si="11"/>
        <v>695.12016171690379</v>
      </c>
      <c r="CD28" s="59">
        <f ca="1">AVERAGE(OFFSET($CC$3,0,0,'Données projet'!$E$12+1,1))-AVERAGE(OFFSET($H$3,0,0,'Données projet'!$E$12+1,1))</f>
        <v>443.34220761968419</v>
      </c>
      <c r="CE28" s="59">
        <f t="shared" si="40"/>
        <v>546.58234447298014</v>
      </c>
      <c r="CF28" s="15">
        <f>IF(ISNA(VLOOKUP(A28,'Données projet'!$A$113:$I$133,3,0)),0,VLOOKUP(A28,'Données projet'!$A$113:$I$133,3,0))</f>
        <v>1</v>
      </c>
      <c r="CG28" s="15">
        <f>IF(ISNA(VLOOKUP(A28,'Données projet'!$A$113:$I$133,4,0)),0,VLOOKUP(A28,'Données projet'!$A$113:$I$133,4,0))</f>
        <v>54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0.33</v>
      </c>
      <c r="CJ28" s="16">
        <f>IF(ISNA(VLOOKUP(A28,'Données projet'!$A$113:$I$133,7,0)),0%,VLOOKUP(A28,'Données projet'!$A$113:$I$133,7,0))</f>
        <v>0.4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13.162382457495875</v>
      </c>
      <c r="CM28" s="21">
        <f>EXP(-LN(2)/2)*CM27+(1-EXP(-LN(2)/2))/(LN(2)/2)*CG28*CJ28*VLOOKUP('Données projet'!$B$12,Paramètres!$A$1:$I$89,3,0)*0.475*44/12</f>
        <v>13.67102565325356</v>
      </c>
      <c r="CN28" s="22">
        <f t="shared" si="12"/>
        <v>26.833408110749435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14.166666666666666</v>
      </c>
      <c r="CT28" s="12">
        <f>IF('Données projet'!$A$140&gt;35,CT27+CS28-DB27,IF(A28&lt;'Données projet'!$A$140,$CQ$205^A28,IF(A28='Données projet'!$A$140,'Données projet'!$B$140,CT27+CS28-DB27)))</f>
        <v>153.16666666666666</v>
      </c>
      <c r="CU28" s="17">
        <f>CT28*VLOOKUP('Données projet'!$B$13,Paramètres!$A$1:$I$89,3,0)*VLOOKUP('Données projet'!$B$13,Paramètres!$A$1:$I$89,5,0)</f>
        <v>83.629000000000005</v>
      </c>
      <c r="CV28" s="13">
        <f t="shared" si="41"/>
        <v>23.022189533315533</v>
      </c>
      <c r="CW28" s="20">
        <f t="shared" si="13"/>
        <v>185.75082177052457</v>
      </c>
      <c r="CX28" s="59">
        <f t="shared" si="14"/>
        <v>472.9730439927468</v>
      </c>
      <c r="CY28" s="59">
        <f ca="1">AVERAGE(OFFSET($CX$3,0,0,'Données projet'!$E$13+1,1))-AVERAGE(OFFSET($H$3,0,0,'Données projet'!$E$13+1,1))</f>
        <v>214.22606988805535</v>
      </c>
      <c r="CZ28" s="59">
        <f t="shared" si="42"/>
        <v>305.78163836959078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17.648028143775747</v>
      </c>
      <c r="DH28" s="21">
        <f>EXP(-LN(2)/2)*DH27+(1-EXP(-LN(2)/2))/(LN(2)/2)*DB28*DE28*VLOOKUP('Données projet'!$B$13,Paramètres!$A$1:$I$89,3,0)*0.475*44/12</f>
        <v>7.1151875778749831</v>
      </c>
      <c r="DI28" s="22">
        <f t="shared" si="15"/>
        <v>24.763215721650731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115</v>
      </c>
      <c r="DM28" s="12">
        <f>VLOOKUP(A28,'Données projet'!$A$165:$I$185,9,0)</f>
        <v>12.6</v>
      </c>
      <c r="DN28" s="12">
        <f t="array" ref="DN28">INDEX(DM:DM,MIN(IF(ISNUMBER(DM28:DM224),ROW(DM28:DM224),"")))</f>
        <v>12.6</v>
      </c>
      <c r="DO28" s="12">
        <f>IF('Données projet'!$A$166&gt;35,DO27+DN28-DW27,IF(A28&lt;'Données projet'!$A$166,$DL$205^A28,IF(A28='Données projet'!$A$166,'Données projet'!$B$166,DO27+DN28-DW27)))</f>
        <v>114.99999999999997</v>
      </c>
      <c r="DP28" s="17">
        <f>DO28*VLOOKUP('Données projet'!$B$14,Paramètres!$A$1:$I$89,3,0)*VLOOKUP('Données projet'!$B$14,Paramètres!$A$1:$I$89,5,0)</f>
        <v>93.287999999999982</v>
      </c>
      <c r="DQ28" s="13">
        <f t="shared" si="43"/>
        <v>25.356547829040977</v>
      </c>
      <c r="DR28" s="20">
        <f t="shared" si="16"/>
        <v>206.63925413557965</v>
      </c>
      <c r="DS28" s="59">
        <f t="shared" si="17"/>
        <v>493.86147635780185</v>
      </c>
      <c r="DT28" s="59">
        <f ca="1">AVERAGE(OFFSET($DS$3,0,0,'Données projet'!$E$14+1,1))-AVERAGE(OFFSET($H$3,0,0,'Données projet'!$E$14+1,1))</f>
        <v>304.26232113495314</v>
      </c>
      <c r="DU28" s="59">
        <f t="shared" si="44"/>
        <v>297.47246687305056</v>
      </c>
      <c r="DV28" s="15">
        <f>IF(ISNA(VLOOKUP(A28,'Données projet'!$A$165:$I$185,3,0)),0,VLOOKUP(A28,'Données projet'!$A$165:$I$185,3,0))</f>
        <v>3</v>
      </c>
      <c r="DW28" s="15">
        <f>IF(ISNA(VLOOKUP(A28,'Données projet'!$A$165:$I$185,4,0)),0,VLOOKUP(A28,'Données projet'!$A$165:$I$185,4,0))</f>
        <v>28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115</v>
      </c>
      <c r="EH28" s="12">
        <f>VLOOKUP(A28,'Données projet'!$A$191:$I$211,9,0)</f>
        <v>12.6</v>
      </c>
      <c r="EI28" s="12">
        <f t="array" ref="EI28">INDEX(EH:EH,MIN(IF(ISNUMBER(EH28:EH224),ROW(EH28:EH224),"")))</f>
        <v>12.6</v>
      </c>
      <c r="EJ28" s="12">
        <f>IF('Données projet'!$A$192&gt;35,EJ27+EI28-ER27,IF(A28&lt;'Données projet'!$A$192,$EG$205^A28,IF(A28='Données projet'!$A$192,'Données projet'!$B$192,EJ27+EI28-ER27)))</f>
        <v>114.99999999999997</v>
      </c>
      <c r="EK28" s="17">
        <f>EJ28*VLOOKUP('Données projet'!$B$15,Paramètres!$A$1:$I$89,3,0)*VLOOKUP('Données projet'!$B$15,Paramètres!$A$1:$I$89,5,0)</f>
        <v>111.22799999999998</v>
      </c>
      <c r="EL28" s="13">
        <f t="shared" si="45"/>
        <v>29.620123744783804</v>
      </c>
      <c r="EM28" s="20">
        <f t="shared" si="19"/>
        <v>245.31048218883168</v>
      </c>
      <c r="EN28" s="59">
        <f t="shared" si="20"/>
        <v>532.53270441105394</v>
      </c>
      <c r="EO28" s="59">
        <f ca="1">AVERAGE(OFFSET($EN$3,0,0,'Données projet'!$E$15+1,1))-AVERAGE(OFFSET($H$3,0,0,'Données projet'!$E$15+1,1))</f>
        <v>355.72173590705142</v>
      </c>
      <c r="EP28" s="59">
        <f t="shared" si="46"/>
        <v>346.30980704469363</v>
      </c>
      <c r="EQ28" s="15">
        <f>IF(ISNA(VLOOKUP(A28,'Données projet'!$A$191:$I$211,3,0)),0,VLOOKUP(A28,'Données projet'!$A$191:$I$211,3,0))</f>
        <v>3</v>
      </c>
      <c r="ER28" s="15">
        <f>IF(ISNA(VLOOKUP(A28,'Données projet'!$A$191:$I$211,4,0)),0,VLOOKUP(A28,'Données projet'!$A$191:$I$211,4,0))</f>
        <v>28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>
        <f>VLOOKUP(A28,'Données projet'!$A$217:$I$237,2,0)</f>
        <v>115</v>
      </c>
      <c r="FC28" s="12">
        <f>VLOOKUP(A28,'Données projet'!$A$217:$I$237,9,0)</f>
        <v>12.6</v>
      </c>
      <c r="FD28" s="12">
        <f t="array" ref="FD28">INDEX(FC:FC,MIN(IF(ISNUMBER(FC28:FC224),ROW(FC28:FC224),"")))</f>
        <v>12.6</v>
      </c>
      <c r="FE28" s="12">
        <f>IF('Données projet'!$A$218&gt;35,FE27+FD28-FM27,IF(A28&lt;'Données projet'!$A$218,$FB$205^A28,IF(A28='Données projet'!$A$218,'Données projet'!$B$218,FE27+FD28-FM27)))</f>
        <v>114.99999999999997</v>
      </c>
      <c r="FF28" s="17">
        <f>FE28*VLOOKUP('Données projet'!$B$16,Paramètres!$A$1:$I$89,3,0)*VLOOKUP('Données projet'!$B$16,Paramètres!$A$1:$I$89,5,0)</f>
        <v>84.317999999999969</v>
      </c>
      <c r="FG28" s="13">
        <f t="shared" si="47"/>
        <v>23.189705803157239</v>
      </c>
      <c r="FH28" s="20">
        <f t="shared" si="22"/>
        <v>187.24258760716546</v>
      </c>
      <c r="FI28" s="59">
        <f t="shared" si="23"/>
        <v>474.46480982938772</v>
      </c>
      <c r="FJ28" s="59">
        <f ca="1">AVERAGE(OFFSET($FI$3,0,0,'Données projet'!$E$16+1,1))-AVERAGE(OFFSET($H$3,0,0,'Données projet'!$E$16+1,1))</f>
        <v>278.45534008146865</v>
      </c>
      <c r="FK28" s="59">
        <f t="shared" si="48"/>
        <v>272.97841038165217</v>
      </c>
      <c r="FL28" s="15">
        <f>IF(ISNA(VLOOKUP(A28,'Données projet'!$A$217:$I$237,3,0)),0,VLOOKUP(A28,'Données projet'!$A$217:$I$237,3,0))</f>
        <v>3</v>
      </c>
      <c r="FM28" s="15">
        <f>IF(ISNA(VLOOKUP(A28,'Données projet'!$A$217:$I$237,4,0)),0,VLOOKUP(A28,'Données projet'!$A$217:$I$237,4,0))</f>
        <v>28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3</v>
      </c>
      <c r="N29" s="13">
        <f>IF('Données projet'!$A$36&gt;35,N28+M29-V28,IF(A29&lt;'Données projet'!$A$36,$K$205^A29,IF(A29='Données projet'!$A$36,'Données projet'!$B$36,N28+M29-V28)))</f>
        <v>78</v>
      </c>
      <c r="O29" s="13">
        <f>N29*VLOOKUP('Données projet'!$B$9,Paramètres!$A$1:$I$89,3,0)*VLOOKUP('Données projet'!$B$9,Paramètres!$A$1:$I$89,5,0)</f>
        <v>70.574399999999997</v>
      </c>
      <c r="P29" s="13">
        <f t="shared" si="33"/>
        <v>19.816033420152426</v>
      </c>
      <c r="Q29" s="20">
        <f t="shared" si="2"/>
        <v>157.43000487343213</v>
      </c>
      <c r="R29" s="59">
        <f t="shared" si="0"/>
        <v>445.87444931787661</v>
      </c>
      <c r="S29" s="59">
        <f ca="1">AVERAGE(OFFSET($R$3,0,0,'Données projet'!$E$9+1,1))-AVERAGE(OFFSET($H$3,0,0,'Données projet'!$E$9+1,1))</f>
        <v>436.03161778768742</v>
      </c>
      <c r="T29" s="59">
        <f t="shared" si="34"/>
        <v>217.65884352525285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</v>
      </c>
      <c r="AI29" s="13">
        <f>IF('Données projet'!$A$62&gt;35,AI28+AH29-AQ28,IF(A29&lt;'Données projet'!$A$62,$AF$205^A29,IF(A29='Données projet'!$A$62,'Données projet'!$B$62,AI28+AH29-AQ28)))</f>
        <v>78</v>
      </c>
      <c r="AJ29" s="13">
        <f>AI29*VLOOKUP('Données projet'!$B$10,Paramètres!$A$1:$I$89,3,0)*VLOOKUP('Données projet'!$B$10,Paramètres!$A$1:$I$89,5,0)</f>
        <v>79.092000000000013</v>
      </c>
      <c r="AK29" s="13">
        <f t="shared" si="35"/>
        <v>21.915026131450009</v>
      </c>
      <c r="AL29" s="20">
        <f t="shared" si="4"/>
        <v>175.92057051227542</v>
      </c>
      <c r="AM29" s="59">
        <f t="shared" si="5"/>
        <v>464.36501495671985</v>
      </c>
      <c r="AN29" s="59">
        <f ca="1">AVERAGE(OFFSET($AM$3,0,0,'Données projet'!$E$10+1,1))-AVERAGE(OFFSET($H$3,0,0,'Données projet'!$E$10+1,1))</f>
        <v>483.45320081988984</v>
      </c>
      <c r="AO29" s="59">
        <f t="shared" si="36"/>
        <v>238.92443174298893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9</v>
      </c>
      <c r="BD29" s="12">
        <f>IF('Données projet'!$A$88&gt;35,BD28+BC29-BL28,IF(A29&lt;'Données projet'!$A$88,$BA$205^A29,IF(A29='Données projet'!$A$88,'Données projet'!$B$88,BD28+BC29-BL28)))</f>
        <v>148</v>
      </c>
      <c r="BE29" s="13">
        <f>BD29*VLOOKUP('Données projet'!$B$11,Paramètres!$A$1:$I$89,3,0)*VLOOKUP('Données projet'!$B$11,Paramètres!$A$1:$I$89,5,0)</f>
        <v>129.29280000000003</v>
      </c>
      <c r="BF29" s="13">
        <f t="shared" si="37"/>
        <v>33.832894333299251</v>
      </c>
      <c r="BG29" s="20">
        <f t="shared" si="7"/>
        <v>284.11058429716292</v>
      </c>
      <c r="BH29" s="59">
        <f t="shared" si="8"/>
        <v>572.55502874160743</v>
      </c>
      <c r="BI29" s="59">
        <f ca="1">AVERAGE(OFFSET($BH$3,0,0,'Données projet'!$E$11+1,1))-AVERAGE(OFFSET($H$3,0,0,'Données projet'!$E$11+1,1))</f>
        <v>310.44153296396854</v>
      </c>
      <c r="BJ29" s="59">
        <f t="shared" si="38"/>
        <v>388.05195847800502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28</v>
      </c>
      <c r="BY29" s="12">
        <f>IF('Données projet'!$A$114&gt;35,BY28+BX29-CG28,IF(A29&lt;'Données projet'!$A$114,$BV$205^A29,IF(A29='Données projet'!$A$114,'Données projet'!$B$114,BY28+BX29-CG28)))</f>
        <v>309</v>
      </c>
      <c r="BZ29" s="13">
        <f>BY29*VLOOKUP('Données projet'!$B$12,Paramètres!$A$1:$I$89,3,0)*VLOOKUP('Données projet'!$B$12,Paramètres!$A$1:$I$89,5,0)</f>
        <v>172.73100000000002</v>
      </c>
      <c r="CA29" s="13">
        <f t="shared" si="39"/>
        <v>43.701108252019125</v>
      </c>
      <c r="CB29" s="20">
        <f t="shared" si="10"/>
        <v>376.9525885389333</v>
      </c>
      <c r="CC29" s="59">
        <f t="shared" si="11"/>
        <v>665.39703298337781</v>
      </c>
      <c r="CD29" s="59">
        <f ca="1">AVERAGE(OFFSET($CC$3,0,0,'Données projet'!$E$12+1,1))-AVERAGE(OFFSET($H$3,0,0,'Données projet'!$E$12+1,1))</f>
        <v>443.34220761968419</v>
      </c>
      <c r="CE29" s="59">
        <f t="shared" si="40"/>
        <v>546.58234447298014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12.802456417016041</v>
      </c>
      <c r="CM29" s="21">
        <f>EXP(-LN(2)/2)*CM28+(1-EXP(-LN(2)/2))/(LN(2)/2)*CG29*CJ29*VLOOKUP('Données projet'!$B$12,Paramètres!$A$1:$I$89,3,0)*0.475*44/12</f>
        <v>9.6668749451908429</v>
      </c>
      <c r="CN29" s="22">
        <f t="shared" si="12"/>
        <v>22.469331362206884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14.166666666666666</v>
      </c>
      <c r="CT29" s="12">
        <f>IF('Données projet'!$A$140&gt;35,CT28+CS29-DB28,IF(A29&lt;'Données projet'!$A$140,$CQ$205^A29,IF(A29='Données projet'!$A$140,'Données projet'!$B$140,CT28+CS29-DB28)))</f>
        <v>167.33333333333331</v>
      </c>
      <c r="CU29" s="17">
        <f>CT29*VLOOKUP('Données projet'!$B$13,Paramètres!$A$1:$I$89,3,0)*VLOOKUP('Données projet'!$B$13,Paramètres!$A$1:$I$89,5,0)</f>
        <v>91.36399999999999</v>
      </c>
      <c r="CV29" s="13">
        <f t="shared" si="41"/>
        <v>24.8939004085973</v>
      </c>
      <c r="CW29" s="20">
        <f t="shared" si="13"/>
        <v>202.48250987830696</v>
      </c>
      <c r="CX29" s="59">
        <f t="shared" si="14"/>
        <v>490.92695432275139</v>
      </c>
      <c r="CY29" s="59">
        <f ca="1">AVERAGE(OFFSET($CX$3,0,0,'Données projet'!$E$13+1,1))-AVERAGE(OFFSET($H$3,0,0,'Données projet'!$E$13+1,1))</f>
        <v>214.22606988805535</v>
      </c>
      <c r="CZ29" s="59">
        <f t="shared" si="42"/>
        <v>305.78163836959078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17.165441886114735</v>
      </c>
      <c r="DH29" s="21">
        <f>EXP(-LN(2)/2)*DH28+(1-EXP(-LN(2)/2))/(LN(2)/2)*DB29*DE29*VLOOKUP('Données projet'!$B$13,Paramètres!$A$1:$I$89,3,0)*0.475*44/12</f>
        <v>5.031197385729687</v>
      </c>
      <c r="DI29" s="22">
        <f t="shared" si="15"/>
        <v>22.196639271844422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11.8</v>
      </c>
      <c r="DO29" s="12">
        <f>IF('Données projet'!$A$166&gt;35,DO28+DN29-DW28,IF(A29&lt;'Données projet'!$A$166,$DL$205^A29,IF(A29='Données projet'!$A$166,'Données projet'!$B$166,DO28+DN29-DW28)))</f>
        <v>98.799999999999969</v>
      </c>
      <c r="DP29" s="17">
        <f>DO29*VLOOKUP('Données projet'!$B$14,Paramètres!$A$1:$I$89,3,0)*VLOOKUP('Données projet'!$B$14,Paramètres!$A$1:$I$89,5,0)</f>
        <v>80.14655999999998</v>
      </c>
      <c r="DQ29" s="13">
        <f t="shared" si="43"/>
        <v>22.17301499240547</v>
      </c>
      <c r="DR29" s="20">
        <f t="shared" si="16"/>
        <v>178.2065931117728</v>
      </c>
      <c r="DS29" s="59">
        <f t="shared" si="17"/>
        <v>466.65103755621726</v>
      </c>
      <c r="DT29" s="59">
        <f ca="1">AVERAGE(OFFSET($DS$3,0,0,'Données projet'!$E$14+1,1))-AVERAGE(OFFSET($H$3,0,0,'Données projet'!$E$14+1,1))</f>
        <v>304.26232113495314</v>
      </c>
      <c r="DU29" s="59">
        <f t="shared" si="44"/>
        <v>297.47246687305056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11.8</v>
      </c>
      <c r="EJ29" s="12">
        <f>IF('Données projet'!$A$192&gt;35,EJ28+EI29-ER28,IF(A29&lt;'Données projet'!$A$192,$EG$205^A29,IF(A29='Données projet'!$A$192,'Données projet'!$B$192,EJ28+EI29-ER28)))</f>
        <v>98.799999999999969</v>
      </c>
      <c r="EK29" s="17">
        <f>EJ29*VLOOKUP('Données projet'!$B$15,Paramètres!$A$1:$I$89,3,0)*VLOOKUP('Données projet'!$B$15,Paramètres!$A$1:$I$89,5,0)</f>
        <v>95.55935999999997</v>
      </c>
      <c r="EL29" s="13">
        <f t="shared" si="45"/>
        <v>25.901295882154653</v>
      </c>
      <c r="EM29" s="20">
        <f t="shared" si="19"/>
        <v>211.5439756614193</v>
      </c>
      <c r="EN29" s="59">
        <f t="shared" si="20"/>
        <v>499.98842010586372</v>
      </c>
      <c r="EO29" s="59">
        <f ca="1">AVERAGE(OFFSET($EN$3,0,0,'Données projet'!$E$15+1,1))-AVERAGE(OFFSET($H$3,0,0,'Données projet'!$E$15+1,1))</f>
        <v>355.72173590705142</v>
      </c>
      <c r="EP29" s="59">
        <f t="shared" si="46"/>
        <v>346.30980704469363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11.8</v>
      </c>
      <c r="FE29" s="12">
        <f>IF('Données projet'!$A$218&gt;35,FE28+FD29-FM28,IF(A29&lt;'Données projet'!$A$218,$FB$205^A29,IF(A29='Données projet'!$A$218,'Données projet'!$B$218,FE28+FD29-FM28)))</f>
        <v>98.799999999999969</v>
      </c>
      <c r="FF29" s="17">
        <f>FE29*VLOOKUP('Données projet'!$B$16,Paramètres!$A$1:$I$89,3,0)*VLOOKUP('Données projet'!$B$16,Paramètres!$A$1:$I$89,5,0)</f>
        <v>72.440159999999977</v>
      </c>
      <c r="FG29" s="13">
        <f t="shared" si="47"/>
        <v>20.27822154299642</v>
      </c>
      <c r="FH29" s="20">
        <f t="shared" si="22"/>
        <v>161.4845145207187</v>
      </c>
      <c r="FI29" s="59">
        <f t="shared" si="23"/>
        <v>449.92895896516313</v>
      </c>
      <c r="FJ29" s="59">
        <f ca="1">AVERAGE(OFFSET($FI$3,0,0,'Données projet'!$E$16+1,1))-AVERAGE(OFFSET($H$3,0,0,'Données projet'!$E$16+1,1))</f>
        <v>278.45534008146865</v>
      </c>
      <c r="FK29" s="59">
        <f t="shared" si="48"/>
        <v>272.97841038165217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3</v>
      </c>
      <c r="N30" s="13">
        <f>IF('Données projet'!$A$36&gt;35,N29+M30-V29,IF(A30&lt;'Données projet'!$A$36,$K$205^A30,IF(A30='Données projet'!$A$36,'Données projet'!$B$36,N29+M30-V29)))</f>
        <v>81</v>
      </c>
      <c r="O30" s="13">
        <f>N30*VLOOKUP('Données projet'!$B$9,Paramètres!$A$1:$I$89,3,0)*VLOOKUP('Données projet'!$B$9,Paramètres!$A$1:$I$89,5,0)</f>
        <v>73.288799999999995</v>
      </c>
      <c r="P30" s="13">
        <f t="shared" si="33"/>
        <v>20.487987371563225</v>
      </c>
      <c r="Q30" s="20">
        <f t="shared" si="2"/>
        <v>163.32790467213928</v>
      </c>
      <c r="R30" s="59">
        <f t="shared" si="0"/>
        <v>452.99457133880594</v>
      </c>
      <c r="S30" s="59">
        <f ca="1">AVERAGE(OFFSET($R$3,0,0,'Données projet'!$E$9+1,1))-AVERAGE(OFFSET($H$3,0,0,'Données projet'!$E$9+1,1))</f>
        <v>436.03161778768742</v>
      </c>
      <c r="T30" s="59">
        <f t="shared" si="34"/>
        <v>217.65884352525285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</v>
      </c>
      <c r="AI30" s="13">
        <f>IF('Données projet'!$A$62&gt;35,AI29+AH30-AQ29,IF(A30&lt;'Données projet'!$A$62,$AF$205^A30,IF(A30='Données projet'!$A$62,'Données projet'!$B$62,AI29+AH30-AQ29)))</f>
        <v>81</v>
      </c>
      <c r="AJ30" s="13">
        <f>AI30*VLOOKUP('Données projet'!$B$10,Paramètres!$A$1:$I$89,3,0)*VLOOKUP('Données projet'!$B$10,Paramètres!$A$1:$I$89,5,0)</f>
        <v>82.134</v>
      </c>
      <c r="AK30" s="13">
        <f t="shared" si="35"/>
        <v>22.658156105651742</v>
      </c>
      <c r="AL30" s="20">
        <f t="shared" si="4"/>
        <v>182.51300521734345</v>
      </c>
      <c r="AM30" s="59">
        <f t="shared" si="5"/>
        <v>472.17967188401013</v>
      </c>
      <c r="AN30" s="59">
        <f ca="1">AVERAGE(OFFSET($AM$3,0,0,'Données projet'!$E$10+1,1))-AVERAGE(OFFSET($H$3,0,0,'Données projet'!$E$10+1,1))</f>
        <v>483.45320081988984</v>
      </c>
      <c r="AO30" s="59">
        <f t="shared" si="36"/>
        <v>238.92443174298893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9</v>
      </c>
      <c r="BD30" s="12">
        <f>IF('Données projet'!$A$88&gt;35,BD29+BC30-BL29,IF(A30&lt;'Données projet'!$A$88,$BA$205^A30,IF(A30='Données projet'!$A$88,'Données projet'!$B$88,BD29+BC30-BL29)))</f>
        <v>157</v>
      </c>
      <c r="BE30" s="13">
        <f>BD30*VLOOKUP('Données projet'!$B$11,Paramètres!$A$1:$I$89,3,0)*VLOOKUP('Données projet'!$B$11,Paramètres!$A$1:$I$89,5,0)</f>
        <v>137.15520000000001</v>
      </c>
      <c r="BF30" s="13">
        <f t="shared" si="37"/>
        <v>35.644525151069693</v>
      </c>
      <c r="BG30" s="20">
        <f t="shared" si="7"/>
        <v>300.95952130477974</v>
      </c>
      <c r="BH30" s="59">
        <f t="shared" si="8"/>
        <v>590.62618797144637</v>
      </c>
      <c r="BI30" s="59">
        <f ca="1">AVERAGE(OFFSET($BH$3,0,0,'Données projet'!$E$11+1,1))-AVERAGE(OFFSET($H$3,0,0,'Données projet'!$E$11+1,1))</f>
        <v>310.44153296396854</v>
      </c>
      <c r="BJ30" s="59">
        <f t="shared" si="38"/>
        <v>388.05195847800502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28</v>
      </c>
      <c r="BY30" s="12">
        <f>IF('Données projet'!$A$114&gt;35,BY29+BX30-CG29,IF(A30&lt;'Données projet'!$A$114,$BV$205^A30,IF(A30='Données projet'!$A$114,'Données projet'!$B$114,BY29+BX30-CG29)))</f>
        <v>337</v>
      </c>
      <c r="BZ30" s="13">
        <f>BY30*VLOOKUP('Données projet'!$B$12,Paramètres!$A$1:$I$89,3,0)*VLOOKUP('Données projet'!$B$12,Paramètres!$A$1:$I$89,5,0)</f>
        <v>188.38300000000001</v>
      </c>
      <c r="CA30" s="13">
        <f t="shared" si="39"/>
        <v>47.182279474248382</v>
      </c>
      <c r="CB30" s="20">
        <f t="shared" si="10"/>
        <v>410.27619508431599</v>
      </c>
      <c r="CC30" s="59">
        <f t="shared" si="11"/>
        <v>699.94286175098273</v>
      </c>
      <c r="CD30" s="59">
        <f ca="1">AVERAGE(OFFSET($CC$3,0,0,'Données projet'!$E$12+1,1))-AVERAGE(OFFSET($H$3,0,0,'Données projet'!$E$12+1,1))</f>
        <v>443.34220761968419</v>
      </c>
      <c r="CE30" s="59">
        <f t="shared" si="40"/>
        <v>546.58234447298014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12.452372573040815</v>
      </c>
      <c r="CM30" s="21">
        <f>EXP(-LN(2)/2)*CM29+(1-EXP(-LN(2)/2))/(LN(2)/2)*CG30*CJ30*VLOOKUP('Données projet'!$B$12,Paramètres!$A$1:$I$89,3,0)*0.475*44/12</f>
        <v>6.8355128266267808</v>
      </c>
      <c r="CN30" s="22">
        <f t="shared" si="12"/>
        <v>19.287885399667594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14.166666666666666</v>
      </c>
      <c r="CT30" s="12">
        <f>IF('Données projet'!$A$140&gt;35,CT29+CS30-DB29,IF(A30&lt;'Données projet'!$A$140,$CQ$205^A30,IF(A30='Données projet'!$A$140,'Données projet'!$B$140,CT29+CS30-DB29)))</f>
        <v>181.49999999999997</v>
      </c>
      <c r="CU30" s="17">
        <f>CT30*VLOOKUP('Données projet'!$B$13,Paramètres!$A$1:$I$89,3,0)*VLOOKUP('Données projet'!$B$13,Paramètres!$A$1:$I$89,5,0)</f>
        <v>99.09899999999999</v>
      </c>
      <c r="CV30" s="13">
        <f t="shared" si="41"/>
        <v>26.747233784597075</v>
      </c>
      <c r="CW30" s="20">
        <f t="shared" si="13"/>
        <v>219.18219050817319</v>
      </c>
      <c r="CX30" s="59">
        <f t="shared" si="14"/>
        <v>508.84885717483985</v>
      </c>
      <c r="CY30" s="59">
        <f ca="1">AVERAGE(OFFSET($CX$3,0,0,'Données projet'!$E$13+1,1))-AVERAGE(OFFSET($H$3,0,0,'Données projet'!$E$13+1,1))</f>
        <v>214.22606988805535</v>
      </c>
      <c r="CZ30" s="59">
        <f t="shared" si="42"/>
        <v>305.78163836959078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16.69605197504757</v>
      </c>
      <c r="DH30" s="21">
        <f>EXP(-LN(2)/2)*DH29+(1-EXP(-LN(2)/2))/(LN(2)/2)*DB30*DE30*VLOOKUP('Données projet'!$B$13,Paramètres!$A$1:$I$89,3,0)*0.475*44/12</f>
        <v>3.557593788937492</v>
      </c>
      <c r="DI30" s="22">
        <f t="shared" si="15"/>
        <v>20.253645763985062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11.8</v>
      </c>
      <c r="DO30" s="12">
        <f>IF('Données projet'!$A$166&gt;35,DO29+DN30-DW29,IF(A30&lt;'Données projet'!$A$166,$DL$205^A30,IF(A30='Données projet'!$A$166,'Données projet'!$B$166,DO29+DN30-DW29)))</f>
        <v>110.59999999999997</v>
      </c>
      <c r="DP30" s="17">
        <f>DO30*VLOOKUP('Données projet'!$B$14,Paramètres!$A$1:$I$89,3,0)*VLOOKUP('Données projet'!$B$14,Paramètres!$A$1:$I$89,5,0)</f>
        <v>89.718719999999976</v>
      </c>
      <c r="DQ30" s="13">
        <f t="shared" si="43"/>
        <v>24.49737467739692</v>
      </c>
      <c r="DR30" s="20">
        <f t="shared" si="16"/>
        <v>198.92636489646625</v>
      </c>
      <c r="DS30" s="59">
        <f t="shared" si="17"/>
        <v>488.59303156313297</v>
      </c>
      <c r="DT30" s="59">
        <f ca="1">AVERAGE(OFFSET($DS$3,0,0,'Données projet'!$E$14+1,1))-AVERAGE(OFFSET($H$3,0,0,'Données projet'!$E$14+1,1))</f>
        <v>304.26232113495314</v>
      </c>
      <c r="DU30" s="59">
        <f t="shared" si="44"/>
        <v>297.47246687305056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11.8</v>
      </c>
      <c r="EJ30" s="12">
        <f>IF('Données projet'!$A$192&gt;35,EJ29+EI30-ER29,IF(A30&lt;'Données projet'!$A$192,$EG$205^A30,IF(A30='Données projet'!$A$192,'Données projet'!$B$192,EJ29+EI30-ER29)))</f>
        <v>110.59999999999997</v>
      </c>
      <c r="EK30" s="17">
        <f>EJ30*VLOOKUP('Données projet'!$B$15,Paramètres!$A$1:$I$89,3,0)*VLOOKUP('Données projet'!$B$15,Paramètres!$A$1:$I$89,5,0)</f>
        <v>106.97231999999997</v>
      </c>
      <c r="EL30" s="13">
        <f t="shared" si="45"/>
        <v>28.61648495130633</v>
      </c>
      <c r="EM30" s="20">
        <f t="shared" si="19"/>
        <v>236.15050195685842</v>
      </c>
      <c r="EN30" s="59">
        <f t="shared" si="20"/>
        <v>525.81716862352505</v>
      </c>
      <c r="EO30" s="59">
        <f ca="1">AVERAGE(OFFSET($EN$3,0,0,'Données projet'!$E$15+1,1))-AVERAGE(OFFSET($H$3,0,0,'Données projet'!$E$15+1,1))</f>
        <v>355.72173590705142</v>
      </c>
      <c r="EP30" s="59">
        <f t="shared" si="46"/>
        <v>346.30980704469363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11.8</v>
      </c>
      <c r="FE30" s="12">
        <f>IF('Données projet'!$A$218&gt;35,FE29+FD30-FM29,IF(A30&lt;'Données projet'!$A$218,$FB$205^A30,IF(A30='Données projet'!$A$218,'Données projet'!$B$218,FE29+FD30-FM29)))</f>
        <v>110.59999999999997</v>
      </c>
      <c r="FF30" s="17">
        <f>FE30*VLOOKUP('Données projet'!$B$16,Paramètres!$A$1:$I$89,3,0)*VLOOKUP('Données projet'!$B$16,Paramètres!$A$1:$I$89,5,0)</f>
        <v>81.091919999999973</v>
      </c>
      <c r="FG30" s="13">
        <f t="shared" si="47"/>
        <v>22.40395323325189</v>
      </c>
      <c r="FH30" s="20">
        <f t="shared" si="22"/>
        <v>180.25531254791363</v>
      </c>
      <c r="FI30" s="59">
        <f t="shared" si="23"/>
        <v>469.92197921458035</v>
      </c>
      <c r="FJ30" s="59">
        <f ca="1">AVERAGE(OFFSET($FI$3,0,0,'Données projet'!$E$16+1,1))-AVERAGE(OFFSET($H$3,0,0,'Données projet'!$E$16+1,1))</f>
        <v>278.45534008146865</v>
      </c>
      <c r="FK30" s="59">
        <f t="shared" si="48"/>
        <v>272.97841038165217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3</v>
      </c>
      <c r="N31" s="13">
        <f>IF('Données projet'!$A$36&gt;35,N30+M31-V30,IF(A31&lt;'Données projet'!$A$36,$K$205^A31,IF(A31='Données projet'!$A$36,'Données projet'!$B$36,N30+M31-V30)))</f>
        <v>84</v>
      </c>
      <c r="O31" s="13">
        <f>N31*VLOOKUP('Données projet'!$B$9,Paramètres!$A$1:$I$89,3,0)*VLOOKUP('Données projet'!$B$9,Paramètres!$A$1:$I$89,5,0)</f>
        <v>76.003200000000007</v>
      </c>
      <c r="P31" s="13">
        <f t="shared" si="33"/>
        <v>21.157049992000456</v>
      </c>
      <c r="Q31" s="20">
        <f t="shared" si="2"/>
        <v>169.22076873606747</v>
      </c>
      <c r="R31" s="59">
        <f t="shared" si="0"/>
        <v>460.1096576249563</v>
      </c>
      <c r="S31" s="59">
        <f ca="1">AVERAGE(OFFSET($R$3,0,0,'Données projet'!$E$9+1,1))-AVERAGE(OFFSET($H$3,0,0,'Données projet'!$E$9+1,1))</f>
        <v>436.03161778768742</v>
      </c>
      <c r="T31" s="59">
        <f t="shared" si="34"/>
        <v>217.65884352525285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</v>
      </c>
      <c r="AI31" s="13">
        <f>IF('Données projet'!$A$62&gt;35,AI30+AH31-AQ30,IF(A31&lt;'Données projet'!$A$62,$AF$205^A31,IF(A31='Données projet'!$A$62,'Données projet'!$B$62,AI30+AH31-AQ30)))</f>
        <v>84</v>
      </c>
      <c r="AJ31" s="13">
        <f>AI31*VLOOKUP('Données projet'!$B$10,Paramètres!$A$1:$I$89,3,0)*VLOOKUP('Données projet'!$B$10,Paramètres!$A$1:$I$89,5,0)</f>
        <v>85.176000000000002</v>
      </c>
      <c r="AK31" s="13">
        <f t="shared" si="35"/>
        <v>23.398088487656441</v>
      </c>
      <c r="AL31" s="20">
        <f t="shared" si="4"/>
        <v>189.09987078266829</v>
      </c>
      <c r="AM31" s="59">
        <f t="shared" si="5"/>
        <v>479.98875967155715</v>
      </c>
      <c r="AN31" s="59">
        <f ca="1">AVERAGE(OFFSET($AM$3,0,0,'Données projet'!$E$10+1,1))-AVERAGE(OFFSET($H$3,0,0,'Données projet'!$E$10+1,1))</f>
        <v>483.45320081988984</v>
      </c>
      <c r="AO31" s="59">
        <f t="shared" si="36"/>
        <v>238.92443174298893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9</v>
      </c>
      <c r="BD31" s="12">
        <f>IF('Données projet'!$A$88&gt;35,BD30+BC31-BL30,IF(A31&lt;'Données projet'!$A$88,$BA$205^A31,IF(A31='Données projet'!$A$88,'Données projet'!$B$88,BD30+BC31-BL30)))</f>
        <v>166</v>
      </c>
      <c r="BE31" s="13">
        <f>BD31*VLOOKUP('Données projet'!$B$11,Paramètres!$A$1:$I$89,3,0)*VLOOKUP('Données projet'!$B$11,Paramètres!$A$1:$I$89,5,0)</f>
        <v>145.01760000000002</v>
      </c>
      <c r="BF31" s="13">
        <f t="shared" si="37"/>
        <v>37.444100932065233</v>
      </c>
      <c r="BG31" s="20">
        <f t="shared" si="7"/>
        <v>317.78746245668026</v>
      </c>
      <c r="BH31" s="59">
        <f t="shared" si="8"/>
        <v>608.67635134556917</v>
      </c>
      <c r="BI31" s="59">
        <f ca="1">AVERAGE(OFFSET($BH$3,0,0,'Données projet'!$E$11+1,1))-AVERAGE(OFFSET($H$3,0,0,'Données projet'!$E$11+1,1))</f>
        <v>310.44153296396854</v>
      </c>
      <c r="BJ31" s="59">
        <f t="shared" si="38"/>
        <v>388.05195847800502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28</v>
      </c>
      <c r="BY31" s="12">
        <f>IF('Données projet'!$A$114&gt;35,BY30+BX31-CG30,IF(A31&lt;'Données projet'!$A$114,$BV$205^A31,IF(A31='Données projet'!$A$114,'Données projet'!$B$114,BY30+BX31-CG30)))</f>
        <v>365</v>
      </c>
      <c r="BZ31" s="13">
        <f>BY31*VLOOKUP('Données projet'!$B$12,Paramètres!$A$1:$I$89,3,0)*VLOOKUP('Données projet'!$B$12,Paramètres!$A$1:$I$89,5,0)</f>
        <v>204.035</v>
      </c>
      <c r="CA31" s="13">
        <f t="shared" si="39"/>
        <v>50.629905099971396</v>
      </c>
      <c r="CB31" s="20">
        <f t="shared" si="10"/>
        <v>443.54137638245015</v>
      </c>
      <c r="CC31" s="59">
        <f t="shared" si="11"/>
        <v>734.43026527133907</v>
      </c>
      <c r="CD31" s="59">
        <f ca="1">AVERAGE(OFFSET($CC$3,0,0,'Données projet'!$E$12+1,1))-AVERAGE(OFFSET($H$3,0,0,'Données projet'!$E$12+1,1))</f>
        <v>443.34220761968419</v>
      </c>
      <c r="CE31" s="59">
        <f t="shared" si="40"/>
        <v>546.58234447298014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12.111861790189201</v>
      </c>
      <c r="CM31" s="21">
        <f>EXP(-LN(2)/2)*CM30+(1-EXP(-LN(2)/2))/(LN(2)/2)*CG31*CJ31*VLOOKUP('Données projet'!$B$12,Paramètres!$A$1:$I$89,3,0)*0.475*44/12</f>
        <v>4.8334374725954223</v>
      </c>
      <c r="CN31" s="22">
        <f t="shared" si="12"/>
        <v>16.945299262784623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14.166666666666666</v>
      </c>
      <c r="CT31" s="12">
        <f>IF('Données projet'!$A$140&gt;35,CT30+CS31-DB30,IF(A31&lt;'Données projet'!$A$140,$CQ$205^A31,IF(A31='Données projet'!$A$140,'Données projet'!$B$140,CT30+CS31-DB30)))</f>
        <v>195.66666666666663</v>
      </c>
      <c r="CU31" s="17">
        <f>CT31*VLOOKUP('Données projet'!$B$13,Paramètres!$A$1:$I$89,3,0)*VLOOKUP('Données projet'!$B$13,Paramètres!$A$1:$I$89,5,0)</f>
        <v>106.83399999999997</v>
      </c>
      <c r="CV31" s="13">
        <f t="shared" si="41"/>
        <v>28.583787172087089</v>
      </c>
      <c r="CW31" s="20">
        <f t="shared" si="13"/>
        <v>235.85264599138495</v>
      </c>
      <c r="CX31" s="59">
        <f t="shared" si="14"/>
        <v>526.74153488027378</v>
      </c>
      <c r="CY31" s="59">
        <f ca="1">AVERAGE(OFFSET($CX$3,0,0,'Données projet'!$E$13+1,1))-AVERAGE(OFFSET($H$3,0,0,'Données projet'!$E$13+1,1))</f>
        <v>214.22606988805535</v>
      </c>
      <c r="CZ31" s="59">
        <f t="shared" si="42"/>
        <v>305.78163836959078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16.23949755578268</v>
      </c>
      <c r="DH31" s="21">
        <f>EXP(-LN(2)/2)*DH30+(1-EXP(-LN(2)/2))/(LN(2)/2)*DB31*DE31*VLOOKUP('Données projet'!$B$13,Paramètres!$A$1:$I$89,3,0)*0.475*44/12</f>
        <v>2.5155986928648439</v>
      </c>
      <c r="DI31" s="22">
        <f t="shared" si="15"/>
        <v>18.755096248647526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11.8</v>
      </c>
      <c r="DO31" s="12">
        <f>IF('Données projet'!$A$166&gt;35,DO30+DN31-DW30,IF(A31&lt;'Données projet'!$A$166,$DL$205^A31,IF(A31='Données projet'!$A$166,'Données projet'!$B$166,DO30+DN31-DW30)))</f>
        <v>122.39999999999996</v>
      </c>
      <c r="DP31" s="17">
        <f>DO31*VLOOKUP('Données projet'!$B$14,Paramètres!$A$1:$I$89,3,0)*VLOOKUP('Données projet'!$B$14,Paramètres!$A$1:$I$89,5,0)</f>
        <v>99.290879999999973</v>
      </c>
      <c r="DQ31" s="13">
        <f t="shared" si="43"/>
        <v>26.792989580133234</v>
      </c>
      <c r="DR31" s="20">
        <f t="shared" si="16"/>
        <v>219.5960728520653</v>
      </c>
      <c r="DS31" s="59">
        <f t="shared" si="17"/>
        <v>510.48496174095419</v>
      </c>
      <c r="DT31" s="59">
        <f ca="1">AVERAGE(OFFSET($DS$3,0,0,'Données projet'!$E$14+1,1))-AVERAGE(OFFSET($H$3,0,0,'Données projet'!$E$14+1,1))</f>
        <v>304.26232113495314</v>
      </c>
      <c r="DU31" s="59">
        <f t="shared" si="44"/>
        <v>297.47246687305056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11.8</v>
      </c>
      <c r="EJ31" s="12">
        <f>IF('Données projet'!$A$192&gt;35,EJ30+EI31-ER30,IF(A31&lt;'Données projet'!$A$192,$EG$205^A31,IF(A31='Données projet'!$A$192,'Données projet'!$B$192,EJ30+EI31-ER30)))</f>
        <v>122.39999999999996</v>
      </c>
      <c r="EK31" s="17">
        <f>EJ31*VLOOKUP('Données projet'!$B$15,Paramètres!$A$1:$I$89,3,0)*VLOOKUP('Données projet'!$B$15,Paramètres!$A$1:$I$89,5,0)</f>
        <v>118.38527999999997</v>
      </c>
      <c r="EL31" s="13">
        <f t="shared" si="45"/>
        <v>31.298095947718991</v>
      </c>
      <c r="EM31" s="20">
        <f t="shared" si="19"/>
        <v>260.69854644227718</v>
      </c>
      <c r="EN31" s="59">
        <f t="shared" si="20"/>
        <v>551.58743533116603</v>
      </c>
      <c r="EO31" s="59">
        <f ca="1">AVERAGE(OFFSET($EN$3,0,0,'Données projet'!$E$15+1,1))-AVERAGE(OFFSET($H$3,0,0,'Données projet'!$E$15+1,1))</f>
        <v>355.72173590705142</v>
      </c>
      <c r="EP31" s="59">
        <f t="shared" si="46"/>
        <v>346.30980704469363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11.8</v>
      </c>
      <c r="FE31" s="12">
        <f>IF('Données projet'!$A$218&gt;35,FE30+FD31-FM30,IF(A31&lt;'Données projet'!$A$218,$FB$205^A31,IF(A31='Données projet'!$A$218,'Données projet'!$B$218,FE30+FD31-FM30)))</f>
        <v>122.39999999999996</v>
      </c>
      <c r="FF31" s="17">
        <f>FE31*VLOOKUP('Données projet'!$B$16,Paramètres!$A$1:$I$89,3,0)*VLOOKUP('Données projet'!$B$16,Paramètres!$A$1:$I$89,5,0)</f>
        <v>89.743679999999969</v>
      </c>
      <c r="FG31" s="13">
        <f t="shared" si="47"/>
        <v>24.503396524614622</v>
      </c>
      <c r="FH31" s="20">
        <f t="shared" si="22"/>
        <v>198.98032494703705</v>
      </c>
      <c r="FI31" s="59">
        <f t="shared" si="23"/>
        <v>489.8692138359259</v>
      </c>
      <c r="FJ31" s="59">
        <f ca="1">AVERAGE(OFFSET($FI$3,0,0,'Données projet'!$E$16+1,1))-AVERAGE(OFFSET($H$3,0,0,'Données projet'!$E$16+1,1))</f>
        <v>278.45534008146865</v>
      </c>
      <c r="FK31" s="59">
        <f t="shared" si="48"/>
        <v>272.97841038165217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3</v>
      </c>
      <c r="N32" s="13">
        <f>IF('Données projet'!$A$36&gt;35,N31+M32-V31,IF(A32&lt;'Données projet'!$A$36,$K$205^A32,IF(A32='Données projet'!$A$36,'Données projet'!$B$36,N31+M32-V31)))</f>
        <v>87</v>
      </c>
      <c r="O32" s="13">
        <f>N32*VLOOKUP('Données projet'!$B$9,Paramètres!$A$1:$I$89,3,0)*VLOOKUP('Données projet'!$B$9,Paramètres!$A$1:$I$89,5,0)</f>
        <v>78.71759999999999</v>
      </c>
      <c r="P32" s="13">
        <f t="shared" si="33"/>
        <v>21.823336373425391</v>
      </c>
      <c r="Q32" s="20">
        <f t="shared" si="2"/>
        <v>175.1087975170492</v>
      </c>
      <c r="R32" s="59">
        <f t="shared" si="0"/>
        <v>467.21990862816034</v>
      </c>
      <c r="S32" s="59">
        <f ca="1">AVERAGE(OFFSET($R$3,0,0,'Données projet'!$E$9+1,1))-AVERAGE(OFFSET($H$3,0,0,'Données projet'!$E$9+1,1))</f>
        <v>436.03161778768742</v>
      </c>
      <c r="T32" s="59">
        <f t="shared" si="34"/>
        <v>217.65884352525285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</v>
      </c>
      <c r="AI32" s="13">
        <f>IF('Données projet'!$A$62&gt;35,AI31+AH32-AQ31,IF(A32&lt;'Données projet'!$A$62,$AF$205^A32,IF(A32='Données projet'!$A$62,'Données projet'!$B$62,AI31+AH32-AQ31)))</f>
        <v>87</v>
      </c>
      <c r="AJ32" s="13">
        <f>AI32*VLOOKUP('Données projet'!$B$10,Paramètres!$A$1:$I$89,3,0)*VLOOKUP('Données projet'!$B$10,Paramètres!$A$1:$I$89,5,0)</f>
        <v>88.218000000000004</v>
      </c>
      <c r="AK32" s="13">
        <f t="shared" si="35"/>
        <v>24.134950560421586</v>
      </c>
      <c r="AL32" s="20">
        <f t="shared" si="4"/>
        <v>195.68138889273428</v>
      </c>
      <c r="AM32" s="59">
        <f t="shared" si="5"/>
        <v>487.79250000384542</v>
      </c>
      <c r="AN32" s="59">
        <f ca="1">AVERAGE(OFFSET($AM$3,0,0,'Données projet'!$E$10+1,1))-AVERAGE(OFFSET($H$3,0,0,'Données projet'!$E$10+1,1))</f>
        <v>483.45320081988984</v>
      </c>
      <c r="AO32" s="59">
        <f t="shared" si="36"/>
        <v>238.92443174298893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9</v>
      </c>
      <c r="BD32" s="12">
        <f>IF('Données projet'!$A$88&gt;35,BD31+BC32-BL31,IF(A32&lt;'Données projet'!$A$88,$BA$205^A32,IF(A32='Données projet'!$A$88,'Données projet'!$B$88,BD31+BC32-BL31)))</f>
        <v>175</v>
      </c>
      <c r="BE32" s="13">
        <f>BD32*VLOOKUP('Données projet'!$B$11,Paramètres!$A$1:$I$89,3,0)*VLOOKUP('Données projet'!$B$11,Paramètres!$A$1:$I$89,5,0)</f>
        <v>152.88000000000002</v>
      </c>
      <c r="BF32" s="13">
        <f t="shared" si="37"/>
        <v>39.232349774697852</v>
      </c>
      <c r="BG32" s="20">
        <f t="shared" si="7"/>
        <v>334.59567585759874</v>
      </c>
      <c r="BH32" s="59">
        <f t="shared" si="8"/>
        <v>626.70678696870982</v>
      </c>
      <c r="BI32" s="59">
        <f ca="1">AVERAGE(OFFSET($BH$3,0,0,'Données projet'!$E$11+1,1))-AVERAGE(OFFSET($H$3,0,0,'Données projet'!$E$11+1,1))</f>
        <v>310.44153296396854</v>
      </c>
      <c r="BJ32" s="59">
        <f t="shared" si="38"/>
        <v>388.05195847800502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28</v>
      </c>
      <c r="BY32" s="12">
        <f>IF('Données projet'!$A$114&gt;35,BY31+BX32-CG31,IF(A32&lt;'Données projet'!$A$114,$BV$205^A32,IF(A32='Données projet'!$A$114,'Données projet'!$B$114,BY31+BX32-CG31)))</f>
        <v>393</v>
      </c>
      <c r="BZ32" s="13">
        <f>BY32*VLOOKUP('Données projet'!$B$12,Paramètres!$A$1:$I$89,3,0)*VLOOKUP('Données projet'!$B$12,Paramètres!$A$1:$I$89,5,0)</f>
        <v>219.68700000000001</v>
      </c>
      <c r="CA32" s="13">
        <f t="shared" si="39"/>
        <v>54.046851081096591</v>
      </c>
      <c r="CB32" s="20">
        <f t="shared" si="10"/>
        <v>476.75312396624321</v>
      </c>
      <c r="CC32" s="59">
        <f t="shared" si="11"/>
        <v>768.86423507735435</v>
      </c>
      <c r="CD32" s="59">
        <f ca="1">AVERAGE(OFFSET($CC$3,0,0,'Données projet'!$E$12+1,1))-AVERAGE(OFFSET($H$3,0,0,'Données projet'!$E$12+1,1))</f>
        <v>443.34220761968419</v>
      </c>
      <c r="CE32" s="59">
        <f t="shared" si="40"/>
        <v>546.58234447298014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11.780662292601347</v>
      </c>
      <c r="CM32" s="21">
        <f>EXP(-LN(2)/2)*CM31+(1-EXP(-LN(2)/2))/(LN(2)/2)*CG32*CJ32*VLOOKUP('Données projet'!$B$12,Paramètres!$A$1:$I$89,3,0)*0.475*44/12</f>
        <v>3.4177564133133909</v>
      </c>
      <c r="CN32" s="22">
        <f t="shared" si="12"/>
        <v>15.198418705914738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14.166666666666666</v>
      </c>
      <c r="CT32" s="12">
        <f>IF('Données projet'!$A$140&gt;35,CT31+CS32-DB31,IF(A32&lt;'Données projet'!$A$140,$CQ$205^A32,IF(A32='Données projet'!$A$140,'Données projet'!$B$140,CT31+CS32-DB31)))</f>
        <v>209.83333333333329</v>
      </c>
      <c r="CU32" s="17">
        <f>CT32*VLOOKUP('Données projet'!$B$13,Paramètres!$A$1:$I$89,3,0)*VLOOKUP('Données projet'!$B$13,Paramètres!$A$1:$I$89,5,0)</f>
        <v>114.56899999999997</v>
      </c>
      <c r="CV32" s="13">
        <f t="shared" si="41"/>
        <v>30.404913642600647</v>
      </c>
      <c r="CW32" s="20">
        <f t="shared" si="13"/>
        <v>252.49623292752941</v>
      </c>
      <c r="CX32" s="59">
        <f t="shared" si="14"/>
        <v>544.60734403864058</v>
      </c>
      <c r="CY32" s="59">
        <f ca="1">AVERAGE(OFFSET($CX$3,0,0,'Données projet'!$E$13+1,1))-AVERAGE(OFFSET($H$3,0,0,'Données projet'!$E$13+1,1))</f>
        <v>214.22606988805535</v>
      </c>
      <c r="CZ32" s="59">
        <f t="shared" si="42"/>
        <v>305.78163836959078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15.795427641121742</v>
      </c>
      <c r="DH32" s="21">
        <f>EXP(-LN(2)/2)*DH31+(1-EXP(-LN(2)/2))/(LN(2)/2)*DB32*DE32*VLOOKUP('Données projet'!$B$13,Paramètres!$A$1:$I$89,3,0)*0.475*44/12</f>
        <v>1.7787968944687462</v>
      </c>
      <c r="DI32" s="22">
        <f t="shared" si="15"/>
        <v>17.574224535590488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11.8</v>
      </c>
      <c r="DO32" s="12">
        <f>IF('Données projet'!$A$166&gt;35,DO31+DN32-DW31,IF(A32&lt;'Données projet'!$A$166,$DL$205^A32,IF(A32='Données projet'!$A$166,'Données projet'!$B$166,DO31+DN32-DW31)))</f>
        <v>134.19999999999996</v>
      </c>
      <c r="DP32" s="17">
        <f>DO32*VLOOKUP('Données projet'!$B$14,Paramètres!$A$1:$I$89,3,0)*VLOOKUP('Données projet'!$B$14,Paramètres!$A$1:$I$89,5,0)</f>
        <v>108.86303999999997</v>
      </c>
      <c r="DQ32" s="13">
        <f t="shared" si="43"/>
        <v>29.062946162784755</v>
      </c>
      <c r="DR32" s="20">
        <f t="shared" si="16"/>
        <v>240.22109256685007</v>
      </c>
      <c r="DS32" s="59">
        <f t="shared" si="17"/>
        <v>532.33220367796116</v>
      </c>
      <c r="DT32" s="59">
        <f ca="1">AVERAGE(OFFSET($DS$3,0,0,'Données projet'!$E$14+1,1))-AVERAGE(OFFSET($H$3,0,0,'Données projet'!$E$14+1,1))</f>
        <v>304.26232113495314</v>
      </c>
      <c r="DU32" s="59">
        <f t="shared" si="44"/>
        <v>297.47246687305056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11.8</v>
      </c>
      <c r="EJ32" s="12">
        <f>IF('Données projet'!$A$192&gt;35,EJ31+EI32-ER31,IF(A32&lt;'Données projet'!$A$192,$EG$205^A32,IF(A32='Données projet'!$A$192,'Données projet'!$B$192,EJ31+EI32-ER31)))</f>
        <v>134.19999999999996</v>
      </c>
      <c r="EK32" s="17">
        <f>EJ32*VLOOKUP('Données projet'!$B$15,Paramètres!$A$1:$I$89,3,0)*VLOOKUP('Données projet'!$B$15,Paramètres!$A$1:$I$89,5,0)</f>
        <v>129.79823999999996</v>
      </c>
      <c r="EL32" s="13">
        <f t="shared" si="45"/>
        <v>33.949734306644871</v>
      </c>
      <c r="EM32" s="20">
        <f t="shared" si="19"/>
        <v>285.19438858407307</v>
      </c>
      <c r="EN32" s="59">
        <f t="shared" si="20"/>
        <v>577.30549969518415</v>
      </c>
      <c r="EO32" s="59">
        <f ca="1">AVERAGE(OFFSET($EN$3,0,0,'Données projet'!$E$15+1,1))-AVERAGE(OFFSET($H$3,0,0,'Données projet'!$E$15+1,1))</f>
        <v>355.72173590705142</v>
      </c>
      <c r="EP32" s="59">
        <f t="shared" si="46"/>
        <v>346.30980704469363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11.8</v>
      </c>
      <c r="FE32" s="12">
        <f>IF('Données projet'!$A$218&gt;35,FE31+FD32-FM31,IF(A32&lt;'Données projet'!$A$218,$FB$205^A32,IF(A32='Données projet'!$A$218,'Données projet'!$B$218,FE31+FD32-FM31)))</f>
        <v>134.19999999999996</v>
      </c>
      <c r="FF32" s="17">
        <f>FE32*VLOOKUP('Données projet'!$B$16,Paramètres!$A$1:$I$89,3,0)*VLOOKUP('Données projet'!$B$16,Paramètres!$A$1:$I$89,5,0)</f>
        <v>98.395439999999965</v>
      </c>
      <c r="FG32" s="13">
        <f t="shared" si="47"/>
        <v>26.57937412584554</v>
      </c>
      <c r="FH32" s="20">
        <f t="shared" si="22"/>
        <v>217.6644679358476</v>
      </c>
      <c r="FI32" s="59">
        <f t="shared" si="23"/>
        <v>509.77557904695874</v>
      </c>
      <c r="FJ32" s="59">
        <f ca="1">AVERAGE(OFFSET($FI$3,0,0,'Données projet'!$E$16+1,1))-AVERAGE(OFFSET($H$3,0,0,'Données projet'!$E$16+1,1))</f>
        <v>278.45534008146865</v>
      </c>
      <c r="FK32" s="59">
        <f t="shared" si="48"/>
        <v>272.97841038165217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3</v>
      </c>
      <c r="N33" s="13">
        <f>IF('Données projet'!$A$36&gt;35,N32+M33-V32,IF(A33&lt;'Données projet'!$A$36,$K$205^A33,IF(A33='Données projet'!$A$36,'Données projet'!$B$36,N32+M33-V32)))</f>
        <v>90</v>
      </c>
      <c r="O33" s="13">
        <f>N33*VLOOKUP('Données projet'!$B$9,Paramètres!$A$1:$I$89,3,0)*VLOOKUP('Données projet'!$B$9,Paramètres!$A$1:$I$89,5,0)</f>
        <v>81.432000000000002</v>
      </c>
      <c r="P33" s="13">
        <f t="shared" si="33"/>
        <v>22.486953220240881</v>
      </c>
      <c r="Q33" s="20">
        <f t="shared" si="2"/>
        <v>180.99217685858619</v>
      </c>
      <c r="R33" s="59">
        <f t="shared" si="0"/>
        <v>474.32551019191953</v>
      </c>
      <c r="S33" s="59">
        <f ca="1">AVERAGE(OFFSET($R$3,0,0,'Données projet'!$E$9+1,1))-AVERAGE(OFFSET($H$3,0,0,'Données projet'!$E$9+1,1))</f>
        <v>436.03161778768742</v>
      </c>
      <c r="T33" s="59">
        <f t="shared" si="34"/>
        <v>217.65884352525285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3</v>
      </c>
      <c r="AI33" s="13">
        <f>IF('Données projet'!$A$62&gt;35,AI32+AH33-AQ32,IF(A33&lt;'Données projet'!$A$62,$AF$205^A33,IF(A33='Données projet'!$A$62,'Données projet'!$B$62,AI32+AH33-AQ32)))</f>
        <v>90</v>
      </c>
      <c r="AJ33" s="13">
        <f>AI33*VLOOKUP('Données projet'!$B$10,Paramètres!$A$1:$I$89,3,0)*VLOOKUP('Données projet'!$B$10,Paramètres!$A$1:$I$89,5,0)</f>
        <v>91.26</v>
      </c>
      <c r="AK33" s="13">
        <f t="shared" si="35"/>
        <v>24.868860330902777</v>
      </c>
      <c r="AL33" s="20">
        <f t="shared" si="4"/>
        <v>202.25776507632233</v>
      </c>
      <c r="AM33" s="59">
        <f t="shared" si="5"/>
        <v>495.59109840965561</v>
      </c>
      <c r="AN33" s="59">
        <f ca="1">AVERAGE(OFFSET($AM$3,0,0,'Données projet'!$E$10+1,1))-AVERAGE(OFFSET($H$3,0,0,'Données projet'!$E$10+1,1))</f>
        <v>483.45320081988984</v>
      </c>
      <c r="AO33" s="59">
        <f t="shared" si="36"/>
        <v>238.92443174298893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184</v>
      </c>
      <c r="BB33" s="12">
        <f>VLOOKUP(A33,'Données projet'!$A$87:$I$107,9,0)</f>
        <v>9</v>
      </c>
      <c r="BC33" s="12">
        <f t="array" ref="BC33">INDEX(BB:BB,MIN(IF(ISNUMBER(BB33:BB229),ROW(BB33:BB229),"")))</f>
        <v>9</v>
      </c>
      <c r="BD33" s="12">
        <f>IF('Données projet'!$A$88&gt;35,BD32+BC33-BL32,IF(A33&lt;'Données projet'!$A$88,$BA$205^A33,IF(A33='Données projet'!$A$88,'Données projet'!$B$88,BD32+BC33-BL32)))</f>
        <v>184</v>
      </c>
      <c r="BE33" s="13">
        <f>BD33*VLOOKUP('Données projet'!$B$11,Paramètres!$A$1:$I$89,3,0)*VLOOKUP('Données projet'!$B$11,Paramètres!$A$1:$I$89,5,0)</f>
        <v>160.7424</v>
      </c>
      <c r="BF33" s="13">
        <f t="shared" si="37"/>
        <v>41.009920657227809</v>
      </c>
      <c r="BG33" s="20">
        <f t="shared" si="7"/>
        <v>351.38529181133845</v>
      </c>
      <c r="BH33" s="59">
        <f t="shared" si="8"/>
        <v>644.71862514467171</v>
      </c>
      <c r="BI33" s="59">
        <f ca="1">AVERAGE(OFFSET($BH$3,0,0,'Données projet'!$E$11+1,1))-AVERAGE(OFFSET($H$3,0,0,'Données projet'!$E$11+1,1))</f>
        <v>310.44153296396854</v>
      </c>
      <c r="BJ33" s="59">
        <f t="shared" si="38"/>
        <v>388.05195847800502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44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421</v>
      </c>
      <c r="BW33" s="12">
        <f>VLOOKUP(A33,'Données projet'!$A$113:$I$133,9,0)</f>
        <v>28</v>
      </c>
      <c r="BX33" s="12">
        <f t="array" ref="BX33">INDEX(BW:BW,MIN(IF(ISNUMBER(BW33:BW229),ROW(BW33:BW229),"")))</f>
        <v>28</v>
      </c>
      <c r="BY33" s="12">
        <f>IF('Données projet'!$A$114&gt;35,BY32+BX33-CG32,IF(A33&lt;'Données projet'!$A$114,$BV$205^A33,IF(A33='Données projet'!$A$114,'Données projet'!$B$114,BY32+BX33-CG32)))</f>
        <v>421</v>
      </c>
      <c r="BZ33" s="13">
        <f>BY33*VLOOKUP('Données projet'!$B$12,Paramètres!$A$1:$I$89,3,0)*VLOOKUP('Données projet'!$B$12,Paramètres!$A$1:$I$89,5,0)</f>
        <v>235.339</v>
      </c>
      <c r="CA33" s="13">
        <f t="shared" si="39"/>
        <v>57.43555185051494</v>
      </c>
      <c r="CB33" s="20">
        <f t="shared" si="10"/>
        <v>509.91567780631357</v>
      </c>
      <c r="CC33" s="59">
        <f t="shared" si="11"/>
        <v>803.24901113964688</v>
      </c>
      <c r="CD33" s="59">
        <f ca="1">AVERAGE(OFFSET($CC$3,0,0,'Données projet'!$E$12+1,1))-AVERAGE(OFFSET($H$3,0,0,'Données projet'!$E$12+1,1))</f>
        <v>443.34220761968419</v>
      </c>
      <c r="CE33" s="59">
        <f t="shared" si="40"/>
        <v>546.58234447298014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54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0.33</v>
      </c>
      <c r="CJ33" s="16">
        <f>IF(ISNA(VLOOKUP(A33,'Données projet'!$A$113:$I$133,7,0)),0%,VLOOKUP(A33,'Données projet'!$A$113:$I$133,7,0))</f>
        <v>0.4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24.620901920187933</v>
      </c>
      <c r="CM33" s="21">
        <f>EXP(-LN(2)/2)*CM32+(1-EXP(-LN(2)/2))/(LN(2)/2)*CG33*CJ33*VLOOKUP('Données projet'!$B$12,Paramètres!$A$1:$I$89,3,0)*0.475*44/12</f>
        <v>16.087744389551272</v>
      </c>
      <c r="CN33" s="22">
        <f t="shared" si="12"/>
        <v>40.708646309739208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224</v>
      </c>
      <c r="CR33" s="12">
        <f>VLOOKUP(A33,'Données projet'!$A$139:$I$159,9,0)</f>
        <v>14.166666666666666</v>
      </c>
      <c r="CS33" s="12">
        <f t="array" ref="CS33">INDEX(CR:CR,MIN(IF(ISNUMBER(CR33:CR229),ROW(CR33:CR229),"")))</f>
        <v>14.166666666666666</v>
      </c>
      <c r="CT33" s="12">
        <f>IF('Données projet'!$A$140&gt;35,CT32+CS33-DB32,IF(A33&lt;'Données projet'!$A$140,$CQ$205^A33,IF(A33='Données projet'!$A$140,'Données projet'!$B$140,CT32+CS33-DB32)))</f>
        <v>223.99999999999994</v>
      </c>
      <c r="CU33" s="17">
        <f>CT33*VLOOKUP('Données projet'!$B$13,Paramètres!$A$1:$I$89,3,0)*VLOOKUP('Données projet'!$B$13,Paramètres!$A$1:$I$89,5,0)</f>
        <v>122.30399999999996</v>
      </c>
      <c r="CV33" s="13">
        <f t="shared" si="41"/>
        <v>32.211773226559373</v>
      </c>
      <c r="CW33" s="20">
        <f t="shared" si="13"/>
        <v>269.11497170292415</v>
      </c>
      <c r="CX33" s="59">
        <f t="shared" si="14"/>
        <v>562.44830503625747</v>
      </c>
      <c r="CY33" s="59">
        <f ca="1">AVERAGE(OFFSET($CX$3,0,0,'Données projet'!$E$13+1,1))-AVERAGE(OFFSET($H$3,0,0,'Données projet'!$E$13+1,1))</f>
        <v>214.22606988805535</v>
      </c>
      <c r="CZ33" s="59">
        <f t="shared" si="42"/>
        <v>305.78163836959078</v>
      </c>
      <c r="DA33" s="15">
        <f>IF(ISNA(VLOOKUP(A33,'Données projet'!$A$139:$I$159,3,0)),0,VLOOKUP(A33,'Données projet'!$A$139:$I$159,3,0))</f>
        <v>4</v>
      </c>
      <c r="DB33" s="15">
        <f>IF(ISNA(VLOOKUP(A33,'Données projet'!$A$139:$I$159,4,0)),0,VLOOKUP(A33,'Données projet'!$A$139:$I$159,4,0))</f>
        <v>53</v>
      </c>
      <c r="DC33" s="16">
        <f>IF(ISNA(VLOOKUP(A33,'Données projet'!$A$139:$I$159,5,0)),0%,VLOOKUP(A33,'Données projet'!$A$139:$I$159,5,0)*VLOOKUP('Données projet'!$B$13,Paramètres!$A$1:$I$89,7,0))</f>
        <v>0.12</v>
      </c>
      <c r="DD33" s="16">
        <f>IF(ISNA(VLOOKUP(A33,'Données projet'!$A$139:$I$159,6,0)),0%,VLOOKUP(A33,'Données projet'!$A$139:$I$159,6,0)*VLOOKUP('Données projet'!$B$13,Paramètres!$A$1:$I$89,7,0))</f>
        <v>0.24</v>
      </c>
      <c r="DE33" s="16">
        <f>IF(ISNA(VLOOKUP(A33,'Données projet'!$A$139:$I$159,7,0)),0%,VLOOKUP(A33,'Données projet'!$A$139:$I$159,7,0))</f>
        <v>0.4</v>
      </c>
      <c r="DF33" s="21">
        <f>EXP(-LN(2)/35)*DF32+(1-EXP(-LN(2)/35))/(LN(2)/35)*DB33*DC33*VLOOKUP('Données projet'!$B$13,Paramètres!$A$1:$I$89,3,0)*0.475*44/12</f>
        <v>4.606574665381129</v>
      </c>
      <c r="DG33" s="21">
        <f>EXP(-LN(2)/25)*DG32+(1-EXP(-LN(2)/25))/(LN(2)/25)*Calculateur!DB33*Calculateur!DD33*VLOOKUP('Données projet'!$B$13,Paramètres!$A$1:$I$89,3,0)*0.475*44/12</f>
        <v>24.540374492991766</v>
      </c>
      <c r="DH33" s="21">
        <f>EXP(-LN(2)/2)*DH32+(1-EXP(-LN(2)/2))/(LN(2)/2)*DB33*DE33*VLOOKUP('Données projet'!$B$13,Paramètres!$A$1:$I$89,3,0)*0.475*44/12</f>
        <v>14.363614636760769</v>
      </c>
      <c r="DI33" s="22">
        <f t="shared" si="15"/>
        <v>43.510563795133663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146</v>
      </c>
      <c r="DM33" s="12">
        <f>VLOOKUP(A33,'Données projet'!$A$165:$I$185,9,0)</f>
        <v>11.8</v>
      </c>
      <c r="DN33" s="12">
        <f t="array" ref="DN33">INDEX(DM:DM,MIN(IF(ISNUMBER(DM33:DM229),ROW(DM33:DM229),"")))</f>
        <v>11.8</v>
      </c>
      <c r="DO33" s="12">
        <f>IF('Données projet'!$A$166&gt;35,DO32+DN33-DW32,IF(A33&lt;'Données projet'!$A$166,$DL$205^A33,IF(A33='Données projet'!$A$166,'Données projet'!$B$166,DO32+DN33-DW32)))</f>
        <v>145.99999999999997</v>
      </c>
      <c r="DP33" s="17">
        <f>DO33*VLOOKUP('Données projet'!$B$14,Paramètres!$A$1:$I$89,3,0)*VLOOKUP('Données projet'!$B$14,Paramètres!$A$1:$I$89,5,0)</f>
        <v>118.43519999999998</v>
      </c>
      <c r="DQ33" s="13">
        <f t="shared" si="43"/>
        <v>31.309757056296963</v>
      </c>
      <c r="DR33" s="20">
        <f t="shared" si="16"/>
        <v>260.80580020638388</v>
      </c>
      <c r="DS33" s="59">
        <f t="shared" si="17"/>
        <v>554.13913353971725</v>
      </c>
      <c r="DT33" s="59">
        <f ca="1">AVERAGE(OFFSET($DS$3,0,0,'Données projet'!$E$14+1,1))-AVERAGE(OFFSET($H$3,0,0,'Données projet'!$E$14+1,1))</f>
        <v>304.26232113495314</v>
      </c>
      <c r="DU33" s="59">
        <f t="shared" si="44"/>
        <v>297.47246687305056</v>
      </c>
      <c r="DV33" s="15">
        <f>IF(ISNA(VLOOKUP(A33,'Données projet'!$A$165:$I$185,3,0)),0,VLOOKUP(A33,'Données projet'!$A$165:$I$185,3,0))</f>
        <v>4</v>
      </c>
      <c r="DW33" s="15">
        <f>IF(ISNA(VLOOKUP(A33,'Données projet'!$A$165:$I$185,4,0)),0,VLOOKUP(A33,'Données projet'!$A$165:$I$185,4,0))</f>
        <v>28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146</v>
      </c>
      <c r="EH33" s="12">
        <f>VLOOKUP(A33,'Données projet'!$A$191:$I$211,9,0)</f>
        <v>11.8</v>
      </c>
      <c r="EI33" s="12">
        <f t="array" ref="EI33">INDEX(EH:EH,MIN(IF(ISNUMBER(EH33:EH229),ROW(EH33:EH229),"")))</f>
        <v>11.8</v>
      </c>
      <c r="EJ33" s="12">
        <f>IF('Données projet'!$A$192&gt;35,EJ32+EI33-ER32,IF(A33&lt;'Données projet'!$A$192,$EG$205^A33,IF(A33='Données projet'!$A$192,'Données projet'!$B$192,EJ32+EI33-ER32)))</f>
        <v>145.99999999999997</v>
      </c>
      <c r="EK33" s="17">
        <f>EJ33*VLOOKUP('Données projet'!$B$15,Paramètres!$A$1:$I$89,3,0)*VLOOKUP('Données projet'!$B$15,Paramètres!$A$1:$I$89,5,0)</f>
        <v>141.21119999999996</v>
      </c>
      <c r="EL33" s="13">
        <f t="shared" si="45"/>
        <v>36.574335145278738</v>
      </c>
      <c r="EM33" s="20">
        <f t="shared" si="19"/>
        <v>309.64314037802706</v>
      </c>
      <c r="EN33" s="59">
        <f t="shared" si="20"/>
        <v>602.97647371136031</v>
      </c>
      <c r="EO33" s="59">
        <f ca="1">AVERAGE(OFFSET($EN$3,0,0,'Données projet'!$E$15+1,1))-AVERAGE(OFFSET($H$3,0,0,'Données projet'!$E$15+1,1))</f>
        <v>355.72173590705142</v>
      </c>
      <c r="EP33" s="59">
        <f t="shared" si="46"/>
        <v>346.30980704469363</v>
      </c>
      <c r="EQ33" s="15">
        <f>IF(ISNA(VLOOKUP(A33,'Données projet'!$A$191:$I$211,3,0)),0,VLOOKUP(A33,'Données projet'!$A$191:$I$211,3,0))</f>
        <v>4</v>
      </c>
      <c r="ER33" s="15">
        <f>IF(ISNA(VLOOKUP(A33,'Données projet'!$A$191:$I$211,4,0)),0,VLOOKUP(A33,'Données projet'!$A$191:$I$211,4,0))</f>
        <v>28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146</v>
      </c>
      <c r="FC33" s="12">
        <f>VLOOKUP(A33,'Données projet'!$A$217:$I$237,9,0)</f>
        <v>11.8</v>
      </c>
      <c r="FD33" s="12">
        <f t="array" ref="FD33">INDEX(FC:FC,MIN(IF(ISNUMBER(FC33:FC229),ROW(FC33:FC229),"")))</f>
        <v>11.8</v>
      </c>
      <c r="FE33" s="12">
        <f>IF('Données projet'!$A$218&gt;35,FE32+FD33-FM32,IF(A33&lt;'Données projet'!$A$218,$FB$205^A33,IF(A33='Données projet'!$A$218,'Données projet'!$B$218,FE32+FD33-FM32)))</f>
        <v>145.99999999999997</v>
      </c>
      <c r="FF33" s="17">
        <f>FE33*VLOOKUP('Données projet'!$B$16,Paramètres!$A$1:$I$89,3,0)*VLOOKUP('Données projet'!$B$16,Paramètres!$A$1:$I$89,5,0)</f>
        <v>107.04719999999996</v>
      </c>
      <c r="FG33" s="13">
        <f t="shared" si="47"/>
        <v>28.634183951187907</v>
      </c>
      <c r="FH33" s="20">
        <f t="shared" si="22"/>
        <v>236.31174371498548</v>
      </c>
      <c r="FI33" s="59">
        <f t="shared" si="23"/>
        <v>529.64507704831885</v>
      </c>
      <c r="FJ33" s="59">
        <f ca="1">AVERAGE(OFFSET($FI$3,0,0,'Données projet'!$E$16+1,1))-AVERAGE(OFFSET($H$3,0,0,'Données projet'!$E$16+1,1))</f>
        <v>278.45534008146865</v>
      </c>
      <c r="FK33" s="59">
        <f t="shared" si="48"/>
        <v>272.97841038165217</v>
      </c>
      <c r="FL33" s="15">
        <f>IF(ISNA(VLOOKUP(A33,'Données projet'!$A$217:$I$237,3,0)),0,VLOOKUP(A33,'Données projet'!$A$217:$I$237,3,0))</f>
        <v>4</v>
      </c>
      <c r="FM33" s="15">
        <f>IF(ISNA(VLOOKUP(A33,'Données projet'!$A$217:$I$237,4,0)),0,VLOOKUP(A33,'Données projet'!$A$217:$I$237,4,0))</f>
        <v>28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3</v>
      </c>
      <c r="N34" s="13">
        <f>IF('Données projet'!$A$36&gt;35,N33+M34-V33,IF(A34&lt;'Données projet'!$A$36,$K$205^A34,IF(A34='Données projet'!$A$36,'Données projet'!$B$36,N33+M34-V33)))</f>
        <v>93</v>
      </c>
      <c r="O34" s="13">
        <f>N34*VLOOKUP('Données projet'!$B$9,Paramètres!$A$1:$I$89,3,0)*VLOOKUP('Données projet'!$B$9,Paramètres!$A$1:$I$89,5,0)</f>
        <v>84.1464</v>
      </c>
      <c r="P34" s="13">
        <f t="shared" si="33"/>
        <v>23.14799971956144</v>
      </c>
      <c r="Q34" s="20">
        <f t="shared" si="2"/>
        <v>186.87107951156952</v>
      </c>
      <c r="R34" s="59">
        <f t="shared" si="0"/>
        <v>480.20441284490283</v>
      </c>
      <c r="S34" s="59">
        <f ca="1">AVERAGE(OFFSET($R$3,0,0,'Données projet'!$E$9+1,1))-AVERAGE(OFFSET($H$3,0,0,'Données projet'!$E$9+1,1))</f>
        <v>436.03161778768742</v>
      </c>
      <c r="T34" s="59">
        <f t="shared" si="34"/>
        <v>217.65884352525285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3</v>
      </c>
      <c r="AI34" s="13">
        <f>IF('Données projet'!$A$62&gt;35,AI33+AH34-AQ33,IF(A34&lt;'Données projet'!$A$62,$AF$205^A34,IF(A34='Données projet'!$A$62,'Données projet'!$B$62,AI33+AH34-AQ33)))</f>
        <v>93</v>
      </c>
      <c r="AJ34" s="13">
        <f>AI34*VLOOKUP('Données projet'!$B$10,Paramètres!$A$1:$I$89,3,0)*VLOOKUP('Données projet'!$B$10,Paramètres!$A$1:$I$89,5,0)</f>
        <v>94.302000000000007</v>
      </c>
      <c r="AK34" s="13">
        <f t="shared" si="35"/>
        <v>25.599927492506424</v>
      </c>
      <c r="AL34" s="20">
        <f t="shared" si="4"/>
        <v>208.829190382782</v>
      </c>
      <c r="AM34" s="59">
        <f t="shared" si="5"/>
        <v>502.16252371611529</v>
      </c>
      <c r="AN34" s="59">
        <f ca="1">AVERAGE(OFFSET($AM$3,0,0,'Données projet'!$E$10+1,1))-AVERAGE(OFFSET($H$3,0,0,'Données projet'!$E$10+1,1))</f>
        <v>483.45320081988984</v>
      </c>
      <c r="AO34" s="59">
        <f t="shared" si="36"/>
        <v>238.92443174298893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7.3</v>
      </c>
      <c r="BD34" s="12">
        <f>IF('Données projet'!$A$88&gt;35,BD33+BC34-BL33,IF(A34&lt;'Données projet'!$A$88,$BA$205^A34,IF(A34='Données projet'!$A$88,'Données projet'!$B$88,BD33+BC34-BL33)))</f>
        <v>147.30000000000001</v>
      </c>
      <c r="BE34" s="13">
        <f>BD34*VLOOKUP('Données projet'!$B$11,Paramètres!$A$1:$I$89,3,0)*VLOOKUP('Données projet'!$B$11,Paramètres!$A$1:$I$89,5,0)</f>
        <v>128.68128000000002</v>
      </c>
      <c r="BF34" s="13">
        <f t="shared" si="37"/>
        <v>33.691461276802286</v>
      </c>
      <c r="BG34" s="20">
        <f t="shared" si="7"/>
        <v>282.79919105709729</v>
      </c>
      <c r="BH34" s="59">
        <f t="shared" si="8"/>
        <v>576.1325243904306</v>
      </c>
      <c r="BI34" s="59">
        <f ca="1">AVERAGE(OFFSET($BH$3,0,0,'Données projet'!$E$11+1,1))-AVERAGE(OFFSET($H$3,0,0,'Données projet'!$E$11+1,1))</f>
        <v>310.44153296396854</v>
      </c>
      <c r="BJ34" s="59">
        <f t="shared" si="38"/>
        <v>388.05195847800502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27.6</v>
      </c>
      <c r="BY34" s="12">
        <f>IF('Données projet'!$A$114&gt;35,BY33+BX34-CG33,IF(A34&lt;'Données projet'!$A$114,$BV$205^A34,IF(A34='Données projet'!$A$114,'Données projet'!$B$114,BY33+BX34-CG33)))</f>
        <v>394.6</v>
      </c>
      <c r="BZ34" s="13">
        <f>BY34*VLOOKUP('Données projet'!$B$12,Paramètres!$A$1:$I$89,3,0)*VLOOKUP('Données projet'!$B$12,Paramètres!$A$1:$I$89,5,0)</f>
        <v>220.5814</v>
      </c>
      <c r="CA34" s="13">
        <f t="shared" si="39"/>
        <v>54.241230721401301</v>
      </c>
      <c r="CB34" s="20">
        <f t="shared" si="10"/>
        <v>478.64941517310723</v>
      </c>
      <c r="CC34" s="59">
        <f t="shared" si="11"/>
        <v>771.98274850644054</v>
      </c>
      <c r="CD34" s="59">
        <f ca="1">AVERAGE(OFFSET($CC$3,0,0,'Données projet'!$E$12+1,1))-AVERAGE(OFFSET($H$3,0,0,'Données projet'!$E$12+1,1))</f>
        <v>443.34220761968419</v>
      </c>
      <c r="CE34" s="59">
        <f t="shared" si="40"/>
        <v>546.58234447298014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23.947642062423434</v>
      </c>
      <c r="CM34" s="21">
        <f>EXP(-LN(2)/2)*CM33+(1-EXP(-LN(2)/2))/(LN(2)/2)*CG34*CJ34*VLOOKUP('Données projet'!$B$12,Paramètres!$A$1:$I$89,3,0)*0.475*44/12</f>
        <v>11.37575315184754</v>
      </c>
      <c r="CN34" s="22">
        <f t="shared" si="12"/>
        <v>35.323395214270974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12.833333333333334</v>
      </c>
      <c r="CT34" s="12">
        <f>IF('Données projet'!$A$140&gt;35,CT33+CS34-DB33,IF(A34&lt;'Données projet'!$A$140,$CQ$205^A34,IF(A34='Données projet'!$A$140,'Données projet'!$B$140,CT33+CS34-DB33)))</f>
        <v>183.83333333333329</v>
      </c>
      <c r="CU34" s="17">
        <f>CT34*VLOOKUP('Données projet'!$B$13,Paramètres!$A$1:$I$89,3,0)*VLOOKUP('Données projet'!$B$13,Paramètres!$A$1:$I$89,5,0)</f>
        <v>100.37299999999998</v>
      </c>
      <c r="CV34" s="13">
        <f t="shared" si="41"/>
        <v>27.050840390811409</v>
      </c>
      <c r="CW34" s="20">
        <f t="shared" si="13"/>
        <v>221.92985534732983</v>
      </c>
      <c r="CX34" s="59">
        <f t="shared" si="14"/>
        <v>515.26318868066312</v>
      </c>
      <c r="CY34" s="59">
        <f ca="1">AVERAGE(OFFSET($CX$3,0,0,'Données projet'!$E$13+1,1))-AVERAGE(OFFSET($H$3,0,0,'Données projet'!$E$13+1,1))</f>
        <v>214.22606988805535</v>
      </c>
      <c r="CZ34" s="59">
        <f t="shared" si="42"/>
        <v>305.78163836959078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4.5162425459261133</v>
      </c>
      <c r="DG34" s="21">
        <f>EXP(-LN(2)/25)*DG33+(1-EXP(-LN(2)/25))/(LN(2)/25)*Calculateur!DB34*Calculateur!DD34*VLOOKUP('Données projet'!$B$13,Paramètres!$A$1:$I$89,3,0)*0.475*44/12</f>
        <v>23.869316661958699</v>
      </c>
      <c r="DH34" s="21">
        <f>EXP(-LN(2)/2)*DH33+(1-EXP(-LN(2)/2))/(LN(2)/2)*DB34*DE34*VLOOKUP('Données projet'!$B$13,Paramètres!$A$1:$I$89,3,0)*0.475*44/12</f>
        <v>10.156609312003889</v>
      </c>
      <c r="DI34" s="22">
        <f t="shared" si="15"/>
        <v>38.542168519888698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10.8</v>
      </c>
      <c r="DO34" s="12">
        <f>IF('Données projet'!$A$166&gt;35,DO33+DN34-DW33,IF(A34&lt;'Données projet'!$A$166,$DL$205^A34,IF(A34='Données projet'!$A$166,'Données projet'!$B$166,DO33+DN34-DW33)))</f>
        <v>128.79999999999998</v>
      </c>
      <c r="DP34" s="17">
        <f>DO34*VLOOKUP('Données projet'!$B$14,Paramètres!$A$1:$I$89,3,0)*VLOOKUP('Données projet'!$B$14,Paramètres!$A$1:$I$89,5,0)</f>
        <v>104.48256000000001</v>
      </c>
      <c r="DQ34" s="13">
        <f t="shared" si="43"/>
        <v>28.02716504477474</v>
      </c>
      <c r="DR34" s="20">
        <f t="shared" si="16"/>
        <v>230.78777111964931</v>
      </c>
      <c r="DS34" s="59">
        <f t="shared" si="17"/>
        <v>524.12110445298265</v>
      </c>
      <c r="DT34" s="59">
        <f ca="1">AVERAGE(OFFSET($DS$3,0,0,'Données projet'!$E$14+1,1))-AVERAGE(OFFSET($H$3,0,0,'Données projet'!$E$14+1,1))</f>
        <v>304.26232113495314</v>
      </c>
      <c r="DU34" s="59">
        <f t="shared" si="44"/>
        <v>297.47246687305056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10.8</v>
      </c>
      <c r="EJ34" s="12">
        <f>IF('Données projet'!$A$192&gt;35,EJ33+EI34-ER33,IF(A34&lt;'Données projet'!$A$192,$EG$205^A34,IF(A34='Données projet'!$A$192,'Données projet'!$B$192,EJ33+EI34-ER33)))</f>
        <v>128.79999999999998</v>
      </c>
      <c r="EK34" s="17">
        <f>EJ34*VLOOKUP('Données projet'!$B$15,Paramètres!$A$1:$I$89,3,0)*VLOOKUP('Données projet'!$B$15,Paramètres!$A$1:$I$89,5,0)</f>
        <v>124.57535999999999</v>
      </c>
      <c r="EL34" s="13">
        <f t="shared" si="45"/>
        <v>32.739791806000952</v>
      </c>
      <c r="EM34" s="20">
        <f t="shared" si="19"/>
        <v>273.99055606211823</v>
      </c>
      <c r="EN34" s="59">
        <f t="shared" si="20"/>
        <v>567.32388939545149</v>
      </c>
      <c r="EO34" s="59">
        <f ca="1">AVERAGE(OFFSET($EN$3,0,0,'Données projet'!$E$15+1,1))-AVERAGE(OFFSET($H$3,0,0,'Données projet'!$E$15+1,1))</f>
        <v>355.72173590705142</v>
      </c>
      <c r="EP34" s="59">
        <f t="shared" si="46"/>
        <v>346.30980704469363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10.8</v>
      </c>
      <c r="FE34" s="12">
        <f>IF('Données projet'!$A$218&gt;35,FE33+FD34-FM33,IF(A34&lt;'Données projet'!$A$218,$FB$205^A34,IF(A34='Données projet'!$A$218,'Données projet'!$B$218,FE33+FD34-FM33)))</f>
        <v>128.79999999999998</v>
      </c>
      <c r="FF34" s="17">
        <f>FE34*VLOOKUP('Données projet'!$B$16,Paramètres!$A$1:$I$89,3,0)*VLOOKUP('Données projet'!$B$16,Paramètres!$A$1:$I$89,5,0)</f>
        <v>94.436159999999987</v>
      </c>
      <c r="FG34" s="13">
        <f t="shared" si="47"/>
        <v>25.632105611020013</v>
      </c>
      <c r="FH34" s="20">
        <f t="shared" si="22"/>
        <v>209.11889593919315</v>
      </c>
      <c r="FI34" s="59">
        <f t="shared" si="23"/>
        <v>502.45222927252644</v>
      </c>
      <c r="FJ34" s="59">
        <f ca="1">AVERAGE(OFFSET($FI$3,0,0,'Données projet'!$E$16+1,1))-AVERAGE(OFFSET($H$3,0,0,'Données projet'!$E$16+1,1))</f>
        <v>278.45534008146865</v>
      </c>
      <c r="FK34" s="59">
        <f t="shared" si="48"/>
        <v>272.97841038165217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3</v>
      </c>
      <c r="N35" s="13">
        <f>IF('Données projet'!$A$36&gt;35,N34+M35-V34,IF(A35&lt;'Données projet'!$A$36,$K$205^A35,IF(A35='Données projet'!$A$36,'Données projet'!$B$36,N34+M35-V34)))</f>
        <v>96</v>
      </c>
      <c r="O35" s="13">
        <f>N35*VLOOKUP('Données projet'!$B$9,Paramètres!$A$1:$I$89,3,0)*VLOOKUP('Données projet'!$B$9,Paramètres!$A$1:$I$89,5,0)</f>
        <v>86.860799999999998</v>
      </c>
      <c r="P35" s="13">
        <f t="shared" si="33"/>
        <v>23.806568296036275</v>
      </c>
      <c r="Q35" s="20">
        <f t="shared" ref="Q35:Q66" si="53">(O35+P35)*0.475*44/12</f>
        <v>192.74566644892982</v>
      </c>
      <c r="R35" s="59">
        <f t="shared" si="0"/>
        <v>486.07899978226317</v>
      </c>
      <c r="S35" s="59">
        <f ca="1">AVERAGE(OFFSET($R$3,0,0,'Données projet'!$E$9+1,1))-AVERAGE(OFFSET($H$3,0,0,'Données projet'!$E$9+1,1))</f>
        <v>436.03161778768742</v>
      </c>
      <c r="T35" s="59">
        <f t="shared" si="34"/>
        <v>217.65884352525285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3</v>
      </c>
      <c r="AI35" s="13">
        <f>IF('Données projet'!$A$62&gt;35,AI34+AH35-AQ34,IF(A35&lt;'Données projet'!$A$62,$AF$205^A35,IF(A35='Données projet'!$A$62,'Données projet'!$B$62,AI34+AH35-AQ34)))</f>
        <v>96</v>
      </c>
      <c r="AJ35" s="13">
        <f>AI35*VLOOKUP('Données projet'!$B$10,Paramètres!$A$1:$I$89,3,0)*VLOOKUP('Données projet'!$B$10,Paramètres!$A$1:$I$89,5,0)</f>
        <v>97.344000000000008</v>
      </c>
      <c r="AK35" s="13">
        <f t="shared" si="35"/>
        <v>26.328254259866473</v>
      </c>
      <c r="AL35" s="20">
        <f t="shared" si="4"/>
        <v>215.3958428359341</v>
      </c>
      <c r="AM35" s="59">
        <f t="shared" si="5"/>
        <v>508.72917616926742</v>
      </c>
      <c r="AN35" s="59">
        <f ca="1">AVERAGE(OFFSET($AM$3,0,0,'Données projet'!$E$10+1,1))-AVERAGE(OFFSET($H$3,0,0,'Données projet'!$E$10+1,1))</f>
        <v>483.45320081988984</v>
      </c>
      <c r="AO35" s="59">
        <f t="shared" si="36"/>
        <v>238.92443174298893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7.3</v>
      </c>
      <c r="BD35" s="12">
        <f>IF('Données projet'!$A$88&gt;35,BD34+BC35-BL34,IF(A35&lt;'Données projet'!$A$88,$BA$205^A35,IF(A35='Données projet'!$A$88,'Données projet'!$B$88,BD34+BC35-BL34)))</f>
        <v>154.60000000000002</v>
      </c>
      <c r="BE35" s="13">
        <f>BD35*VLOOKUP('Données projet'!$B$11,Paramètres!$A$1:$I$89,3,0)*VLOOKUP('Données projet'!$B$11,Paramètres!$A$1:$I$89,5,0)</f>
        <v>135.05856000000003</v>
      </c>
      <c r="BF35" s="13">
        <f t="shared" si="37"/>
        <v>35.16263443880888</v>
      </c>
      <c r="BG35" s="20">
        <f t="shared" si="7"/>
        <v>296.46858031425882</v>
      </c>
      <c r="BH35" s="59">
        <f t="shared" si="8"/>
        <v>589.80191364759207</v>
      </c>
      <c r="BI35" s="59">
        <f ca="1">AVERAGE(OFFSET($BH$3,0,0,'Données projet'!$E$11+1,1))-AVERAGE(OFFSET($H$3,0,0,'Données projet'!$E$11+1,1))</f>
        <v>310.44153296396854</v>
      </c>
      <c r="BJ35" s="59">
        <f t="shared" si="38"/>
        <v>388.05195847800502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27.6</v>
      </c>
      <c r="BY35" s="12">
        <f>IF('Données projet'!$A$114&gt;35,BY34+BX35-CG34,IF(A35&lt;'Données projet'!$A$114,$BV$205^A35,IF(A35='Données projet'!$A$114,'Données projet'!$B$114,BY34+BX35-CG34)))</f>
        <v>422.20000000000005</v>
      </c>
      <c r="BZ35" s="13">
        <f>BY35*VLOOKUP('Données projet'!$B$12,Paramètres!$A$1:$I$89,3,0)*VLOOKUP('Données projet'!$B$12,Paramètres!$A$1:$I$89,5,0)</f>
        <v>236.00980000000004</v>
      </c>
      <c r="CA35" s="13">
        <f t="shared" si="39"/>
        <v>57.580183613654185</v>
      </c>
      <c r="CB35" s="20">
        <f t="shared" si="10"/>
        <v>511.3358881271144</v>
      </c>
      <c r="CC35" s="59">
        <f t="shared" si="11"/>
        <v>804.66922146044772</v>
      </c>
      <c r="CD35" s="59">
        <f ca="1">AVERAGE(OFFSET($CC$3,0,0,'Données projet'!$E$12+1,1))-AVERAGE(OFFSET($H$3,0,0,'Données projet'!$E$12+1,1))</f>
        <v>443.34220761968419</v>
      </c>
      <c r="CE35" s="59">
        <f t="shared" si="40"/>
        <v>546.58234447298014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23.292792530874703</v>
      </c>
      <c r="CM35" s="21">
        <f>EXP(-LN(2)/2)*CM34+(1-EXP(-LN(2)/2))/(LN(2)/2)*CG35*CJ35*VLOOKUP('Données projet'!$B$12,Paramètres!$A$1:$I$89,3,0)*0.475*44/12</f>
        <v>8.0438721947756378</v>
      </c>
      <c r="CN35" s="22">
        <f t="shared" si="12"/>
        <v>31.336664725650341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12.833333333333334</v>
      </c>
      <c r="CT35" s="12">
        <f>IF('Données projet'!$A$140&gt;35,CT34+CS35-DB34,IF(A35&lt;'Données projet'!$A$140,$CQ$205^A35,IF(A35='Données projet'!$A$140,'Données projet'!$B$140,CT34+CS35-DB34)))</f>
        <v>196.66666666666663</v>
      </c>
      <c r="CU35" s="17">
        <f>CT35*VLOOKUP('Données projet'!$B$13,Paramètres!$A$1:$I$89,3,0)*VLOOKUP('Données projet'!$B$13,Paramètres!$A$1:$I$89,5,0)</f>
        <v>107.37999999999998</v>
      </c>
      <c r="CV35" s="13">
        <f t="shared" si="41"/>
        <v>28.712828753743615</v>
      </c>
      <c r="CW35" s="20">
        <f t="shared" si="13"/>
        <v>237.02834341277006</v>
      </c>
      <c r="CX35" s="59">
        <f t="shared" si="14"/>
        <v>530.3616767461034</v>
      </c>
      <c r="CY35" s="59">
        <f ca="1">AVERAGE(OFFSET($CX$3,0,0,'Données projet'!$E$13+1,1))-AVERAGE(OFFSET($H$3,0,0,'Données projet'!$E$13+1,1))</f>
        <v>214.22606988805535</v>
      </c>
      <c r="CZ35" s="59">
        <f t="shared" si="42"/>
        <v>305.78163836959078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4.4276817842364578</v>
      </c>
      <c r="DG35" s="21">
        <f>EXP(-LN(2)/25)*DG34+(1-EXP(-LN(2)/25))/(LN(2)/25)*Calculateur!DB35*Calculateur!DD35*VLOOKUP('Données projet'!$B$13,Paramètres!$A$1:$I$89,3,0)*0.475*44/12</f>
        <v>23.21660894260463</v>
      </c>
      <c r="DH35" s="21">
        <f>EXP(-LN(2)/2)*DH34+(1-EXP(-LN(2)/2))/(LN(2)/2)*DB35*DE35*VLOOKUP('Données projet'!$B$13,Paramètres!$A$1:$I$89,3,0)*0.475*44/12</f>
        <v>7.1818073183803852</v>
      </c>
      <c r="DI35" s="22">
        <f t="shared" si="15"/>
        <v>34.826098045221471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10.8</v>
      </c>
      <c r="DO35" s="12">
        <f>IF('Données projet'!$A$166&gt;35,DO34+DN35-DW34,IF(A35&lt;'Données projet'!$A$166,$DL$205^A35,IF(A35='Données projet'!$A$166,'Données projet'!$B$166,DO34+DN35-DW34)))</f>
        <v>139.6</v>
      </c>
      <c r="DP35" s="17">
        <f>DO35*VLOOKUP('Données projet'!$B$14,Paramètres!$A$1:$I$89,3,0)*VLOOKUP('Données projet'!$B$14,Paramètres!$A$1:$I$89,5,0)</f>
        <v>113.24352</v>
      </c>
      <c r="DQ35" s="13">
        <f t="shared" si="43"/>
        <v>30.093885898919435</v>
      </c>
      <c r="DR35" s="20">
        <f t="shared" si="16"/>
        <v>249.64598194061804</v>
      </c>
      <c r="DS35" s="59">
        <f t="shared" si="17"/>
        <v>542.97931527395133</v>
      </c>
      <c r="DT35" s="59">
        <f ca="1">AVERAGE(OFFSET($DS$3,0,0,'Données projet'!$E$14+1,1))-AVERAGE(OFFSET($H$3,0,0,'Données projet'!$E$14+1,1))</f>
        <v>304.26232113495314</v>
      </c>
      <c r="DU35" s="59">
        <f t="shared" si="44"/>
        <v>297.47246687305056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10.8</v>
      </c>
      <c r="EJ35" s="12">
        <f>IF('Données projet'!$A$192&gt;35,EJ34+EI35-ER34,IF(A35&lt;'Données projet'!$A$192,$EG$205^A35,IF(A35='Données projet'!$A$192,'Données projet'!$B$192,EJ34+EI35-ER34)))</f>
        <v>139.6</v>
      </c>
      <c r="EK35" s="17">
        <f>EJ35*VLOOKUP('Données projet'!$B$15,Paramètres!$A$1:$I$89,3,0)*VLOOKUP('Données projet'!$B$15,Paramètres!$A$1:$I$89,5,0)</f>
        <v>135.02112</v>
      </c>
      <c r="EL35" s="13">
        <f t="shared" si="45"/>
        <v>35.154021371414437</v>
      </c>
      <c r="EM35" s="20">
        <f t="shared" si="19"/>
        <v>296.38837122188016</v>
      </c>
      <c r="EN35" s="59">
        <f t="shared" si="20"/>
        <v>589.72170455521348</v>
      </c>
      <c r="EO35" s="59">
        <f ca="1">AVERAGE(OFFSET($EN$3,0,0,'Données projet'!$E$15+1,1))-AVERAGE(OFFSET($H$3,0,0,'Données projet'!$E$15+1,1))</f>
        <v>355.72173590705142</v>
      </c>
      <c r="EP35" s="59">
        <f t="shared" si="46"/>
        <v>346.30980704469363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10.8</v>
      </c>
      <c r="FE35" s="12">
        <f>IF('Données projet'!$A$218&gt;35,FE34+FD35-FM34,IF(A35&lt;'Données projet'!$A$218,$FB$205^A35,IF(A35='Données projet'!$A$218,'Données projet'!$B$218,FE34+FD35-FM34)))</f>
        <v>139.6</v>
      </c>
      <c r="FF35" s="17">
        <f>FE35*VLOOKUP('Données projet'!$B$16,Paramètres!$A$1:$I$89,3,0)*VLOOKUP('Données projet'!$B$16,Paramètres!$A$1:$I$89,5,0)</f>
        <v>102.35472</v>
      </c>
      <c r="FG35" s="13">
        <f t="shared" si="47"/>
        <v>27.522214978746117</v>
      </c>
      <c r="FH35" s="20">
        <f t="shared" si="22"/>
        <v>226.20232842131611</v>
      </c>
      <c r="FI35" s="59">
        <f t="shared" si="23"/>
        <v>519.53566175464948</v>
      </c>
      <c r="FJ35" s="59">
        <f ca="1">AVERAGE(OFFSET($FI$3,0,0,'Données projet'!$E$16+1,1))-AVERAGE(OFFSET($H$3,0,0,'Données projet'!$E$16+1,1))</f>
        <v>278.45534008146865</v>
      </c>
      <c r="FK35" s="59">
        <f t="shared" si="48"/>
        <v>272.97841038165217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3</v>
      </c>
      <c r="N36" s="13">
        <f>IF('Données projet'!$A$36&gt;35,N35+M36-V35,IF(A36&lt;'Données projet'!$A$36,$K$205^A36,IF(A36='Données projet'!$A$36,'Données projet'!$B$36,N35+M36-V35)))</f>
        <v>99</v>
      </c>
      <c r="O36" s="13">
        <f>N36*VLOOKUP('Données projet'!$B$9,Paramètres!$A$1:$I$89,3,0)*VLOOKUP('Données projet'!$B$9,Paramètres!$A$1:$I$89,5,0)</f>
        <v>89.575199999999995</v>
      </c>
      <c r="P36" s="13">
        <f t="shared" si="33"/>
        <v>24.462745269668691</v>
      </c>
      <c r="Q36" s="20">
        <f t="shared" si="53"/>
        <v>198.6160880113396</v>
      </c>
      <c r="R36" s="59">
        <f t="shared" si="0"/>
        <v>491.94942134467294</v>
      </c>
      <c r="S36" s="59">
        <f ca="1">AVERAGE(OFFSET($R$3,0,0,'Données projet'!$E$9+1,1))-AVERAGE(OFFSET($H$3,0,0,'Données projet'!$E$9+1,1))</f>
        <v>436.03161778768742</v>
      </c>
      <c r="T36" s="59">
        <f t="shared" si="34"/>
        <v>217.65884352525285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3</v>
      </c>
      <c r="AI36" s="13">
        <f>IF('Données projet'!$A$62&gt;35,AI35+AH36-AQ35,IF(A36&lt;'Données projet'!$A$62,$AF$205^A36,IF(A36='Données projet'!$A$62,'Données projet'!$B$62,AI35+AH36-AQ35)))</f>
        <v>99</v>
      </c>
      <c r="AJ36" s="13">
        <f>AI36*VLOOKUP('Données projet'!$B$10,Paramètres!$A$1:$I$89,3,0)*VLOOKUP('Données projet'!$B$10,Paramètres!$A$1:$I$89,5,0)</f>
        <v>100.38600000000001</v>
      </c>
      <c r="AK36" s="13">
        <f t="shared" si="35"/>
        <v>27.05393609634266</v>
      </c>
      <c r="AL36" s="20">
        <f t="shared" si="4"/>
        <v>221.95788870113014</v>
      </c>
      <c r="AM36" s="59">
        <f t="shared" si="5"/>
        <v>515.29122203446343</v>
      </c>
      <c r="AN36" s="59">
        <f ca="1">AVERAGE(OFFSET($AM$3,0,0,'Données projet'!$E$10+1,1))-AVERAGE(OFFSET($H$3,0,0,'Données projet'!$E$10+1,1))</f>
        <v>483.45320081988984</v>
      </c>
      <c r="AO36" s="59">
        <f t="shared" si="36"/>
        <v>238.92443174298893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7.3</v>
      </c>
      <c r="BD36" s="12">
        <f>IF('Données projet'!$A$88&gt;35,BD35+BC36-BL35,IF(A36&lt;'Données projet'!$A$88,$BA$205^A36,IF(A36='Données projet'!$A$88,'Données projet'!$B$88,BD35+BC36-BL35)))</f>
        <v>161.90000000000003</v>
      </c>
      <c r="BE36" s="13">
        <f>BD36*VLOOKUP('Données projet'!$B$11,Paramètres!$A$1:$I$89,3,0)*VLOOKUP('Données projet'!$B$11,Paramètres!$A$1:$I$89,5,0)</f>
        <v>141.43584000000004</v>
      </c>
      <c r="BF36" s="13">
        <f t="shared" si="37"/>
        <v>36.625740683064912</v>
      </c>
      <c r="BG36" s="20">
        <f t="shared" si="7"/>
        <v>310.12391968967148</v>
      </c>
      <c r="BH36" s="59">
        <f t="shared" si="8"/>
        <v>603.4572530230048</v>
      </c>
      <c r="BI36" s="59">
        <f ca="1">AVERAGE(OFFSET($BH$3,0,0,'Données projet'!$E$11+1,1))-AVERAGE(OFFSET($H$3,0,0,'Données projet'!$E$11+1,1))</f>
        <v>310.44153296396854</v>
      </c>
      <c r="BJ36" s="59">
        <f t="shared" si="38"/>
        <v>388.05195847800502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27.6</v>
      </c>
      <c r="BY36" s="12">
        <f>IF('Données projet'!$A$114&gt;35,BY35+BX36-CG35,IF(A36&lt;'Données projet'!$A$114,$BV$205^A36,IF(A36='Données projet'!$A$114,'Données projet'!$B$114,BY35+BX36-CG35)))</f>
        <v>449.80000000000007</v>
      </c>
      <c r="BZ36" s="13">
        <f>BY36*VLOOKUP('Données projet'!$B$12,Paramètres!$A$1:$I$89,3,0)*VLOOKUP('Données projet'!$B$12,Paramètres!$A$1:$I$89,5,0)</f>
        <v>251.43820000000002</v>
      </c>
      <c r="CA36" s="13">
        <f t="shared" si="39"/>
        <v>60.893806844597648</v>
      </c>
      <c r="CB36" s="20">
        <f t="shared" si="10"/>
        <v>543.978245254341</v>
      </c>
      <c r="CC36" s="59">
        <f t="shared" si="11"/>
        <v>837.31157858767438</v>
      </c>
      <c r="CD36" s="59">
        <f ca="1">AVERAGE(OFFSET($CC$3,0,0,'Données projet'!$E$12+1,1))-AVERAGE(OFFSET($H$3,0,0,'Données projet'!$E$12+1,1))</f>
        <v>443.34220761968419</v>
      </c>
      <c r="CE36" s="59">
        <f t="shared" si="40"/>
        <v>546.58234447298014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22.655849894203211</v>
      </c>
      <c r="CM36" s="21">
        <f>EXP(-LN(2)/2)*CM35+(1-EXP(-LN(2)/2))/(LN(2)/2)*CG36*CJ36*VLOOKUP('Données projet'!$B$12,Paramètres!$A$1:$I$89,3,0)*0.475*44/12</f>
        <v>5.687876575923771</v>
      </c>
      <c r="CN36" s="22">
        <f t="shared" si="12"/>
        <v>28.343726470126981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12.833333333333334</v>
      </c>
      <c r="CT36" s="12">
        <f>IF('Données projet'!$A$140&gt;35,CT35+CS36-DB35,IF(A36&lt;'Données projet'!$A$140,$CQ$205^A36,IF(A36='Données projet'!$A$140,'Données projet'!$B$140,CT35+CS36-DB35)))</f>
        <v>209.49999999999997</v>
      </c>
      <c r="CU36" s="17">
        <f>CT36*VLOOKUP('Données projet'!$B$13,Paramètres!$A$1:$I$89,3,0)*VLOOKUP('Données projet'!$B$13,Paramètres!$A$1:$I$89,5,0)</f>
        <v>114.38699999999997</v>
      </c>
      <c r="CV36" s="13">
        <f t="shared" si="41"/>
        <v>30.362231725170943</v>
      </c>
      <c r="CW36" s="20">
        <f t="shared" si="13"/>
        <v>252.10491192133932</v>
      </c>
      <c r="CX36" s="59">
        <f t="shared" si="14"/>
        <v>545.43824525467267</v>
      </c>
      <c r="CY36" s="59">
        <f ca="1">AVERAGE(OFFSET($CX$3,0,0,'Données projet'!$E$13+1,1))-AVERAGE(OFFSET($H$3,0,0,'Données projet'!$E$13+1,1))</f>
        <v>214.22606988805535</v>
      </c>
      <c r="CZ36" s="59">
        <f t="shared" si="42"/>
        <v>305.78163836959078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4.340857645066805</v>
      </c>
      <c r="DG36" s="21">
        <f>EXP(-LN(2)/25)*DG35+(1-EXP(-LN(2)/25))/(LN(2)/25)*Calculateur!DB36*Calculateur!DD36*VLOOKUP('Données projet'!$B$13,Paramètres!$A$1:$I$89,3,0)*0.475*44/12</f>
        <v>22.581749550160705</v>
      </c>
      <c r="DH36" s="21">
        <f>EXP(-LN(2)/2)*DH35+(1-EXP(-LN(2)/2))/(LN(2)/2)*DB36*DE36*VLOOKUP('Données projet'!$B$13,Paramètres!$A$1:$I$89,3,0)*0.475*44/12</f>
        <v>5.0783046560019454</v>
      </c>
      <c r="DI36" s="22">
        <f t="shared" si="15"/>
        <v>32.000911851229453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10.8</v>
      </c>
      <c r="DO36" s="12">
        <f>IF('Données projet'!$A$166&gt;35,DO35+DN36-DW35,IF(A36&lt;'Données projet'!$A$166,$DL$205^A36,IF(A36='Données projet'!$A$166,'Données projet'!$B$166,DO35+DN36-DW35)))</f>
        <v>150.4</v>
      </c>
      <c r="DP36" s="17">
        <f>DO36*VLOOKUP('Données projet'!$B$14,Paramètres!$A$1:$I$89,3,0)*VLOOKUP('Données projet'!$B$14,Paramètres!$A$1:$I$89,5,0)</f>
        <v>122.00448000000003</v>
      </c>
      <c r="DQ36" s="13">
        <f t="shared" si="43"/>
        <v>32.142059634860118</v>
      </c>
      <c r="DR36" s="20">
        <f t="shared" si="16"/>
        <v>268.47188986404808</v>
      </c>
      <c r="DS36" s="59">
        <f t="shared" si="17"/>
        <v>561.80522319738134</v>
      </c>
      <c r="DT36" s="59">
        <f ca="1">AVERAGE(OFFSET($DS$3,0,0,'Données projet'!$E$14+1,1))-AVERAGE(OFFSET($H$3,0,0,'Données projet'!$E$14+1,1))</f>
        <v>304.26232113495314</v>
      </c>
      <c r="DU36" s="59">
        <f t="shared" si="44"/>
        <v>297.47246687305056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10.8</v>
      </c>
      <c r="EJ36" s="12">
        <f>IF('Données projet'!$A$192&gt;35,EJ35+EI36-ER35,IF(A36&lt;'Données projet'!$A$192,$EG$205^A36,IF(A36='Données projet'!$A$192,'Données projet'!$B$192,EJ35+EI36-ER35)))</f>
        <v>150.4</v>
      </c>
      <c r="EK36" s="17">
        <f>EJ36*VLOOKUP('Données projet'!$B$15,Paramètres!$A$1:$I$89,3,0)*VLOOKUP('Données projet'!$B$15,Paramètres!$A$1:$I$89,5,0)</f>
        <v>145.46688</v>
      </c>
      <c r="EL36" s="13">
        <f t="shared" si="45"/>
        <v>37.546585214032511</v>
      </c>
      <c r="EM36" s="20">
        <f t="shared" si="19"/>
        <v>318.74845191443995</v>
      </c>
      <c r="EN36" s="59">
        <f t="shared" si="20"/>
        <v>612.08178524777327</v>
      </c>
      <c r="EO36" s="59">
        <f ca="1">AVERAGE(OFFSET($EN$3,0,0,'Données projet'!$E$15+1,1))-AVERAGE(OFFSET($H$3,0,0,'Données projet'!$E$15+1,1))</f>
        <v>355.72173590705142</v>
      </c>
      <c r="EP36" s="59">
        <f t="shared" si="46"/>
        <v>346.30980704469363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10.8</v>
      </c>
      <c r="FE36" s="12">
        <f>IF('Données projet'!$A$218&gt;35,FE35+FD36-FM35,IF(A36&lt;'Données projet'!$A$218,$FB$205^A36,IF(A36='Données projet'!$A$218,'Données projet'!$B$218,FE35+FD36-FM35)))</f>
        <v>150.4</v>
      </c>
      <c r="FF36" s="17">
        <f>FE36*VLOOKUP('Données projet'!$B$16,Paramètres!$A$1:$I$89,3,0)*VLOOKUP('Données projet'!$B$16,Paramètres!$A$1:$I$89,5,0)</f>
        <v>110.27328000000001</v>
      </c>
      <c r="FG36" s="13">
        <f t="shared" si="47"/>
        <v>29.3953621709605</v>
      </c>
      <c r="FH36" s="20">
        <f t="shared" si="22"/>
        <v>243.2562184477562</v>
      </c>
      <c r="FI36" s="59">
        <f t="shared" si="23"/>
        <v>536.58955178108954</v>
      </c>
      <c r="FJ36" s="59">
        <f ca="1">AVERAGE(OFFSET($FI$3,0,0,'Données projet'!$E$16+1,1))-AVERAGE(OFFSET($H$3,0,0,'Données projet'!$E$16+1,1))</f>
        <v>278.45534008146865</v>
      </c>
      <c r="FK36" s="59">
        <f t="shared" si="48"/>
        <v>272.97841038165217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3</v>
      </c>
      <c r="N37" s="13">
        <f>IF('Données projet'!$A$36&gt;35,N36+M37-V36,IF(A37&lt;'Données projet'!$A$36,$K$205^A37,IF(A37='Données projet'!$A$36,'Données projet'!$B$36,N36+M37-V36)))</f>
        <v>102</v>
      </c>
      <c r="O37" s="13">
        <f>N37*VLOOKUP('Données projet'!$B$9,Paramètres!$A$1:$I$89,3,0)*VLOOKUP('Données projet'!$B$9,Paramètres!$A$1:$I$89,5,0)</f>
        <v>92.289599999999993</v>
      </c>
      <c r="P37" s="13">
        <f t="shared" si="33"/>
        <v>25.116611431659546</v>
      </c>
      <c r="Q37" s="20">
        <f t="shared" si="53"/>
        <v>204.48248491014036</v>
      </c>
      <c r="R37" s="59">
        <f t="shared" si="0"/>
        <v>497.8158182434737</v>
      </c>
      <c r="S37" s="59">
        <f ca="1">AVERAGE(OFFSET($R$3,0,0,'Données projet'!$E$9+1,1))-AVERAGE(OFFSET($H$3,0,0,'Données projet'!$E$9+1,1))</f>
        <v>436.03161778768742</v>
      </c>
      <c r="T37" s="59">
        <f t="shared" si="34"/>
        <v>217.65884352525285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3</v>
      </c>
      <c r="AI37" s="13">
        <f>IF('Données projet'!$A$62&gt;35,AI36+AH37-AQ36,IF(A37&lt;'Données projet'!$A$62,$AF$205^A37,IF(A37='Données projet'!$A$62,'Données projet'!$B$62,AI36+AH37-AQ36)))</f>
        <v>102</v>
      </c>
      <c r="AJ37" s="13">
        <f>AI37*VLOOKUP('Données projet'!$B$10,Paramètres!$A$1:$I$89,3,0)*VLOOKUP('Données projet'!$B$10,Paramètres!$A$1:$I$89,5,0)</f>
        <v>103.428</v>
      </c>
      <c r="AK37" s="13">
        <f t="shared" si="35"/>
        <v>27.777062350859747</v>
      </c>
      <c r="AL37" s="20">
        <f t="shared" si="4"/>
        <v>228.51548359441404</v>
      </c>
      <c r="AM37" s="59">
        <f t="shared" si="5"/>
        <v>521.84881692774729</v>
      </c>
      <c r="AN37" s="59">
        <f ca="1">AVERAGE(OFFSET($AM$3,0,0,'Données projet'!$E$10+1,1))-AVERAGE(OFFSET($H$3,0,0,'Données projet'!$E$10+1,1))</f>
        <v>483.45320081988984</v>
      </c>
      <c r="AO37" s="59">
        <f t="shared" si="36"/>
        <v>238.92443174298893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7.3</v>
      </c>
      <c r="BD37" s="12">
        <f>IF('Données projet'!$A$88&gt;35,BD36+BC37-BL36,IF(A37&lt;'Données projet'!$A$88,$BA$205^A37,IF(A37='Données projet'!$A$88,'Données projet'!$B$88,BD36+BC37-BL36)))</f>
        <v>169.20000000000005</v>
      </c>
      <c r="BE37" s="13">
        <f>BD37*VLOOKUP('Données projet'!$B$11,Paramètres!$A$1:$I$89,3,0)*VLOOKUP('Données projet'!$B$11,Paramètres!$A$1:$I$89,5,0)</f>
        <v>147.81312000000005</v>
      </c>
      <c r="BF37" s="13">
        <f t="shared" si="37"/>
        <v>38.081185298782486</v>
      </c>
      <c r="BG37" s="20">
        <f t="shared" si="7"/>
        <v>323.76591506204625</v>
      </c>
      <c r="BH37" s="59">
        <f t="shared" si="8"/>
        <v>617.09924839537962</v>
      </c>
      <c r="BI37" s="59">
        <f ca="1">AVERAGE(OFFSET($BH$3,0,0,'Données projet'!$E$11+1,1))-AVERAGE(OFFSET($H$3,0,0,'Données projet'!$E$11+1,1))</f>
        <v>310.44153296396854</v>
      </c>
      <c r="BJ37" s="59">
        <f t="shared" si="38"/>
        <v>388.05195847800502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27.6</v>
      </c>
      <c r="BY37" s="12">
        <f>IF('Données projet'!$A$114&gt;35,BY36+BX37-CG36,IF(A37&lt;'Données projet'!$A$114,$BV$205^A37,IF(A37='Données projet'!$A$114,'Données projet'!$B$114,BY36+BX37-CG36)))</f>
        <v>477.40000000000009</v>
      </c>
      <c r="BZ37" s="13">
        <f>BY37*VLOOKUP('Données projet'!$B$12,Paramètres!$A$1:$I$89,3,0)*VLOOKUP('Données projet'!$B$12,Paramètres!$A$1:$I$89,5,0)</f>
        <v>266.86660000000006</v>
      </c>
      <c r="CA37" s="13">
        <f t="shared" si="39"/>
        <v>64.183831628008477</v>
      </c>
      <c r="CB37" s="20">
        <f t="shared" si="10"/>
        <v>576.57950175211477</v>
      </c>
      <c r="CC37" s="59">
        <f t="shared" si="11"/>
        <v>869.91283508544802</v>
      </c>
      <c r="CD37" s="59">
        <f ca="1">AVERAGE(OFFSET($CC$3,0,0,'Données projet'!$E$12+1,1))-AVERAGE(OFFSET($H$3,0,0,'Données projet'!$E$12+1,1))</f>
        <v>443.34220761968419</v>
      </c>
      <c r="CE37" s="59">
        <f t="shared" si="40"/>
        <v>546.58234447298014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22.03632448742686</v>
      </c>
      <c r="CM37" s="21">
        <f>EXP(-LN(2)/2)*CM36+(1-EXP(-LN(2)/2))/(LN(2)/2)*CG37*CJ37*VLOOKUP('Données projet'!$B$12,Paramètres!$A$1:$I$89,3,0)*0.475*44/12</f>
        <v>4.0219360973878198</v>
      </c>
      <c r="CN37" s="22">
        <f t="shared" si="12"/>
        <v>26.058260584814679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12.833333333333334</v>
      </c>
      <c r="CT37" s="12">
        <f>IF('Données projet'!$A$140&gt;35,CT36+CS37-DB36,IF(A37&lt;'Données projet'!$A$140,$CQ$205^A37,IF(A37='Données projet'!$A$140,'Données projet'!$B$140,CT36+CS37-DB36)))</f>
        <v>222.33333333333331</v>
      </c>
      <c r="CU37" s="17">
        <f>CT37*VLOOKUP('Données projet'!$B$13,Paramètres!$A$1:$I$89,3,0)*VLOOKUP('Données projet'!$B$13,Paramètres!$A$1:$I$89,5,0)</f>
        <v>121.39399999999999</v>
      </c>
      <c r="CV37" s="13">
        <f t="shared" si="41"/>
        <v>31.999908030972435</v>
      </c>
      <c r="CW37" s="20">
        <f t="shared" si="13"/>
        <v>267.16105648727694</v>
      </c>
      <c r="CX37" s="59">
        <f t="shared" si="14"/>
        <v>560.49438982061019</v>
      </c>
      <c r="CY37" s="59">
        <f ca="1">AVERAGE(OFFSET($CX$3,0,0,'Données projet'!$E$13+1,1))-AVERAGE(OFFSET($H$3,0,0,'Données projet'!$E$13+1,1))</f>
        <v>214.22606988805535</v>
      </c>
      <c r="CZ37" s="59">
        <f t="shared" si="42"/>
        <v>305.78163836959078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4.255736074308774</v>
      </c>
      <c r="DG37" s="21">
        <f>EXP(-LN(2)/25)*DG36+(1-EXP(-LN(2)/25))/(LN(2)/25)*Calculateur!DB37*Calculateur!DD37*VLOOKUP('Données projet'!$B$13,Paramètres!$A$1:$I$89,3,0)*0.475*44/12</f>
        <v>21.964250421188964</v>
      </c>
      <c r="DH37" s="21">
        <f>EXP(-LN(2)/2)*DH36+(1-EXP(-LN(2)/2))/(LN(2)/2)*DB37*DE37*VLOOKUP('Données projet'!$B$13,Paramètres!$A$1:$I$89,3,0)*0.475*44/12</f>
        <v>3.5909036591901935</v>
      </c>
      <c r="DI37" s="22">
        <f t="shared" si="15"/>
        <v>29.810890154687932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10.8</v>
      </c>
      <c r="DO37" s="12">
        <f>IF('Données projet'!$A$166&gt;35,DO36+DN37-DW36,IF(A37&lt;'Données projet'!$A$166,$DL$205^A37,IF(A37='Données projet'!$A$166,'Données projet'!$B$166,DO36+DN37-DW36)))</f>
        <v>161.20000000000002</v>
      </c>
      <c r="DP37" s="17">
        <f>DO37*VLOOKUP('Données projet'!$B$14,Paramètres!$A$1:$I$89,3,0)*VLOOKUP('Données projet'!$B$14,Paramètres!$A$1:$I$89,5,0)</f>
        <v>130.76544000000001</v>
      </c>
      <c r="DQ37" s="13">
        <f t="shared" si="43"/>
        <v>34.173169564532692</v>
      </c>
      <c r="DR37" s="20">
        <f t="shared" si="16"/>
        <v>287.26807832489447</v>
      </c>
      <c r="DS37" s="59">
        <f t="shared" si="17"/>
        <v>580.60141165822779</v>
      </c>
      <c r="DT37" s="59">
        <f ca="1">AVERAGE(OFFSET($DS$3,0,0,'Données projet'!$E$14+1,1))-AVERAGE(OFFSET($H$3,0,0,'Données projet'!$E$14+1,1))</f>
        <v>304.26232113495314</v>
      </c>
      <c r="DU37" s="59">
        <f t="shared" si="44"/>
        <v>297.47246687305056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10.8</v>
      </c>
      <c r="EJ37" s="12">
        <f>IF('Données projet'!$A$192&gt;35,EJ36+EI37-ER36,IF(A37&lt;'Données projet'!$A$192,$EG$205^A37,IF(A37='Données projet'!$A$192,'Données projet'!$B$192,EJ36+EI37-ER36)))</f>
        <v>161.20000000000002</v>
      </c>
      <c r="EK37" s="17">
        <f>EJ37*VLOOKUP('Données projet'!$B$15,Paramètres!$A$1:$I$89,3,0)*VLOOKUP('Données projet'!$B$15,Paramètres!$A$1:$I$89,5,0)</f>
        <v>155.91264000000004</v>
      </c>
      <c r="EL37" s="13">
        <f t="shared" si="45"/>
        <v>39.919216057228688</v>
      </c>
      <c r="EM37" s="20">
        <f t="shared" si="19"/>
        <v>341.07381596633996</v>
      </c>
      <c r="EN37" s="59">
        <f t="shared" si="20"/>
        <v>634.40714929967328</v>
      </c>
      <c r="EO37" s="59">
        <f ca="1">AVERAGE(OFFSET($EN$3,0,0,'Données projet'!$E$15+1,1))-AVERAGE(OFFSET($H$3,0,0,'Données projet'!$E$15+1,1))</f>
        <v>355.72173590705142</v>
      </c>
      <c r="EP37" s="59">
        <f t="shared" si="46"/>
        <v>346.30980704469363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10.8</v>
      </c>
      <c r="FE37" s="12">
        <f>IF('Données projet'!$A$218&gt;35,FE36+FD37-FM36,IF(A37&lt;'Données projet'!$A$218,$FB$205^A37,IF(A37='Données projet'!$A$218,'Données projet'!$B$218,FE36+FD37-FM36)))</f>
        <v>161.20000000000002</v>
      </c>
      <c r="FF37" s="17">
        <f>FE37*VLOOKUP('Données projet'!$B$16,Paramètres!$A$1:$I$89,3,0)*VLOOKUP('Données projet'!$B$16,Paramètres!$A$1:$I$89,5,0)</f>
        <v>118.19184000000001</v>
      </c>
      <c r="FG37" s="13">
        <f t="shared" si="47"/>
        <v>31.252903743281095</v>
      </c>
      <c r="FH37" s="20">
        <f t="shared" si="22"/>
        <v>260.28292868621458</v>
      </c>
      <c r="FI37" s="59">
        <f t="shared" si="23"/>
        <v>553.61626201954789</v>
      </c>
      <c r="FJ37" s="59">
        <f ca="1">AVERAGE(OFFSET($FI$3,0,0,'Données projet'!$E$16+1,1))-AVERAGE(OFFSET($H$3,0,0,'Données projet'!$E$16+1,1))</f>
        <v>278.45534008146865</v>
      </c>
      <c r="FK37" s="59">
        <f t="shared" si="48"/>
        <v>272.97841038165217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3</v>
      </c>
      <c r="N38" s="13">
        <f>IF('Données projet'!$A$36&gt;35,N37+M38-V37,IF(A38&lt;'Données projet'!$A$36,$K$205^A38,IF(A38='Données projet'!$A$36,'Données projet'!$B$36,N37+M38-V37)))</f>
        <v>105</v>
      </c>
      <c r="O38" s="13">
        <f>N38*VLOOKUP('Données projet'!$B$9,Paramètres!$A$1:$I$89,3,0)*VLOOKUP('Données projet'!$B$9,Paramètres!$A$1:$I$89,5,0)</f>
        <v>95.004000000000005</v>
      </c>
      <c r="P38" s="13">
        <f t="shared" si="33"/>
        <v>25.768242550600785</v>
      </c>
      <c r="Q38" s="20">
        <f t="shared" si="53"/>
        <v>210.34498910896306</v>
      </c>
      <c r="R38" s="59">
        <f t="shared" si="0"/>
        <v>503.67832244229635</v>
      </c>
      <c r="S38" s="59">
        <f ca="1">AVERAGE(OFFSET($R$3,0,0,'Données projet'!$E$9+1,1))-AVERAGE(OFFSET($H$3,0,0,'Données projet'!$E$9+1,1))</f>
        <v>436.03161778768742</v>
      </c>
      <c r="T38" s="59">
        <f t="shared" si="34"/>
        <v>217.65884352525285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3</v>
      </c>
      <c r="AI38" s="13">
        <f>IF('Données projet'!$A$62&gt;35,AI37+AH38-AQ37,IF(A38&lt;'Données projet'!$A$62,$AF$205^A38,IF(A38='Données projet'!$A$62,'Données projet'!$B$62,AI37+AH38-AQ37)))</f>
        <v>105</v>
      </c>
      <c r="AJ38" s="13">
        <f>AI38*VLOOKUP('Données projet'!$B$10,Paramètres!$A$1:$I$89,3,0)*VLOOKUP('Données projet'!$B$10,Paramètres!$A$1:$I$89,5,0)</f>
        <v>106.47</v>
      </c>
      <c r="AK38" s="13">
        <f t="shared" si="35"/>
        <v>28.49771681771891</v>
      </c>
      <c r="AL38" s="20">
        <f t="shared" si="4"/>
        <v>235.06877345752704</v>
      </c>
      <c r="AM38" s="59">
        <f t="shared" si="5"/>
        <v>528.40210679086033</v>
      </c>
      <c r="AN38" s="59">
        <f ca="1">AVERAGE(OFFSET($AM$3,0,0,'Données projet'!$E$10+1,1))-AVERAGE(OFFSET($H$3,0,0,'Données projet'!$E$10+1,1))</f>
        <v>483.45320081988984</v>
      </c>
      <c r="AO38" s="59">
        <f t="shared" si="36"/>
        <v>238.92443174298893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7.3</v>
      </c>
      <c r="BD38" s="12">
        <f>IF('Données projet'!$A$88&gt;35,BD37+BC38-BL37,IF(A38&lt;'Données projet'!$A$88,$BA$205^A38,IF(A38='Données projet'!$A$88,'Données projet'!$B$88,BD37+BC38-BL37)))</f>
        <v>176.50000000000006</v>
      </c>
      <c r="BE38" s="13">
        <f>BD38*VLOOKUP('Données projet'!$B$11,Paramètres!$A$1:$I$89,3,0)*VLOOKUP('Données projet'!$B$11,Paramètres!$A$1:$I$89,5,0)</f>
        <v>154.19040000000007</v>
      </c>
      <c r="BF38" s="13">
        <f t="shared" si="37"/>
        <v>39.529336625598283</v>
      </c>
      <c r="BG38" s="20">
        <f t="shared" si="7"/>
        <v>337.39520795625043</v>
      </c>
      <c r="BH38" s="59">
        <f t="shared" si="8"/>
        <v>630.72854128958375</v>
      </c>
      <c r="BI38" s="59">
        <f ca="1">AVERAGE(OFFSET($BH$3,0,0,'Données projet'!$E$11+1,1))-AVERAGE(OFFSET($H$3,0,0,'Données projet'!$E$11+1,1))</f>
        <v>310.44153296396854</v>
      </c>
      <c r="BJ38" s="59">
        <f t="shared" si="38"/>
        <v>388.05195847800502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505</v>
      </c>
      <c r="BW38" s="12">
        <f>VLOOKUP(A38,'Données projet'!$A$113:$I$133,9,0)</f>
        <v>27.6</v>
      </c>
      <c r="BX38" s="12">
        <f t="array" ref="BX38">INDEX(BW:BW,MIN(IF(ISNUMBER(BW38:BW234),ROW(BW38:BW234),"")))</f>
        <v>27.6</v>
      </c>
      <c r="BY38" s="12">
        <f>IF('Données projet'!$A$114&gt;35,BY37+BX38-CG37,IF(A38&lt;'Données projet'!$A$114,$BV$205^A38,IF(A38='Données projet'!$A$114,'Données projet'!$B$114,BY37+BX38-CG37)))</f>
        <v>505.00000000000011</v>
      </c>
      <c r="BZ38" s="13">
        <f>BY38*VLOOKUP('Données projet'!$B$12,Paramètres!$A$1:$I$89,3,0)*VLOOKUP('Données projet'!$B$12,Paramètres!$A$1:$I$89,5,0)</f>
        <v>282.29500000000007</v>
      </c>
      <c r="CA38" s="13">
        <f t="shared" si="39"/>
        <v>67.451777696853824</v>
      </c>
      <c r="CB38" s="20">
        <f t="shared" si="10"/>
        <v>609.14230448868716</v>
      </c>
      <c r="CC38" s="59">
        <f t="shared" si="11"/>
        <v>902.47563782202042</v>
      </c>
      <c r="CD38" s="59">
        <f ca="1">AVERAGE(OFFSET($CC$3,0,0,'Données projet'!$E$12+1,1))-AVERAGE(OFFSET($H$3,0,0,'Données projet'!$E$12+1,1))</f>
        <v>443.34220761968419</v>
      </c>
      <c r="CE38" s="59">
        <f t="shared" si="40"/>
        <v>546.58234447298014</v>
      </c>
      <c r="CF38" s="15">
        <f>IF(ISNA(VLOOKUP(A38,'Données projet'!$A$113:$I$133,3,0)),0,VLOOKUP(A38,'Données projet'!$A$113:$I$133,3,0))</f>
        <v>3</v>
      </c>
      <c r="CG38" s="15">
        <f>IF(ISNA(VLOOKUP(A38,'Données projet'!$A$113:$I$133,4,0)),0,VLOOKUP(A38,'Données projet'!$A$113:$I$133,4,0))</f>
        <v>69</v>
      </c>
      <c r="CH38" s="16">
        <f>IF(ISNA(VLOOKUP(A38,'Données projet'!$A$113:$I$133,5,0)),0%,VLOOKUP(A38,'Données projet'!$A$113:$I$133,5,0)*VLOOKUP('Données projet'!$B$12,Paramètres!$A$1:$I$89,7,0))</f>
        <v>0.11000000000000001</v>
      </c>
      <c r="CI38" s="16">
        <f>IF(ISNA(VLOOKUP(A38,'Données projet'!$A$113:$I$133,6,0)),0%,VLOOKUP(A38,'Données projet'!$A$113:$I$133,6,0)*VLOOKUP('Données projet'!$B$12,Paramètres!$A$1:$I$89,7,0))</f>
        <v>0.22000000000000003</v>
      </c>
      <c r="CJ38" s="16">
        <f>IF(ISNA(VLOOKUP(A38,'Données projet'!$A$113:$I$133,7,0)),0%,VLOOKUP(A38,'Données projet'!$A$113:$I$133,7,0))</f>
        <v>0.4</v>
      </c>
      <c r="CK38" s="21">
        <f>EXP(-LN(2)/35)*CK37+(1-EXP(-LN(2)/35))/(LN(2)/35)*CG38*CH38*VLOOKUP('Données projet'!$B$12,Paramètres!$A$1:$I$89,3,0)*0.475*44/12</f>
        <v>5.6283609371834364</v>
      </c>
      <c r="CL38" s="21">
        <f>EXP(-LN(2)/25)*CL37+(1-EXP(-LN(2)/25))/(LN(2)/25)*Calculateur!CG38*Calculateur!CI38*VLOOKUP('Données projet'!$B$12,Paramètres!$A$1:$I$89,3,0)*0.475*44/12</f>
        <v>32.646139906678428</v>
      </c>
      <c r="CM38" s="21">
        <f>EXP(-LN(2)/2)*CM37+(1-EXP(-LN(2)/2))/(LN(2)/2)*CG38*CJ38*VLOOKUP('Données projet'!$B$12,Paramètres!$A$1:$I$89,3,0)*0.475*44/12</f>
        <v>20.312471067119212</v>
      </c>
      <c r="CN38" s="22">
        <f t="shared" si="12"/>
        <v>58.586971910981077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12.833333333333334</v>
      </c>
      <c r="CT38" s="12">
        <f>IF('Données projet'!$A$140&gt;35,CT37+CS38-DB37,IF(A38&lt;'Données projet'!$A$140,$CQ$205^A38,IF(A38='Données projet'!$A$140,'Données projet'!$B$140,CT37+CS38-DB37)))</f>
        <v>235.16666666666666</v>
      </c>
      <c r="CU38" s="17">
        <f>CT38*VLOOKUP('Données projet'!$B$13,Paramètres!$A$1:$I$89,3,0)*VLOOKUP('Données projet'!$B$13,Paramètres!$A$1:$I$89,5,0)</f>
        <v>128.40100000000001</v>
      </c>
      <c r="CV38" s="13">
        <f t="shared" si="41"/>
        <v>33.626611664187173</v>
      </c>
      <c r="CW38" s="20">
        <f t="shared" si="13"/>
        <v>282.19809031512602</v>
      </c>
      <c r="CX38" s="59">
        <f t="shared" si="14"/>
        <v>575.53142364845939</v>
      </c>
      <c r="CY38" s="59">
        <f ca="1">AVERAGE(OFFSET($CX$3,0,0,'Données projet'!$E$13+1,1))-AVERAGE(OFFSET($H$3,0,0,'Données projet'!$E$13+1,1))</f>
        <v>214.22606988805535</v>
      </c>
      <c r="CZ38" s="59">
        <f t="shared" si="42"/>
        <v>305.78163836959078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4.1722836856342758</v>
      </c>
      <c r="DG38" s="21">
        <f>EXP(-LN(2)/25)*DG37+(1-EXP(-LN(2)/25))/(LN(2)/25)*Calculateur!DB38*Calculateur!DD38*VLOOKUP('Données projet'!$B$13,Paramètres!$A$1:$I$89,3,0)*0.475*44/12</f>
        <v>21.363636838371821</v>
      </c>
      <c r="DH38" s="21">
        <f>EXP(-LN(2)/2)*DH37+(1-EXP(-LN(2)/2))/(LN(2)/2)*DB38*DE38*VLOOKUP('Données projet'!$B$13,Paramètres!$A$1:$I$89,3,0)*0.475*44/12</f>
        <v>2.5391523280009731</v>
      </c>
      <c r="DI38" s="22">
        <f t="shared" si="15"/>
        <v>28.075072852007072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172</v>
      </c>
      <c r="DM38" s="12">
        <f>VLOOKUP(A38,'Données projet'!$A$165:$I$185,9,0)</f>
        <v>10.8</v>
      </c>
      <c r="DN38" s="12">
        <f t="array" ref="DN38">INDEX(DM:DM,MIN(IF(ISNUMBER(DM38:DM234),ROW(DM38:DM234),"")))</f>
        <v>10.8</v>
      </c>
      <c r="DO38" s="12">
        <f>IF('Données projet'!$A$166&gt;35,DO37+DN38-DW37,IF(A38&lt;'Données projet'!$A$166,$DL$205^A38,IF(A38='Données projet'!$A$166,'Données projet'!$B$166,DO37+DN38-DW37)))</f>
        <v>172.00000000000003</v>
      </c>
      <c r="DP38" s="17">
        <f>DO38*VLOOKUP('Données projet'!$B$14,Paramètres!$A$1:$I$89,3,0)*VLOOKUP('Données projet'!$B$14,Paramètres!$A$1:$I$89,5,0)</f>
        <v>139.52640000000002</v>
      </c>
      <c r="DQ38" s="13">
        <f t="shared" si="43"/>
        <v>36.188488997813884</v>
      </c>
      <c r="DR38" s="20">
        <f t="shared" si="16"/>
        <v>306.03676500452588</v>
      </c>
      <c r="DS38" s="59">
        <f t="shared" si="17"/>
        <v>599.37009833785919</v>
      </c>
      <c r="DT38" s="59">
        <f ca="1">AVERAGE(OFFSET($DS$3,0,0,'Données projet'!$E$14+1,1))-AVERAGE(OFFSET($H$3,0,0,'Données projet'!$E$14+1,1))</f>
        <v>304.26232113495314</v>
      </c>
      <c r="DU38" s="59">
        <f t="shared" si="44"/>
        <v>297.47246687305056</v>
      </c>
      <c r="DV38" s="15">
        <f>IF(ISNA(VLOOKUP(A38,'Données projet'!$A$165:$I$185,3,0)),0,VLOOKUP(A38,'Données projet'!$A$165:$I$185,3,0))</f>
        <v>5</v>
      </c>
      <c r="DW38" s="15">
        <f>IF(ISNA(VLOOKUP(A38,'Données projet'!$A$165:$I$185,4,0)),0,VLOOKUP(A38,'Données projet'!$A$165:$I$185,4,0))</f>
        <v>28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0.159</v>
      </c>
      <c r="DZ38" s="16">
        <f>IF(ISNA(VLOOKUP(A38,'Données projet'!$A$165:$I$185,7,0)),0%,VLOOKUP(A38,'Données projet'!$A$165:$I$185,7,0))</f>
        <v>0.4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3.9766452489235058</v>
      </c>
      <c r="EC38" s="21">
        <f>EXP(-LN(2)/2)*EC37+(1-EXP(-LN(2)/2))/(LN(2)/2)*DW38*DZ38*VLOOKUP('Données projet'!$B$14,Paramètres!$A$1:$I$89,3,0)*0.475*44/12</f>
        <v>8.5723571710323778</v>
      </c>
      <c r="ED38" s="22">
        <f t="shared" si="18"/>
        <v>12.549002419955883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172</v>
      </c>
      <c r="EH38" s="12">
        <f>VLOOKUP(A38,'Données projet'!$A$191:$I$211,9,0)</f>
        <v>10.8</v>
      </c>
      <c r="EI38" s="12">
        <f t="array" ref="EI38">INDEX(EH:EH,MIN(IF(ISNUMBER(EH38:EH234),ROW(EH38:EH234),"")))</f>
        <v>10.8</v>
      </c>
      <c r="EJ38" s="12">
        <f>IF('Données projet'!$A$192&gt;35,EJ37+EI38-ER37,IF(A38&lt;'Données projet'!$A$192,$EG$205^A38,IF(A38='Données projet'!$A$192,'Données projet'!$B$192,EJ37+EI38-ER37)))</f>
        <v>172.00000000000003</v>
      </c>
      <c r="EK38" s="17">
        <f>EJ38*VLOOKUP('Données projet'!$B$15,Paramètres!$A$1:$I$89,3,0)*VLOOKUP('Données projet'!$B$15,Paramètres!$A$1:$I$89,5,0)</f>
        <v>166.35840000000002</v>
      </c>
      <c r="EL38" s="13">
        <f t="shared" si="45"/>
        <v>42.27340131152765</v>
      </c>
      <c r="EM38" s="20">
        <f t="shared" si="19"/>
        <v>363.3670539509107</v>
      </c>
      <c r="EN38" s="59">
        <f t="shared" si="20"/>
        <v>656.70038728424402</v>
      </c>
      <c r="EO38" s="59">
        <f ca="1">AVERAGE(OFFSET($EN$3,0,0,'Données projet'!$E$15+1,1))-AVERAGE(OFFSET($H$3,0,0,'Données projet'!$E$15+1,1))</f>
        <v>355.72173590705142</v>
      </c>
      <c r="EP38" s="59">
        <f t="shared" si="46"/>
        <v>346.30980704469363</v>
      </c>
      <c r="EQ38" s="15">
        <f>IF(ISNA(VLOOKUP(A38,'Données projet'!$A$191:$I$211,3,0)),0,VLOOKUP(A38,'Données projet'!$A$191:$I$211,3,0))</f>
        <v>5</v>
      </c>
      <c r="ER38" s="15">
        <f>IF(ISNA(VLOOKUP(A38,'Données projet'!$A$191:$I$211,4,0)),0,VLOOKUP(A38,'Données projet'!$A$191:$I$211,4,0))</f>
        <v>28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0.129</v>
      </c>
      <c r="EU38" s="16">
        <f>IF(ISNA(VLOOKUP(A38,'Données projet'!$A$191:$I$211,7,0)),0%,VLOOKUP(A38,'Données projet'!$A$191:$I$211,7,0))</f>
        <v>0.4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3.8467838293287619</v>
      </c>
      <c r="EX38" s="21">
        <f>EXP(-LN(2)/2)*EX37+(1-EXP(-LN(2)/2))/(LN(2)/2)*ER38*EU38*VLOOKUP('Données projet'!$B$15,Paramètres!$A$1:$I$89,3,0)*0.475*44/12</f>
        <v>10.220887396230912</v>
      </c>
      <c r="EY38" s="22">
        <f t="shared" si="21"/>
        <v>14.067671225559675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172</v>
      </c>
      <c r="FC38" s="12">
        <f>VLOOKUP(A38,'Données projet'!$A$217:$I$237,9,0)</f>
        <v>10.8</v>
      </c>
      <c r="FD38" s="12">
        <f t="array" ref="FD38">INDEX(FC:FC,MIN(IF(ISNUMBER(FC38:FC234),ROW(FC38:FC234),"")))</f>
        <v>10.8</v>
      </c>
      <c r="FE38" s="12">
        <f>IF('Données projet'!$A$218&gt;35,FE37+FD38-FM37,IF(A38&lt;'Données projet'!$A$218,$FB$205^A38,IF(A38='Données projet'!$A$218,'Données projet'!$B$218,FE37+FD38-FM37)))</f>
        <v>172.00000000000003</v>
      </c>
      <c r="FF38" s="17">
        <f>FE38*VLOOKUP('Données projet'!$B$16,Paramètres!$A$1:$I$89,3,0)*VLOOKUP('Données projet'!$B$16,Paramètres!$A$1:$I$89,5,0)</f>
        <v>126.11040000000001</v>
      </c>
      <c r="FG38" s="13">
        <f t="shared" si="47"/>
        <v>33.096004194977873</v>
      </c>
      <c r="FH38" s="20">
        <f t="shared" si="22"/>
        <v>277.28448730625314</v>
      </c>
      <c r="FI38" s="59">
        <f t="shared" si="23"/>
        <v>570.6178206395864</v>
      </c>
      <c r="FJ38" s="59">
        <f ca="1">AVERAGE(OFFSET($FI$3,0,0,'Données projet'!$E$16+1,1))-AVERAGE(OFFSET($H$3,0,0,'Données projet'!$E$16+1,1))</f>
        <v>278.45534008146865</v>
      </c>
      <c r="FK38" s="59">
        <f t="shared" si="48"/>
        <v>272.97841038165217</v>
      </c>
      <c r="FL38" s="15">
        <f>IF(ISNA(VLOOKUP(A38,'Données projet'!$A$217:$I$237,3,0)),0,VLOOKUP(A38,'Données projet'!$A$217:$I$237,3,0))</f>
        <v>5</v>
      </c>
      <c r="FM38" s="15">
        <f>IF(ISNA(VLOOKUP(A38,'Données projet'!$A$217:$I$237,4,0)),0,VLOOKUP(A38,'Données projet'!$A$217:$I$237,4,0))</f>
        <v>28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0.129</v>
      </c>
      <c r="FP38" s="16">
        <f>IF(ISNA(VLOOKUP(A38,'Données projet'!$A$217:$I$237,7,0)),0%,VLOOKUP(A38,'Données projet'!$A$217:$I$237,7,0))</f>
        <v>0.4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2.9161103222330929</v>
      </c>
      <c r="FS38" s="21">
        <f>EXP(-LN(2)/2)*FS37+(1-EXP(-LN(2)/2))/(LN(2)/2)*FM38*FP38*VLOOKUP('Données projet'!$B$16,Paramètres!$A$1:$I$89,3,0)*0.475*44/12</f>
        <v>7.7480920584331114</v>
      </c>
      <c r="FT38" s="22">
        <f t="shared" si="24"/>
        <v>10.664202380666204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3</v>
      </c>
      <c r="N39" s="13">
        <f>IF('Données projet'!$A$36&gt;35,N38+M39-V38,IF(A39&lt;'Données projet'!$A$36,$K$205^A39,IF(A39='Données projet'!$A$36,'Données projet'!$B$36,N38+M39-V38)))</f>
        <v>108</v>
      </c>
      <c r="O39" s="13">
        <f>N39*VLOOKUP('Données projet'!$B$9,Paramètres!$A$1:$I$89,3,0)*VLOOKUP('Données projet'!$B$9,Paramètres!$A$1:$I$89,5,0)</f>
        <v>97.718399999999988</v>
      </c>
      <c r="P39" s="13">
        <f t="shared" si="33"/>
        <v>26.417709819192194</v>
      </c>
      <c r="Q39" s="20">
        <f t="shared" si="53"/>
        <v>216.20372460175972</v>
      </c>
      <c r="R39" s="59">
        <f t="shared" si="0"/>
        <v>509.537057935093</v>
      </c>
      <c r="S39" s="59">
        <f ca="1">AVERAGE(OFFSET($R$3,0,0,'Données projet'!$E$9+1,1))-AVERAGE(OFFSET($H$3,0,0,'Données projet'!$E$9+1,1))</f>
        <v>436.03161778768742</v>
      </c>
      <c r="T39" s="59">
        <f t="shared" si="34"/>
        <v>217.65884352525285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3</v>
      </c>
      <c r="AI39" s="13">
        <f>IF('Données projet'!$A$62&gt;35,AI38+AH39-AQ38,IF(A39&lt;'Données projet'!$A$62,$AF$205^A39,IF(A39='Données projet'!$A$62,'Données projet'!$B$62,AI38+AH39-AQ38)))</f>
        <v>108</v>
      </c>
      <c r="AJ39" s="13">
        <f>AI39*VLOOKUP('Données projet'!$B$10,Paramètres!$A$1:$I$89,3,0)*VLOOKUP('Données projet'!$B$10,Paramètres!$A$1:$I$89,5,0)</f>
        <v>109.51200000000001</v>
      </c>
      <c r="AK39" s="13">
        <f t="shared" si="35"/>
        <v>29.215978230632555</v>
      </c>
      <c r="AL39" s="20">
        <f t="shared" si="4"/>
        <v>241.61789541835174</v>
      </c>
      <c r="AM39" s="59">
        <f t="shared" si="5"/>
        <v>534.95122875168499</v>
      </c>
      <c r="AN39" s="59">
        <f ca="1">AVERAGE(OFFSET($AM$3,0,0,'Données projet'!$E$10+1,1))-AVERAGE(OFFSET($H$3,0,0,'Données projet'!$E$10+1,1))</f>
        <v>483.45320081988984</v>
      </c>
      <c r="AO39" s="59">
        <f t="shared" si="36"/>
        <v>238.92443174298893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7.3</v>
      </c>
      <c r="BD39" s="12">
        <f>IF('Données projet'!$A$88&gt;35,BD38+BC39-BL38,IF(A39&lt;'Données projet'!$A$88,$BA$205^A39,IF(A39='Données projet'!$A$88,'Données projet'!$B$88,BD38+BC39-BL38)))</f>
        <v>183.80000000000007</v>
      </c>
      <c r="BE39" s="13">
        <f>BD39*VLOOKUP('Données projet'!$B$11,Paramètres!$A$1:$I$89,3,0)*VLOOKUP('Données projet'!$B$11,Paramètres!$A$1:$I$89,5,0)</f>
        <v>160.56768000000008</v>
      </c>
      <c r="BF39" s="13">
        <f t="shared" si="37"/>
        <v>40.970530810309882</v>
      </c>
      <c r="BG39" s="20">
        <f t="shared" si="7"/>
        <v>351.01238382795651</v>
      </c>
      <c r="BH39" s="59">
        <f t="shared" si="8"/>
        <v>644.34571716128983</v>
      </c>
      <c r="BI39" s="59">
        <f ca="1">AVERAGE(OFFSET($BH$3,0,0,'Données projet'!$E$11+1,1))-AVERAGE(OFFSET($H$3,0,0,'Données projet'!$E$11+1,1))</f>
        <v>310.44153296396854</v>
      </c>
      <c r="BJ39" s="59">
        <f t="shared" si="38"/>
        <v>388.05195847800502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25.6</v>
      </c>
      <c r="BY39" s="12">
        <f>IF('Données projet'!$A$114&gt;35,BY38+BX39-CG38,IF(A39&lt;'Données projet'!$A$114,$BV$205^A39,IF(A39='Données projet'!$A$114,'Données projet'!$B$114,BY38+BX39-CG38)))</f>
        <v>461.60000000000014</v>
      </c>
      <c r="BZ39" s="13">
        <f>BY39*VLOOKUP('Données projet'!$B$12,Paramètres!$A$1:$I$89,3,0)*VLOOKUP('Données projet'!$B$12,Paramètres!$A$1:$I$89,5,0)</f>
        <v>258.03440000000006</v>
      </c>
      <c r="CA39" s="13">
        <f t="shared" si="39"/>
        <v>62.303206596431174</v>
      </c>
      <c r="CB39" s="20">
        <f t="shared" si="10"/>
        <v>557.9213314887844</v>
      </c>
      <c r="CC39" s="59">
        <f t="shared" si="11"/>
        <v>851.25466482211777</v>
      </c>
      <c r="CD39" s="59">
        <f ca="1">AVERAGE(OFFSET($CC$3,0,0,'Données projet'!$E$12+1,1))-AVERAGE(OFFSET($H$3,0,0,'Données projet'!$E$12+1,1))</f>
        <v>443.34220761968419</v>
      </c>
      <c r="CE39" s="59">
        <f t="shared" si="40"/>
        <v>546.58234447298014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5.5179922121664644</v>
      </c>
      <c r="CL39" s="21">
        <f>EXP(-LN(2)/25)*CL38+(1-EXP(-LN(2)/25))/(LN(2)/25)*Calculateur!CG39*Calculateur!CI39*VLOOKUP('Données projet'!$B$12,Paramètres!$A$1:$I$89,3,0)*0.475*44/12</f>
        <v>31.753429494144424</v>
      </c>
      <c r="CM39" s="21">
        <f>EXP(-LN(2)/2)*CM38+(1-EXP(-LN(2)/2))/(LN(2)/2)*CG39*CJ39*VLOOKUP('Données projet'!$B$12,Paramètres!$A$1:$I$89,3,0)*0.475*44/12</f>
        <v>14.363086034215543</v>
      </c>
      <c r="CN39" s="22">
        <f t="shared" si="12"/>
        <v>51.634507740526431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>
        <f>VLOOKUP(A39,'Données projet'!$A$139:$I$159,2,0)</f>
        <v>248</v>
      </c>
      <c r="CR39" s="12">
        <f>VLOOKUP(A39,'Données projet'!$A$139:$I$159,9,0)</f>
        <v>12.833333333333334</v>
      </c>
      <c r="CS39" s="12">
        <f t="array" ref="CS39">INDEX(CR:CR,MIN(IF(ISNUMBER(CR39:CR235),ROW(CR39:CR235),"")))</f>
        <v>12.833333333333334</v>
      </c>
      <c r="CT39" s="12">
        <f>IF('Données projet'!$A$140&gt;35,CT38+CS39-DB38,IF(A39&lt;'Données projet'!$A$140,$CQ$205^A39,IF(A39='Données projet'!$A$140,'Données projet'!$B$140,CT38+CS39-DB38)))</f>
        <v>248</v>
      </c>
      <c r="CU39" s="17">
        <f>CT39*VLOOKUP('Données projet'!$B$13,Paramètres!$A$1:$I$89,3,0)*VLOOKUP('Données projet'!$B$13,Paramètres!$A$1:$I$89,5,0)</f>
        <v>135.40799999999999</v>
      </c>
      <c r="CV39" s="13">
        <f t="shared" si="41"/>
        <v>35.243009677478732</v>
      </c>
      <c r="CW39" s="20">
        <f t="shared" si="13"/>
        <v>297.21717518827546</v>
      </c>
      <c r="CX39" s="59">
        <f t="shared" si="14"/>
        <v>590.55050852160878</v>
      </c>
      <c r="CY39" s="59">
        <f ca="1">AVERAGE(OFFSET($CX$3,0,0,'Données projet'!$E$13+1,1))-AVERAGE(OFFSET($H$3,0,0,'Données projet'!$E$13+1,1))</f>
        <v>214.22606988805535</v>
      </c>
      <c r="CZ39" s="59">
        <f t="shared" si="42"/>
        <v>305.78163836959078</v>
      </c>
      <c r="DA39" s="15">
        <f>IF(ISNA(VLOOKUP(A39,'Données projet'!$A$139:$I$159,3,0)),0,VLOOKUP(A39,'Données projet'!$A$139:$I$159,3,0))</f>
        <v>5</v>
      </c>
      <c r="DB39" s="15">
        <f>IF(ISNA(VLOOKUP(A39,'Données projet'!$A$139:$I$159,4,0)),0,VLOOKUP(A39,'Données projet'!$A$139:$I$159,4,0))</f>
        <v>62</v>
      </c>
      <c r="DC39" s="16">
        <f>IF(ISNA(VLOOKUP(A39,'Données projet'!$A$139:$I$159,5,0)),0%,VLOOKUP(A39,'Données projet'!$A$139:$I$159,5,0)*VLOOKUP('Données projet'!$B$13,Paramètres!$A$1:$I$89,7,0))</f>
        <v>0.24</v>
      </c>
      <c r="DD39" s="16">
        <f>IF(ISNA(VLOOKUP(A39,'Données projet'!$A$139:$I$159,6,0)),0%,VLOOKUP(A39,'Données projet'!$A$139:$I$159,6,0)*VLOOKUP('Données projet'!$B$13,Paramètres!$A$1:$I$89,7,0))</f>
        <v>0.18</v>
      </c>
      <c r="DE39" s="16">
        <f>IF(ISNA(VLOOKUP(A39,'Données projet'!$A$139:$I$159,7,0)),0%,VLOOKUP(A39,'Données projet'!$A$139:$I$159,7,0))</f>
        <v>0.3</v>
      </c>
      <c r="DF39" s="21">
        <f>EXP(-LN(2)/35)*DF38+(1-EXP(-LN(2)/35))/(LN(2)/35)*DB39*DC39*VLOOKUP('Données projet'!$B$13,Paramètres!$A$1:$I$89,3,0)*0.475*44/12</f>
        <v>14.868114134330188</v>
      </c>
      <c r="DG39" s="21">
        <f>EXP(-LN(2)/25)*DG38+(1-EXP(-LN(2)/25))/(LN(2)/25)*Calculateur!DB39*Calculateur!DD39*VLOOKUP('Données projet'!$B$13,Paramètres!$A$1:$I$89,3,0)*0.475*44/12</f>
        <v>28.83085508043586</v>
      </c>
      <c r="DH39" s="21">
        <f>EXP(-LN(2)/2)*DH38+(1-EXP(-LN(2)/2))/(LN(2)/2)*DB39*DE39*VLOOKUP('Données projet'!$B$13,Paramètres!$A$1:$I$89,3,0)*0.475*44/12</f>
        <v>13.293950150354874</v>
      </c>
      <c r="DI39" s="22">
        <f t="shared" si="15"/>
        <v>56.992919365120926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9.6</v>
      </c>
      <c r="DO39" s="12">
        <f>IF('Données projet'!$A$166&gt;35,DO38+DN39-DW38,IF(A39&lt;'Données projet'!$A$166,$DL$205^A39,IF(A39='Données projet'!$A$166,'Données projet'!$B$166,DO38+DN39-DW38)))</f>
        <v>153.60000000000002</v>
      </c>
      <c r="DP39" s="17">
        <f>DO39*VLOOKUP('Données projet'!$B$14,Paramètres!$A$1:$I$89,3,0)*VLOOKUP('Données projet'!$B$14,Paramètres!$A$1:$I$89,5,0)</f>
        <v>124.60032000000002</v>
      </c>
      <c r="DQ39" s="13">
        <f t="shared" si="43"/>
        <v>32.745587947600931</v>
      </c>
      <c r="DR39" s="20">
        <f t="shared" si="16"/>
        <v>274.04412300873832</v>
      </c>
      <c r="DS39" s="59">
        <f t="shared" si="17"/>
        <v>567.37745634207158</v>
      </c>
      <c r="DT39" s="59">
        <f ca="1">AVERAGE(OFFSET($DS$3,0,0,'Données projet'!$E$14+1,1))-AVERAGE(OFFSET($H$3,0,0,'Données projet'!$E$14+1,1))</f>
        <v>304.26232113495314</v>
      </c>
      <c r="DU39" s="59">
        <f t="shared" si="44"/>
        <v>297.47246687305056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3.8679036754690075</v>
      </c>
      <c r="EC39" s="21">
        <f>EXP(-LN(2)/2)*EC38+(1-EXP(-LN(2)/2))/(LN(2)/2)*DW39*DZ39*VLOOKUP('Données projet'!$B$14,Paramètres!$A$1:$I$89,3,0)*0.475*44/12</f>
        <v>6.0615718863901238</v>
      </c>
      <c r="ED39" s="22">
        <f t="shared" si="18"/>
        <v>9.9294755618591317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9.6</v>
      </c>
      <c r="EJ39" s="12">
        <f>IF('Données projet'!$A$192&gt;35,EJ38+EI39-ER38,IF(A39&lt;'Données projet'!$A$192,$EG$205^A39,IF(A39='Données projet'!$A$192,'Données projet'!$B$192,EJ38+EI39-ER38)))</f>
        <v>153.60000000000002</v>
      </c>
      <c r="EK39" s="17">
        <f>EJ39*VLOOKUP('Données projet'!$B$15,Paramètres!$A$1:$I$89,3,0)*VLOOKUP('Données projet'!$B$15,Paramètres!$A$1:$I$89,5,0)</f>
        <v>148.56192000000001</v>
      </c>
      <c r="EL39" s="13">
        <f t="shared" si="45"/>
        <v>38.251593775426244</v>
      </c>
      <c r="EM39" s="20">
        <f t="shared" si="19"/>
        <v>325.36686982553408</v>
      </c>
      <c r="EN39" s="59">
        <f t="shared" si="20"/>
        <v>618.70020315886745</v>
      </c>
      <c r="EO39" s="59">
        <f ca="1">AVERAGE(OFFSET($EN$3,0,0,'Données projet'!$E$15+1,1))-AVERAGE(OFFSET($H$3,0,0,'Données projet'!$E$15+1,1))</f>
        <v>355.72173590705142</v>
      </c>
      <c r="EP39" s="59">
        <f t="shared" si="46"/>
        <v>346.30980704469363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3.7415933232221974</v>
      </c>
      <c r="EX39" s="21">
        <f>EXP(-LN(2)/2)*EX38+(1-EXP(-LN(2)/2))/(LN(2)/2)*ER39*EU39*VLOOKUP('Données projet'!$B$15,Paramètres!$A$1:$I$89,3,0)*0.475*44/12</f>
        <v>7.227258787618994</v>
      </c>
      <c r="EY39" s="22">
        <f t="shared" si="21"/>
        <v>10.96885211084119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9.6</v>
      </c>
      <c r="FE39" s="12">
        <f>IF('Données projet'!$A$218&gt;35,FE38+FD39-FM38,IF(A39&lt;'Données projet'!$A$218,$FB$205^A39,IF(A39='Données projet'!$A$218,'Données projet'!$B$218,FE38+FD39-FM38)))</f>
        <v>153.60000000000002</v>
      </c>
      <c r="FF39" s="17">
        <f>FE39*VLOOKUP('Données projet'!$B$16,Paramètres!$A$1:$I$89,3,0)*VLOOKUP('Données projet'!$B$16,Paramètres!$A$1:$I$89,5,0)</f>
        <v>112.61952000000001</v>
      </c>
      <c r="FG39" s="13">
        <f t="shared" si="47"/>
        <v>29.947316013837597</v>
      </c>
      <c r="FH39" s="20">
        <f t="shared" si="22"/>
        <v>248.30390605743386</v>
      </c>
      <c r="FI39" s="59">
        <f t="shared" si="23"/>
        <v>541.63723939076715</v>
      </c>
      <c r="FJ39" s="59">
        <f ca="1">AVERAGE(OFFSET($FI$3,0,0,'Données projet'!$E$16+1,1))-AVERAGE(OFFSET($H$3,0,0,'Données projet'!$E$16+1,1))</f>
        <v>278.45534008146865</v>
      </c>
      <c r="FK39" s="59">
        <f t="shared" si="48"/>
        <v>272.97841038165217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0</v>
      </c>
      <c r="FR39" s="21">
        <f>EXP(-LN(2)/25)*FR38+(1-EXP(-LN(2)/25))/(LN(2)/25)*Calculateur!FM39*Calculateur!FO39*VLOOKUP('Données projet'!$B$16,Paramètres!$A$1:$I$89,3,0)*0.475*44/12</f>
        <v>2.8363691321200522</v>
      </c>
      <c r="FS39" s="21">
        <f>EXP(-LN(2)/2)*FS38+(1-EXP(-LN(2)/2))/(LN(2)/2)*FM39*FP39*VLOOKUP('Données projet'!$B$16,Paramètres!$A$1:$I$89,3,0)*0.475*44/12</f>
        <v>5.4787284357756887</v>
      </c>
      <c r="FT39" s="22">
        <f t="shared" si="24"/>
        <v>8.3150975678957408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3</v>
      </c>
      <c r="N40" s="13">
        <f>IF('Données projet'!$A$36&gt;35,N39+M40-V39,IF(A40&lt;'Données projet'!$A$36,$K$205^A40,IF(A40='Données projet'!$A$36,'Données projet'!$B$36,N39+M40-V39)))</f>
        <v>111</v>
      </c>
      <c r="O40" s="13">
        <f>N40*VLOOKUP('Données projet'!$B$9,Paramètres!$A$1:$I$89,3,0)*VLOOKUP('Données projet'!$B$9,Paramètres!$A$1:$I$89,5,0)</f>
        <v>100.4328</v>
      </c>
      <c r="P40" s="13">
        <f t="shared" si="33"/>
        <v>27.065080249927675</v>
      </c>
      <c r="Q40" s="20">
        <f t="shared" si="53"/>
        <v>222.0588081019574</v>
      </c>
      <c r="R40" s="59">
        <f t="shared" si="0"/>
        <v>515.39214143529068</v>
      </c>
      <c r="S40" s="59">
        <f ca="1">AVERAGE(OFFSET($R$3,0,0,'Données projet'!$E$9+1,1))-AVERAGE(OFFSET($H$3,0,0,'Données projet'!$E$9+1,1))</f>
        <v>436.03161778768742</v>
      </c>
      <c r="T40" s="59">
        <f t="shared" si="34"/>
        <v>217.65884352525285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3</v>
      </c>
      <c r="AI40" s="13">
        <f>IF('Données projet'!$A$62&gt;35,AI39+AH40-AQ39,IF(A40&lt;'Données projet'!$A$62,$AF$205^A40,IF(A40='Données projet'!$A$62,'Données projet'!$B$62,AI39+AH40-AQ39)))</f>
        <v>111</v>
      </c>
      <c r="AJ40" s="13">
        <f>AI40*VLOOKUP('Données projet'!$B$10,Paramètres!$A$1:$I$89,3,0)*VLOOKUP('Données projet'!$B$10,Paramètres!$A$1:$I$89,5,0)</f>
        <v>112.55400000000002</v>
      </c>
      <c r="AK40" s="13">
        <f t="shared" si="35"/>
        <v>29.93192070032319</v>
      </c>
      <c r="AL40" s="20">
        <f t="shared" si="4"/>
        <v>248.16297855306297</v>
      </c>
      <c r="AM40" s="59">
        <f t="shared" si="5"/>
        <v>541.49631188639626</v>
      </c>
      <c r="AN40" s="59">
        <f ca="1">AVERAGE(OFFSET($AM$3,0,0,'Données projet'!$E$10+1,1))-AVERAGE(OFFSET($H$3,0,0,'Données projet'!$E$10+1,1))</f>
        <v>483.45320081988984</v>
      </c>
      <c r="AO40" s="59">
        <f t="shared" si="36"/>
        <v>238.92443174298893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7.3</v>
      </c>
      <c r="BD40" s="12">
        <f>IF('Données projet'!$A$88&gt;35,BD39+BC40-BL39,IF(A40&lt;'Données projet'!$A$88,$BA$205^A40,IF(A40='Données projet'!$A$88,'Données projet'!$B$88,BD39+BC40-BL39)))</f>
        <v>191.10000000000008</v>
      </c>
      <c r="BE40" s="13">
        <f>BD40*VLOOKUP('Données projet'!$B$11,Paramètres!$A$1:$I$89,3,0)*VLOOKUP('Données projet'!$B$11,Paramètres!$A$1:$I$89,5,0)</f>
        <v>166.94496000000009</v>
      </c>
      <c r="BF40" s="13">
        <f t="shared" si="37"/>
        <v>42.405075786649157</v>
      </c>
      <c r="BG40" s="20">
        <f t="shared" si="7"/>
        <v>364.61797899508082</v>
      </c>
      <c r="BH40" s="59">
        <f t="shared" si="8"/>
        <v>657.95131232841413</v>
      </c>
      <c r="BI40" s="59">
        <f ca="1">AVERAGE(OFFSET($BH$3,0,0,'Données projet'!$E$11+1,1))-AVERAGE(OFFSET($H$3,0,0,'Données projet'!$E$11+1,1))</f>
        <v>310.44153296396854</v>
      </c>
      <c r="BJ40" s="59">
        <f t="shared" si="38"/>
        <v>388.05195847800502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25.6</v>
      </c>
      <c r="BY40" s="12">
        <f>IF('Données projet'!$A$114&gt;35,BY39+BX40-CG39,IF(A40&lt;'Données projet'!$A$114,$BV$205^A40,IF(A40='Données projet'!$A$114,'Données projet'!$B$114,BY39+BX40-CG39)))</f>
        <v>487.20000000000016</v>
      </c>
      <c r="BZ40" s="13">
        <f>BY40*VLOOKUP('Données projet'!$B$12,Paramètres!$A$1:$I$89,3,0)*VLOOKUP('Données projet'!$B$12,Paramètres!$A$1:$I$89,5,0)</f>
        <v>272.34480000000008</v>
      </c>
      <c r="CA40" s="13">
        <f t="shared" si="39"/>
        <v>65.346644318451709</v>
      </c>
      <c r="CB40" s="20">
        <f t="shared" si="10"/>
        <v>588.14593218797006</v>
      </c>
      <c r="CC40" s="59">
        <f t="shared" si="11"/>
        <v>881.47926552130343</v>
      </c>
      <c r="CD40" s="59">
        <f ca="1">AVERAGE(OFFSET($CC$3,0,0,'Données projet'!$E$12+1,1))-AVERAGE(OFFSET($H$3,0,0,'Données projet'!$E$12+1,1))</f>
        <v>443.34220761968419</v>
      </c>
      <c r="CE40" s="59">
        <f t="shared" si="40"/>
        <v>546.58234447298014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5.4097877505287997</v>
      </c>
      <c r="CL40" s="21">
        <f>EXP(-LN(2)/25)*CL39+(1-EXP(-LN(2)/25))/(LN(2)/25)*Calculateur!CG40*Calculateur!CI40*VLOOKUP('Données projet'!$B$12,Paramètres!$A$1:$I$89,3,0)*0.475*44/12</f>
        <v>30.885130294786762</v>
      </c>
      <c r="CM40" s="21">
        <f>EXP(-LN(2)/2)*CM39+(1-EXP(-LN(2)/2))/(LN(2)/2)*CG40*CJ40*VLOOKUP('Données projet'!$B$12,Paramètres!$A$1:$I$89,3,0)*0.475*44/12</f>
        <v>10.156235533559608</v>
      </c>
      <c r="CN40" s="22">
        <f t="shared" si="12"/>
        <v>46.451153578875171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11.5</v>
      </c>
      <c r="CT40" s="12">
        <f>IF('Données projet'!$A$140&gt;35,CT39+CS40-DB39,IF(A40&lt;'Données projet'!$A$140,$CQ$205^A40,IF(A40='Données projet'!$A$140,'Données projet'!$B$140,CT39+CS40-DB39)))</f>
        <v>197.5</v>
      </c>
      <c r="CU40" s="17">
        <f>CT40*VLOOKUP('Données projet'!$B$13,Paramètres!$A$1:$I$89,3,0)*VLOOKUP('Données projet'!$B$13,Paramètres!$A$1:$I$89,5,0)</f>
        <v>107.83500000000001</v>
      </c>
      <c r="CV40" s="13">
        <f t="shared" si="41"/>
        <v>28.820305061662388</v>
      </c>
      <c r="CW40" s="20">
        <f t="shared" si="13"/>
        <v>238.00798964906201</v>
      </c>
      <c r="CX40" s="59">
        <f t="shared" si="14"/>
        <v>531.34132298239535</v>
      </c>
      <c r="CY40" s="59">
        <f ca="1">AVERAGE(OFFSET($CX$3,0,0,'Données projet'!$E$13+1,1))-AVERAGE(OFFSET($H$3,0,0,'Données projet'!$E$13+1,1))</f>
        <v>214.22606988805535</v>
      </c>
      <c r="CZ40" s="59">
        <f t="shared" si="42"/>
        <v>305.78163836959078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14.57655948481014</v>
      </c>
      <c r="DG40" s="21">
        <f>EXP(-LN(2)/25)*DG39+(1-EXP(-LN(2)/25))/(LN(2)/25)*Calculateur!DB40*Calculateur!DD40*VLOOKUP('Données projet'!$B$13,Paramètres!$A$1:$I$89,3,0)*0.475*44/12</f>
        <v>28.042473832112567</v>
      </c>
      <c r="DH40" s="21">
        <f>EXP(-LN(2)/2)*DH39+(1-EXP(-LN(2)/2))/(LN(2)/2)*DB40*DE40*VLOOKUP('Données projet'!$B$13,Paramètres!$A$1:$I$89,3,0)*0.475*44/12</f>
        <v>9.4002423000718558</v>
      </c>
      <c r="DI40" s="22">
        <f t="shared" si="15"/>
        <v>52.019275616994562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9.6</v>
      </c>
      <c r="DO40" s="12">
        <f>IF('Données projet'!$A$166&gt;35,DO39+DN40-DW39,IF(A40&lt;'Données projet'!$A$166,$DL$205^A40,IF(A40='Données projet'!$A$166,'Données projet'!$B$166,DO39+DN40-DW39)))</f>
        <v>163.20000000000002</v>
      </c>
      <c r="DP40" s="17">
        <f>DO40*VLOOKUP('Données projet'!$B$14,Paramètres!$A$1:$I$89,3,0)*VLOOKUP('Données projet'!$B$14,Paramètres!$A$1:$I$89,5,0)</f>
        <v>132.38784000000004</v>
      </c>
      <c r="DQ40" s="13">
        <f t="shared" si="43"/>
        <v>34.547533199821324</v>
      </c>
      <c r="DR40" s="20">
        <f t="shared" si="16"/>
        <v>290.74577498968887</v>
      </c>
      <c r="DS40" s="59">
        <f t="shared" si="17"/>
        <v>584.07910832302218</v>
      </c>
      <c r="DT40" s="59">
        <f ca="1">AVERAGE(OFFSET($DS$3,0,0,'Données projet'!$E$14+1,1))-AVERAGE(OFFSET($H$3,0,0,'Données projet'!$E$14+1,1))</f>
        <v>304.26232113495314</v>
      </c>
      <c r="DU40" s="59">
        <f t="shared" si="44"/>
        <v>297.47246687305056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3.7621356460590936</v>
      </c>
      <c r="EC40" s="21">
        <f>EXP(-LN(2)/2)*EC39+(1-EXP(-LN(2)/2))/(LN(2)/2)*DW40*DZ40*VLOOKUP('Données projet'!$B$14,Paramètres!$A$1:$I$89,3,0)*0.475*44/12</f>
        <v>4.2861785855161898</v>
      </c>
      <c r="ED40" s="22">
        <f t="shared" si="18"/>
        <v>8.0483142315752829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9.6</v>
      </c>
      <c r="EJ40" s="12">
        <f>IF('Données projet'!$A$192&gt;35,EJ39+EI40-ER39,IF(A40&lt;'Données projet'!$A$192,$EG$205^A40,IF(A40='Données projet'!$A$192,'Données projet'!$B$192,EJ39+EI40-ER39)))</f>
        <v>163.20000000000002</v>
      </c>
      <c r="EK40" s="17">
        <f>EJ40*VLOOKUP('Données projet'!$B$15,Paramètres!$A$1:$I$89,3,0)*VLOOKUP('Données projet'!$B$15,Paramètres!$A$1:$I$89,5,0)</f>
        <v>157.84704000000002</v>
      </c>
      <c r="EL40" s="13">
        <f t="shared" si="45"/>
        <v>40.356527053881578</v>
      </c>
      <c r="EM40" s="20">
        <f t="shared" si="19"/>
        <v>345.20454595217711</v>
      </c>
      <c r="EN40" s="59">
        <f t="shared" si="20"/>
        <v>638.53787928551037</v>
      </c>
      <c r="EO40" s="59">
        <f ca="1">AVERAGE(OFFSET($EN$3,0,0,'Données projet'!$E$15+1,1))-AVERAGE(OFFSET($H$3,0,0,'Données projet'!$E$15+1,1))</f>
        <v>355.72173590705142</v>
      </c>
      <c r="EP40" s="59">
        <f t="shared" si="46"/>
        <v>346.30980704469363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3.6392792570368449</v>
      </c>
      <c r="EX40" s="21">
        <f>EXP(-LN(2)/2)*EX39+(1-EXP(-LN(2)/2))/(LN(2)/2)*ER40*EU40*VLOOKUP('Données projet'!$B$15,Paramètres!$A$1:$I$89,3,0)*0.475*44/12</f>
        <v>5.1104436981154571</v>
      </c>
      <c r="EY40" s="22">
        <f t="shared" si="21"/>
        <v>8.7497229551523024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9.6</v>
      </c>
      <c r="FE40" s="12">
        <f>IF('Données projet'!$A$218&gt;35,FE39+FD40-FM39,IF(A40&lt;'Données projet'!$A$218,$FB$205^A40,IF(A40='Données projet'!$A$218,'Données projet'!$B$218,FE39+FD40-FM39)))</f>
        <v>163.20000000000002</v>
      </c>
      <c r="FF40" s="17">
        <f>FE40*VLOOKUP('Données projet'!$B$16,Paramètres!$A$1:$I$89,3,0)*VLOOKUP('Données projet'!$B$16,Paramètres!$A$1:$I$89,5,0)</f>
        <v>119.65824000000002</v>
      </c>
      <c r="FG40" s="13">
        <f t="shared" si="47"/>
        <v>31.595276160231336</v>
      </c>
      <c r="FH40" s="20">
        <f t="shared" si="22"/>
        <v>263.43320731240294</v>
      </c>
      <c r="FI40" s="59">
        <f t="shared" si="23"/>
        <v>556.76654064573631</v>
      </c>
      <c r="FJ40" s="59">
        <f ca="1">AVERAGE(OFFSET($FI$3,0,0,'Données projet'!$E$16+1,1))-AVERAGE(OFFSET($H$3,0,0,'Données projet'!$E$16+1,1))</f>
        <v>278.45534008146865</v>
      </c>
      <c r="FK40" s="59">
        <f t="shared" si="48"/>
        <v>272.97841038165217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0</v>
      </c>
      <c r="FR40" s="21">
        <f>EXP(-LN(2)/25)*FR39+(1-EXP(-LN(2)/25))/(LN(2)/25)*Calculateur!FM40*Calculateur!FO40*VLOOKUP('Données projet'!$B$16,Paramètres!$A$1:$I$89,3,0)*0.475*44/12</f>
        <v>2.7588084690440593</v>
      </c>
      <c r="FS40" s="21">
        <f>EXP(-LN(2)/2)*FS39+(1-EXP(-LN(2)/2))/(LN(2)/2)*FM40*FP40*VLOOKUP('Données projet'!$B$16,Paramètres!$A$1:$I$89,3,0)*0.475*44/12</f>
        <v>3.8740460292165562</v>
      </c>
      <c r="FT40" s="22">
        <f t="shared" si="24"/>
        <v>6.632854498260615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3</v>
      </c>
      <c r="N41" s="13">
        <f>IF('Données projet'!$A$36&gt;35,N40+M41-V40,IF(A41&lt;'Données projet'!$A$36,$K$205^A41,IF(A41='Données projet'!$A$36,'Données projet'!$B$36,N40+M41-V40)))</f>
        <v>114</v>
      </c>
      <c r="O41" s="13">
        <f>N41*VLOOKUP('Données projet'!$B$9,Paramètres!$A$1:$I$89,3,0)*VLOOKUP('Données projet'!$B$9,Paramètres!$A$1:$I$89,5,0)</f>
        <v>103.14719999999998</v>
      </c>
      <c r="P41" s="13">
        <f t="shared" si="33"/>
        <v>27.710417026801451</v>
      </c>
      <c r="Q41" s="20">
        <f t="shared" si="53"/>
        <v>227.91034965501251</v>
      </c>
      <c r="R41" s="59">
        <f t="shared" si="0"/>
        <v>521.24368298834588</v>
      </c>
      <c r="S41" s="59">
        <f ca="1">AVERAGE(OFFSET($R$3,0,0,'Données projet'!$E$9+1,1))-AVERAGE(OFFSET($H$3,0,0,'Données projet'!$E$9+1,1))</f>
        <v>436.03161778768742</v>
      </c>
      <c r="T41" s="59">
        <f t="shared" si="34"/>
        <v>217.65884352525285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3</v>
      </c>
      <c r="AI41" s="13">
        <f>IF('Données projet'!$A$62&gt;35,AI40+AH41-AQ40,IF(A41&lt;'Données projet'!$A$62,$AF$205^A41,IF(A41='Données projet'!$A$62,'Données projet'!$B$62,AI40+AH41-AQ40)))</f>
        <v>114</v>
      </c>
      <c r="AJ41" s="13">
        <f>AI41*VLOOKUP('Données projet'!$B$10,Paramètres!$A$1:$I$89,3,0)*VLOOKUP('Données projet'!$B$10,Paramètres!$A$1:$I$89,5,0)</f>
        <v>115.59600000000002</v>
      </c>
      <c r="AK41" s="13">
        <f t="shared" si="35"/>
        <v>30.645614103483879</v>
      </c>
      <c r="AL41" s="20">
        <f t="shared" si="4"/>
        <v>254.70414456356778</v>
      </c>
      <c r="AM41" s="59">
        <f t="shared" si="5"/>
        <v>548.03747789690112</v>
      </c>
      <c r="AN41" s="59">
        <f ca="1">AVERAGE(OFFSET($AM$3,0,0,'Données projet'!$E$10+1,1))-AVERAGE(OFFSET($H$3,0,0,'Données projet'!$E$10+1,1))</f>
        <v>483.45320081988984</v>
      </c>
      <c r="AO41" s="59">
        <f t="shared" si="36"/>
        <v>238.92443174298893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7.3</v>
      </c>
      <c r="BD41" s="12">
        <f>IF('Données projet'!$A$88&gt;35,BD40+BC41-BL40,IF(A41&lt;'Données projet'!$A$88,$BA$205^A41,IF(A41='Données projet'!$A$88,'Données projet'!$B$88,BD40+BC41-BL40)))</f>
        <v>198.40000000000009</v>
      </c>
      <c r="BE41" s="13">
        <f>BD41*VLOOKUP('Données projet'!$B$11,Paramètres!$A$1:$I$89,3,0)*VLOOKUP('Données projet'!$B$11,Paramètres!$A$1:$I$89,5,0)</f>
        <v>173.32224000000011</v>
      </c>
      <c r="BF41" s="13">
        <f t="shared" si="37"/>
        <v>43.833254629845165</v>
      </c>
      <c r="BG41" s="20">
        <f t="shared" si="7"/>
        <v>378.21248648031383</v>
      </c>
      <c r="BH41" s="59">
        <f t="shared" si="8"/>
        <v>671.54581981364709</v>
      </c>
      <c r="BI41" s="59">
        <f ca="1">AVERAGE(OFFSET($BH$3,0,0,'Données projet'!$E$11+1,1))-AVERAGE(OFFSET($H$3,0,0,'Données projet'!$E$11+1,1))</f>
        <v>310.44153296396854</v>
      </c>
      <c r="BJ41" s="59">
        <f t="shared" si="38"/>
        <v>388.05195847800502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25.6</v>
      </c>
      <c r="BY41" s="12">
        <f>IF('Données projet'!$A$114&gt;35,BY40+BX41-CG40,IF(A41&lt;'Données projet'!$A$114,$BV$205^A41,IF(A41='Données projet'!$A$114,'Données projet'!$B$114,BY40+BX41-CG40)))</f>
        <v>512.80000000000018</v>
      </c>
      <c r="BZ41" s="13">
        <f>BY41*VLOOKUP('Données projet'!$B$12,Paramètres!$A$1:$I$89,3,0)*VLOOKUP('Données projet'!$B$12,Paramètres!$A$1:$I$89,5,0)</f>
        <v>286.65520000000009</v>
      </c>
      <c r="CA41" s="13">
        <f t="shared" si="39"/>
        <v>68.37151538584105</v>
      </c>
      <c r="CB41" s="20">
        <f t="shared" si="10"/>
        <v>618.33819596367323</v>
      </c>
      <c r="CC41" s="59">
        <f t="shared" si="11"/>
        <v>911.6715292970066</v>
      </c>
      <c r="CD41" s="59">
        <f ca="1">AVERAGE(OFFSET($CC$3,0,0,'Données projet'!$E$12+1,1))-AVERAGE(OFFSET($H$3,0,0,'Données projet'!$E$12+1,1))</f>
        <v>443.34220761968419</v>
      </c>
      <c r="CE41" s="59">
        <f t="shared" si="40"/>
        <v>546.58234447298014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5.3037051123856447</v>
      </c>
      <c r="CL41" s="21">
        <f>EXP(-LN(2)/25)*CL40+(1-EXP(-LN(2)/25))/(LN(2)/25)*Calculateur!CG41*Calculateur!CI41*VLOOKUP('Données projet'!$B$12,Paramètres!$A$1:$I$89,3,0)*0.475*44/12</f>
        <v>30.040574782697405</v>
      </c>
      <c r="CM41" s="21">
        <f>EXP(-LN(2)/2)*CM40+(1-EXP(-LN(2)/2))/(LN(2)/2)*CG41*CJ41*VLOOKUP('Données projet'!$B$12,Paramètres!$A$1:$I$89,3,0)*0.475*44/12</f>
        <v>7.1815430171077725</v>
      </c>
      <c r="CN41" s="22">
        <f t="shared" si="12"/>
        <v>42.525822912190819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11.5</v>
      </c>
      <c r="CT41" s="12">
        <f>IF('Données projet'!$A$140&gt;35,CT40+CS41-DB40,IF(A41&lt;'Données projet'!$A$140,$CQ$205^A41,IF(A41='Données projet'!$A$140,'Données projet'!$B$140,CT40+CS41-DB40)))</f>
        <v>209</v>
      </c>
      <c r="CU41" s="17">
        <f>CT41*VLOOKUP('Données projet'!$B$13,Paramètres!$A$1:$I$89,3,0)*VLOOKUP('Données projet'!$B$13,Paramètres!$A$1:$I$89,5,0)</f>
        <v>114.114</v>
      </c>
      <c r="CV41" s="13">
        <f t="shared" si="41"/>
        <v>30.2981940217283</v>
      </c>
      <c r="CW41" s="20">
        <f t="shared" si="13"/>
        <v>251.51790458784345</v>
      </c>
      <c r="CX41" s="59">
        <f t="shared" si="14"/>
        <v>544.85123792117679</v>
      </c>
      <c r="CY41" s="59">
        <f ca="1">AVERAGE(OFFSET($CX$3,0,0,'Données projet'!$E$13+1,1))-AVERAGE(OFFSET($H$3,0,0,'Données projet'!$E$13+1,1))</f>
        <v>214.22606988805535</v>
      </c>
      <c r="CZ41" s="59">
        <f t="shared" si="42"/>
        <v>305.78163836959078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14.290722044136404</v>
      </c>
      <c r="DG41" s="21">
        <f>EXP(-LN(2)/25)*DG40+(1-EXP(-LN(2)/25))/(LN(2)/25)*Calculateur!DB41*Calculateur!DD41*VLOOKUP('Données projet'!$B$13,Paramètres!$A$1:$I$89,3,0)*0.475*44/12</f>
        <v>27.27565091048384</v>
      </c>
      <c r="DH41" s="21">
        <f>EXP(-LN(2)/2)*DH40+(1-EXP(-LN(2)/2))/(LN(2)/2)*DB41*DE41*VLOOKUP('Données projet'!$B$13,Paramètres!$A$1:$I$89,3,0)*0.475*44/12</f>
        <v>6.6469750751774388</v>
      </c>
      <c r="DI41" s="22">
        <f t="shared" si="15"/>
        <v>48.213348029797679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9.6</v>
      </c>
      <c r="DO41" s="12">
        <f>IF('Données projet'!$A$166&gt;35,DO40+DN41-DW40,IF(A41&lt;'Données projet'!$A$166,$DL$205^A41,IF(A41='Données projet'!$A$166,'Données projet'!$B$166,DO40+DN41-DW40)))</f>
        <v>172.8</v>
      </c>
      <c r="DP41" s="17">
        <f>DO41*VLOOKUP('Données projet'!$B$14,Paramètres!$A$1:$I$89,3,0)*VLOOKUP('Données projet'!$B$14,Paramètres!$A$1:$I$89,5,0)</f>
        <v>140.17536000000001</v>
      </c>
      <c r="DQ41" s="13">
        <f t="shared" si="43"/>
        <v>36.337175081323657</v>
      </c>
      <c r="DR41" s="20">
        <f t="shared" si="16"/>
        <v>307.42599859997205</v>
      </c>
      <c r="DS41" s="59">
        <f t="shared" si="17"/>
        <v>600.75933193330536</v>
      </c>
      <c r="DT41" s="59">
        <f ca="1">AVERAGE(OFFSET($DS$3,0,0,'Données projet'!$E$14+1,1))-AVERAGE(OFFSET($H$3,0,0,'Données projet'!$E$14+1,1))</f>
        <v>304.26232113495314</v>
      </c>
      <c r="DU41" s="59">
        <f t="shared" si="44"/>
        <v>297.47246687305056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3.6592598489754926</v>
      </c>
      <c r="EC41" s="21">
        <f>EXP(-LN(2)/2)*EC40+(1-EXP(-LN(2)/2))/(LN(2)/2)*DW41*DZ41*VLOOKUP('Données projet'!$B$14,Paramètres!$A$1:$I$89,3,0)*0.475*44/12</f>
        <v>3.0307859431950623</v>
      </c>
      <c r="ED41" s="22">
        <f t="shared" si="18"/>
        <v>6.6900457921705545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9.6</v>
      </c>
      <c r="EJ41" s="12">
        <f>IF('Données projet'!$A$192&gt;35,EJ40+EI41-ER40,IF(A41&lt;'Données projet'!$A$192,$EG$205^A41,IF(A41='Données projet'!$A$192,'Données projet'!$B$192,EJ40+EI41-ER40)))</f>
        <v>172.8</v>
      </c>
      <c r="EK41" s="17">
        <f>EJ41*VLOOKUP('Données projet'!$B$15,Paramètres!$A$1:$I$89,3,0)*VLOOKUP('Données projet'!$B$15,Paramètres!$A$1:$I$89,5,0)</f>
        <v>167.13216000000003</v>
      </c>
      <c r="EL41" s="13">
        <f t="shared" si="45"/>
        <v>42.447088211746923</v>
      </c>
      <c r="EM41" s="20">
        <f t="shared" si="19"/>
        <v>365.01719063545926</v>
      </c>
      <c r="EN41" s="59">
        <f t="shared" si="20"/>
        <v>658.35052396879257</v>
      </c>
      <c r="EO41" s="59">
        <f ca="1">AVERAGE(OFFSET($EN$3,0,0,'Données projet'!$E$15+1,1))-AVERAGE(OFFSET($H$3,0,0,'Données projet'!$E$15+1,1))</f>
        <v>355.72173590705142</v>
      </c>
      <c r="EP41" s="59">
        <f t="shared" si="46"/>
        <v>346.30980704469363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3.539762974371794</v>
      </c>
      <c r="EX41" s="21">
        <f>EXP(-LN(2)/2)*EX40+(1-EXP(-LN(2)/2))/(LN(2)/2)*ER41*EU41*VLOOKUP('Données projet'!$B$15,Paramètres!$A$1:$I$89,3,0)*0.475*44/12</f>
        <v>3.6136293938094974</v>
      </c>
      <c r="EY41" s="22">
        <f t="shared" si="21"/>
        <v>7.1533923681812919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9.6</v>
      </c>
      <c r="FE41" s="12">
        <f>IF('Données projet'!$A$218&gt;35,FE40+FD41-FM40,IF(A41&lt;'Données projet'!$A$218,$FB$205^A41,IF(A41='Données projet'!$A$218,'Données projet'!$B$218,FE40+FD41-FM40)))</f>
        <v>172.8</v>
      </c>
      <c r="FF41" s="17">
        <f>FE41*VLOOKUP('Données projet'!$B$16,Paramètres!$A$1:$I$89,3,0)*VLOOKUP('Données projet'!$B$16,Paramètres!$A$1:$I$89,5,0)</f>
        <v>126.69695999999999</v>
      </c>
      <c r="FG41" s="13">
        <f t="shared" si="47"/>
        <v>33.231984319593515</v>
      </c>
      <c r="FH41" s="20">
        <f t="shared" si="22"/>
        <v>278.54291135662532</v>
      </c>
      <c r="FI41" s="59">
        <f t="shared" si="23"/>
        <v>571.87624468995864</v>
      </c>
      <c r="FJ41" s="59">
        <f ca="1">AVERAGE(OFFSET($FI$3,0,0,'Données projet'!$E$16+1,1))-AVERAGE(OFFSET($H$3,0,0,'Données projet'!$E$16+1,1))</f>
        <v>278.45534008146865</v>
      </c>
      <c r="FK41" s="59">
        <f t="shared" si="48"/>
        <v>272.97841038165217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0</v>
      </c>
      <c r="FR41" s="21">
        <f>EXP(-LN(2)/25)*FR40+(1-EXP(-LN(2)/25))/(LN(2)/25)*Calculateur!FM41*Calculateur!FO41*VLOOKUP('Données projet'!$B$16,Paramètres!$A$1:$I$89,3,0)*0.475*44/12</f>
        <v>2.6833687063786176</v>
      </c>
      <c r="FS41" s="21">
        <f>EXP(-LN(2)/2)*FS40+(1-EXP(-LN(2)/2))/(LN(2)/2)*FM41*FP41*VLOOKUP('Données projet'!$B$16,Paramètres!$A$1:$I$89,3,0)*0.475*44/12</f>
        <v>2.7393642178878448</v>
      </c>
      <c r="FT41" s="22">
        <f t="shared" si="24"/>
        <v>5.4227329242664624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3</v>
      </c>
      <c r="N42" s="13">
        <f>IF('Données projet'!$A$36&gt;35,N41+M42-V41,IF(A42&lt;'Données projet'!$A$36,$K$205^A42,IF(A42='Données projet'!$A$36,'Données projet'!$B$36,N41+M42-V41)))</f>
        <v>117</v>
      </c>
      <c r="O42" s="13">
        <f>N42*VLOOKUP('Données projet'!$B$9,Paramètres!$A$1:$I$89,3,0)*VLOOKUP('Données projet'!$B$9,Paramètres!$A$1:$I$89,5,0)</f>
        <v>105.8616</v>
      </c>
      <c r="P42" s="13">
        <f t="shared" si="33"/>
        <v>28.353779818951288</v>
      </c>
      <c r="Q42" s="20">
        <f t="shared" si="53"/>
        <v>233.75845318467347</v>
      </c>
      <c r="R42" s="59">
        <f t="shared" si="0"/>
        <v>527.09178651800676</v>
      </c>
      <c r="S42" s="59">
        <f ca="1">AVERAGE(OFFSET($R$3,0,0,'Données projet'!$E$9+1,1))-AVERAGE(OFFSET($H$3,0,0,'Données projet'!$E$9+1,1))</f>
        <v>436.03161778768742</v>
      </c>
      <c r="T42" s="59">
        <f t="shared" si="34"/>
        <v>217.65884352525285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3</v>
      </c>
      <c r="AI42" s="13">
        <f>IF('Données projet'!$A$62&gt;35,AI41+AH42-AQ41,IF(A42&lt;'Données projet'!$A$62,$AF$205^A42,IF(A42='Données projet'!$A$62,'Données projet'!$B$62,AI41+AH42-AQ41)))</f>
        <v>117</v>
      </c>
      <c r="AJ42" s="13">
        <f>AI42*VLOOKUP('Données projet'!$B$10,Paramètres!$A$1:$I$89,3,0)*VLOOKUP('Données projet'!$B$10,Paramètres!$A$1:$I$89,5,0)</f>
        <v>118.63800000000001</v>
      </c>
      <c r="AK42" s="13">
        <f t="shared" si="35"/>
        <v>31.357124429643687</v>
      </c>
      <c r="AL42" s="20">
        <f t="shared" si="4"/>
        <v>261.24150838162944</v>
      </c>
      <c r="AM42" s="59">
        <f t="shared" si="5"/>
        <v>554.57484171496276</v>
      </c>
      <c r="AN42" s="59">
        <f ca="1">AVERAGE(OFFSET($AM$3,0,0,'Données projet'!$E$10+1,1))-AVERAGE(OFFSET($H$3,0,0,'Données projet'!$E$10+1,1))</f>
        <v>483.45320081988984</v>
      </c>
      <c r="AO42" s="59">
        <f t="shared" si="36"/>
        <v>238.92443174298893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7.3</v>
      </c>
      <c r="BD42" s="12">
        <f>IF('Données projet'!$A$88&gt;35,BD41+BC42-BL41,IF(A42&lt;'Données projet'!$A$88,$BA$205^A42,IF(A42='Données projet'!$A$88,'Données projet'!$B$88,BD41+BC42-BL41)))</f>
        <v>205.7000000000001</v>
      </c>
      <c r="BE42" s="13">
        <f>BD42*VLOOKUP('Données projet'!$B$11,Paramètres!$A$1:$I$89,3,0)*VLOOKUP('Données projet'!$B$11,Paramètres!$A$1:$I$89,5,0)</f>
        <v>179.69952000000009</v>
      </c>
      <c r="BF42" s="13">
        <f t="shared" si="37"/>
        <v>45.25532840359331</v>
      </c>
      <c r="BG42" s="20">
        <f t="shared" si="7"/>
        <v>391.79636096959183</v>
      </c>
      <c r="BH42" s="59">
        <f t="shared" si="8"/>
        <v>685.12969430292515</v>
      </c>
      <c r="BI42" s="59">
        <f ca="1">AVERAGE(OFFSET($BH$3,0,0,'Données projet'!$E$11+1,1))-AVERAGE(OFFSET($H$3,0,0,'Données projet'!$E$11+1,1))</f>
        <v>310.44153296396854</v>
      </c>
      <c r="BJ42" s="59">
        <f t="shared" si="38"/>
        <v>388.05195847800502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25.6</v>
      </c>
      <c r="BY42" s="12">
        <f>IF('Données projet'!$A$114&gt;35,BY41+BX42-CG41,IF(A42&lt;'Données projet'!$A$114,$BV$205^A42,IF(A42='Données projet'!$A$114,'Données projet'!$B$114,BY41+BX42-CG41)))</f>
        <v>538.4000000000002</v>
      </c>
      <c r="BZ42" s="13">
        <f>BY42*VLOOKUP('Données projet'!$B$12,Paramètres!$A$1:$I$89,3,0)*VLOOKUP('Données projet'!$B$12,Paramètres!$A$1:$I$89,5,0)</f>
        <v>300.96560000000011</v>
      </c>
      <c r="CA42" s="13">
        <f t="shared" si="39"/>
        <v>71.378852450242803</v>
      </c>
      <c r="CB42" s="20">
        <f t="shared" si="10"/>
        <v>648.49992135083971</v>
      </c>
      <c r="CC42" s="59">
        <f t="shared" si="11"/>
        <v>941.83325468417297</v>
      </c>
      <c r="CD42" s="59">
        <f ca="1">AVERAGE(OFFSET($CC$3,0,0,'Données projet'!$E$12+1,1))-AVERAGE(OFFSET($H$3,0,0,'Données projet'!$E$12+1,1))</f>
        <v>443.34220761968419</v>
      </c>
      <c r="CE42" s="59">
        <f t="shared" si="40"/>
        <v>546.58234447298014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5.1997026900724572</v>
      </c>
      <c r="CL42" s="21">
        <f>EXP(-LN(2)/25)*CL41+(1-EXP(-LN(2)/25))/(LN(2)/25)*Calculateur!CG42*Calculateur!CI42*VLOOKUP('Données projet'!$B$12,Paramètres!$A$1:$I$89,3,0)*0.475*44/12</f>
        <v>29.219113685499376</v>
      </c>
      <c r="CM42" s="21">
        <f>EXP(-LN(2)/2)*CM41+(1-EXP(-LN(2)/2))/(LN(2)/2)*CG42*CJ42*VLOOKUP('Données projet'!$B$12,Paramètres!$A$1:$I$89,3,0)*0.475*44/12</f>
        <v>5.0781177667798048</v>
      </c>
      <c r="CN42" s="22">
        <f t="shared" si="12"/>
        <v>39.496934142351641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11.5</v>
      </c>
      <c r="CT42" s="12">
        <f>IF('Données projet'!$A$140&gt;35,CT41+CS42-DB41,IF(A42&lt;'Données projet'!$A$140,$CQ$205^A42,IF(A42='Données projet'!$A$140,'Données projet'!$B$140,CT41+CS42-DB41)))</f>
        <v>220.5</v>
      </c>
      <c r="CU42" s="17">
        <f>CT42*VLOOKUP('Données projet'!$B$13,Paramètres!$A$1:$I$89,3,0)*VLOOKUP('Données projet'!$B$13,Paramètres!$A$1:$I$89,5,0)</f>
        <v>120.393</v>
      </c>
      <c r="CV42" s="13">
        <f t="shared" si="41"/>
        <v>31.766642640580073</v>
      </c>
      <c r="CW42" s="20">
        <f t="shared" si="13"/>
        <v>265.0113775990103</v>
      </c>
      <c r="CX42" s="59">
        <f t="shared" si="14"/>
        <v>558.34471093234356</v>
      </c>
      <c r="CY42" s="59">
        <f ca="1">AVERAGE(OFFSET($CX$3,0,0,'Données projet'!$E$13+1,1))-AVERAGE(OFFSET($H$3,0,0,'Données projet'!$E$13+1,1))</f>
        <v>214.22606988805535</v>
      </c>
      <c r="CZ42" s="59">
        <f t="shared" si="42"/>
        <v>305.78163836959078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14.010489701330656</v>
      </c>
      <c r="DG42" s="21">
        <f>EXP(-LN(2)/25)*DG41+(1-EXP(-LN(2)/25))/(LN(2)/25)*Calculateur!DB42*Calculateur!DD42*VLOOKUP('Données projet'!$B$13,Paramètres!$A$1:$I$89,3,0)*0.475*44/12</f>
        <v>26.529796801972516</v>
      </c>
      <c r="DH42" s="21">
        <f>EXP(-LN(2)/2)*DH41+(1-EXP(-LN(2)/2))/(LN(2)/2)*DB42*DE42*VLOOKUP('Données projet'!$B$13,Paramètres!$A$1:$I$89,3,0)*0.475*44/12</f>
        <v>4.7001211500359288</v>
      </c>
      <c r="DI42" s="22">
        <f t="shared" si="15"/>
        <v>45.240407653339098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9.6</v>
      </c>
      <c r="DO42" s="12">
        <f>IF('Données projet'!$A$166&gt;35,DO41+DN42-DW41,IF(A42&lt;'Données projet'!$A$166,$DL$205^A42,IF(A42='Données projet'!$A$166,'Données projet'!$B$166,DO41+DN42-DW41)))</f>
        <v>182.4</v>
      </c>
      <c r="DP42" s="17">
        <f>DO42*VLOOKUP('Données projet'!$B$14,Paramètres!$A$1:$I$89,3,0)*VLOOKUP('Données projet'!$B$14,Paramètres!$A$1:$I$89,5,0)</f>
        <v>147.96288000000001</v>
      </c>
      <c r="DQ42" s="13">
        <f t="shared" si="43"/>
        <v>38.115275017059226</v>
      </c>
      <c r="DR42" s="20">
        <f t="shared" si="16"/>
        <v>324.0861199880448</v>
      </c>
      <c r="DS42" s="59">
        <f t="shared" si="17"/>
        <v>617.41945332137811</v>
      </c>
      <c r="DT42" s="59">
        <f ca="1">AVERAGE(OFFSET($DS$3,0,0,'Données projet'!$E$14+1,1))-AVERAGE(OFFSET($H$3,0,0,'Données projet'!$E$14+1,1))</f>
        <v>304.26232113495314</v>
      </c>
      <c r="DU42" s="59">
        <f t="shared" si="44"/>
        <v>297.47246687305056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3.5591971959731459</v>
      </c>
      <c r="EC42" s="21">
        <f>EXP(-LN(2)/2)*EC41+(1-EXP(-LN(2)/2))/(LN(2)/2)*DW42*DZ42*VLOOKUP('Données projet'!$B$14,Paramètres!$A$1:$I$89,3,0)*0.475*44/12</f>
        <v>2.1430892927580953</v>
      </c>
      <c r="ED42" s="22">
        <f t="shared" si="18"/>
        <v>5.7022864887312412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9.6</v>
      </c>
      <c r="EJ42" s="12">
        <f>IF('Données projet'!$A$192&gt;35,EJ41+EI42-ER41,IF(A42&lt;'Données projet'!$A$192,$EG$205^A42,IF(A42='Données projet'!$A$192,'Données projet'!$B$192,EJ41+EI42-ER41)))</f>
        <v>182.4</v>
      </c>
      <c r="EK42" s="17">
        <f>EJ42*VLOOKUP('Données projet'!$B$15,Paramètres!$A$1:$I$89,3,0)*VLOOKUP('Données projet'!$B$15,Paramètres!$A$1:$I$89,5,0)</f>
        <v>176.41728000000001</v>
      </c>
      <c r="EL42" s="13">
        <f t="shared" si="45"/>
        <v>44.524166703747255</v>
      </c>
      <c r="EM42" s="20">
        <f t="shared" si="19"/>
        <v>384.80635300902645</v>
      </c>
      <c r="EN42" s="59">
        <f t="shared" si="20"/>
        <v>678.13968634235971</v>
      </c>
      <c r="EO42" s="59">
        <f ca="1">AVERAGE(OFFSET($EN$3,0,0,'Données projet'!$E$15+1,1))-AVERAGE(OFFSET($H$3,0,0,'Données projet'!$E$15+1,1))</f>
        <v>355.72173590705142</v>
      </c>
      <c r="EP42" s="59">
        <f t="shared" si="46"/>
        <v>346.30980704469363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3.4429679696895525</v>
      </c>
      <c r="EX42" s="21">
        <f>EXP(-LN(2)/2)*EX41+(1-EXP(-LN(2)/2))/(LN(2)/2)*ER42*EU42*VLOOKUP('Données projet'!$B$15,Paramètres!$A$1:$I$89,3,0)*0.475*44/12</f>
        <v>2.555221849057729</v>
      </c>
      <c r="EY42" s="22">
        <f t="shared" si="21"/>
        <v>5.9981898187472815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9.6</v>
      </c>
      <c r="FE42" s="12">
        <f>IF('Données projet'!$A$218&gt;35,FE41+FD42-FM41,IF(A42&lt;'Données projet'!$A$218,$FB$205^A42,IF(A42='Données projet'!$A$218,'Données projet'!$B$218,FE41+FD42-FM41)))</f>
        <v>182.4</v>
      </c>
      <c r="FF42" s="17">
        <f>FE42*VLOOKUP('Données projet'!$B$16,Paramètres!$A$1:$I$89,3,0)*VLOOKUP('Données projet'!$B$16,Paramètres!$A$1:$I$89,5,0)</f>
        <v>133.73568</v>
      </c>
      <c r="FG42" s="13">
        <f t="shared" si="47"/>
        <v>34.858136849359241</v>
      </c>
      <c r="FH42" s="20">
        <f t="shared" si="22"/>
        <v>293.63423101263402</v>
      </c>
      <c r="FI42" s="59">
        <f t="shared" si="23"/>
        <v>586.96756434596728</v>
      </c>
      <c r="FJ42" s="59">
        <f ca="1">AVERAGE(OFFSET($FI$3,0,0,'Données projet'!$E$16+1,1))-AVERAGE(OFFSET($H$3,0,0,'Données projet'!$E$16+1,1))</f>
        <v>278.45534008146865</v>
      </c>
      <c r="FK42" s="59">
        <f t="shared" si="48"/>
        <v>272.97841038165217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0</v>
      </c>
      <c r="FR42" s="21">
        <f>EXP(-LN(2)/25)*FR41+(1-EXP(-LN(2)/25))/(LN(2)/25)*Calculateur!FM42*Calculateur!FO42*VLOOKUP('Données projet'!$B$16,Paramètres!$A$1:$I$89,3,0)*0.475*44/12</f>
        <v>2.6099918479904671</v>
      </c>
      <c r="FS42" s="21">
        <f>EXP(-LN(2)/2)*FS41+(1-EXP(-LN(2)/2))/(LN(2)/2)*FM42*FP42*VLOOKUP('Données projet'!$B$16,Paramètres!$A$1:$I$89,3,0)*0.475*44/12</f>
        <v>1.9370230146082783</v>
      </c>
      <c r="FT42" s="22">
        <f t="shared" si="24"/>
        <v>4.5470148625987452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3</v>
      </c>
      <c r="N43" s="13">
        <f>IF('Données projet'!$A$36&gt;35,N42+M43-V42,IF(A43&lt;'Données projet'!$A$36,$K$205^A43,IF(A43='Données projet'!$A$36,'Données projet'!$B$36,N42+M43-V42)))</f>
        <v>120</v>
      </c>
      <c r="O43" s="13">
        <f>N43*VLOOKUP('Données projet'!$B$9,Paramètres!$A$1:$I$89,3,0)*VLOOKUP('Données projet'!$B$9,Paramètres!$A$1:$I$89,5,0)</f>
        <v>108.57599999999999</v>
      </c>
      <c r="P43" s="13">
        <f t="shared" si="33"/>
        <v>28.995225061228002</v>
      </c>
      <c r="Q43" s="20">
        <f t="shared" si="53"/>
        <v>239.60321698163875</v>
      </c>
      <c r="R43" s="59">
        <f t="shared" si="0"/>
        <v>532.93655031497201</v>
      </c>
      <c r="S43" s="59">
        <f ca="1">AVERAGE(OFFSET($R$3,0,0,'Données projet'!$E$9+1,1))-AVERAGE(OFFSET($H$3,0,0,'Données projet'!$E$9+1,1))</f>
        <v>436.03161778768742</v>
      </c>
      <c r="T43" s="59">
        <f t="shared" si="34"/>
        <v>217.65884352525285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3</v>
      </c>
      <c r="AI43" s="13">
        <f>IF('Données projet'!$A$62&gt;35,AI42+AH43-AQ42,IF(A43&lt;'Données projet'!$A$62,$AF$205^A43,IF(A43='Données projet'!$A$62,'Données projet'!$B$62,AI42+AH43-AQ42)))</f>
        <v>120</v>
      </c>
      <c r="AJ43" s="13">
        <f>AI43*VLOOKUP('Données projet'!$B$10,Paramètres!$A$1:$I$89,3,0)*VLOOKUP('Données projet'!$B$10,Paramètres!$A$1:$I$89,5,0)</f>
        <v>121.68</v>
      </c>
      <c r="AK43" s="13">
        <f t="shared" si="35"/>
        <v>32.066514091456284</v>
      </c>
      <c r="AL43" s="20">
        <f t="shared" si="4"/>
        <v>267.77517870928631</v>
      </c>
      <c r="AM43" s="59">
        <f t="shared" si="5"/>
        <v>561.10851204261962</v>
      </c>
      <c r="AN43" s="59">
        <f ca="1">AVERAGE(OFFSET($AM$3,0,0,'Données projet'!$E$10+1,1))-AVERAGE(OFFSET($H$3,0,0,'Données projet'!$E$10+1,1))</f>
        <v>483.45320081988984</v>
      </c>
      <c r="AO43" s="59">
        <f t="shared" si="36"/>
        <v>238.92443174298893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213</v>
      </c>
      <c r="BB43" s="12">
        <f>VLOOKUP(A43,'Données projet'!$A$87:$I$107,9,0)</f>
        <v>7.3</v>
      </c>
      <c r="BC43" s="12">
        <f t="array" ref="BC43">INDEX(BB:BB,MIN(IF(ISNUMBER(BB43:BB239),ROW(BB43:BB239),"")))</f>
        <v>7.3</v>
      </c>
      <c r="BD43" s="12">
        <f>IF('Données projet'!$A$88&gt;35,BD42+BC43-BL42,IF(A43&lt;'Données projet'!$A$88,$BA$205^A43,IF(A43='Données projet'!$A$88,'Données projet'!$B$88,BD42+BC43-BL42)))</f>
        <v>213.00000000000011</v>
      </c>
      <c r="BE43" s="13">
        <f>BD43*VLOOKUP('Données projet'!$B$11,Paramètres!$A$1:$I$89,3,0)*VLOOKUP('Données projet'!$B$11,Paramètres!$A$1:$I$89,5,0)</f>
        <v>186.07680000000011</v>
      </c>
      <c r="BF43" s="13">
        <f t="shared" si="37"/>
        <v>46.671538591528716</v>
      </c>
      <c r="BG43" s="20">
        <f t="shared" si="7"/>
        <v>405.37002304691265</v>
      </c>
      <c r="BH43" s="59">
        <f t="shared" si="8"/>
        <v>698.70335638024596</v>
      </c>
      <c r="BI43" s="59">
        <f ca="1">AVERAGE(OFFSET($BH$3,0,0,'Données projet'!$E$11+1,1))-AVERAGE(OFFSET($H$3,0,0,'Données projet'!$E$11+1,1))</f>
        <v>310.44153296396854</v>
      </c>
      <c r="BJ43" s="59">
        <f t="shared" si="38"/>
        <v>388.05195847800502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39</v>
      </c>
      <c r="BM43" s="16">
        <f>IF(ISNA(VLOOKUP(A43,'Données projet'!$A$87:$I$107,5,0)),0%,VLOOKUP(A43,'Données projet'!$A$87:$I$107,5,0)*VLOOKUP('Données projet'!$B$11,Paramètres!$A$1:$I$89,7,0))</f>
        <v>8.6000000000000007E-2</v>
      </c>
      <c r="BN43" s="16">
        <f>IF(ISNA(VLOOKUP(A43,'Données projet'!$A$87:$I$107,6,0)),0%,VLOOKUP(A43,'Données projet'!$A$87:$I$107,6,0)*VLOOKUP('Données projet'!$B$11,Paramètres!$A$1:$I$89,7,0))</f>
        <v>0.129</v>
      </c>
      <c r="BO43" s="16">
        <f>IF(ISNA(VLOOKUP(A43,'Données projet'!$A$87:$I$107,7,0)),0%,VLOOKUP(A43,'Données projet'!$A$87:$I$107,7,0))</f>
        <v>0.3</v>
      </c>
      <c r="BP43" s="21">
        <f>EXP(-LN(2)/35)*BP42+(1-EXP(-LN(2)/35))/(LN(2)/35)*BL43*BM43*VLOOKUP('Données projet'!$B$11,Paramètres!$A$1:$I$89,3,0)*0.475*44/12</f>
        <v>3.2390883496201912</v>
      </c>
      <c r="BQ43" s="21">
        <f>EXP(-LN(2)/25)*BQ42+(1-EXP(-LN(2)/25))/(LN(2)/25)*Calculateur!BL43*Calculateur!BN43*VLOOKUP('Données projet'!$B$11,Paramètres!$A$1:$I$89,3,0)*0.475*44/12</f>
        <v>4.8395022368974736</v>
      </c>
      <c r="BR43" s="21">
        <f>EXP(-LN(2)/2)*BR42+(1-EXP(-LN(2)/2))/(LN(2)/2)*BL43*BO43*VLOOKUP('Données projet'!$B$11,Paramètres!$A$1:$I$89,3,0)*0.475*44/12</f>
        <v>9.643901817411427</v>
      </c>
      <c r="BS43" s="22">
        <f t="shared" si="9"/>
        <v>17.722492403929092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564</v>
      </c>
      <c r="BW43" s="12">
        <f>VLOOKUP(A43,'Données projet'!$A$113:$I$133,9,0)</f>
        <v>25.6</v>
      </c>
      <c r="BX43" s="12">
        <f t="array" ref="BX43">INDEX(BW:BW,MIN(IF(ISNUMBER(BW43:BW239),ROW(BW43:BW239),"")))</f>
        <v>25.6</v>
      </c>
      <c r="BY43" s="12">
        <f>IF('Données projet'!$A$114&gt;35,BY42+BX43-CG42,IF(A43&lt;'Données projet'!$A$114,$BV$205^A43,IF(A43='Données projet'!$A$114,'Données projet'!$B$114,BY42+BX43-CG42)))</f>
        <v>564.00000000000023</v>
      </c>
      <c r="BZ43" s="13">
        <f>BY43*VLOOKUP('Données projet'!$B$12,Paramètres!$A$1:$I$89,3,0)*VLOOKUP('Données projet'!$B$12,Paramètres!$A$1:$I$89,5,0)</f>
        <v>315.27600000000012</v>
      </c>
      <c r="CA43" s="13">
        <f t="shared" si="39"/>
        <v>74.36958441265493</v>
      </c>
      <c r="CB43" s="20">
        <f t="shared" si="10"/>
        <v>678.63272618537417</v>
      </c>
      <c r="CC43" s="59">
        <f t="shared" si="11"/>
        <v>971.96605951870743</v>
      </c>
      <c r="CD43" s="59">
        <f ca="1">AVERAGE(OFFSET($CC$3,0,0,'Données projet'!$E$12+1,1))-AVERAGE(OFFSET($H$3,0,0,'Données projet'!$E$12+1,1))</f>
        <v>443.34220761968419</v>
      </c>
      <c r="CE43" s="59">
        <f t="shared" si="40"/>
        <v>546.58234447298014</v>
      </c>
      <c r="CF43" s="15">
        <f>IF(ISNA(VLOOKUP(A43,'Données projet'!$A$113:$I$133,3,0)),0,VLOOKUP(A43,'Données projet'!$A$113:$I$133,3,0))</f>
        <v>4</v>
      </c>
      <c r="CG43" s="15">
        <f>IF(ISNA(VLOOKUP(A43,'Données projet'!$A$113:$I$133,4,0)),0,VLOOKUP(A43,'Données projet'!$A$113:$I$133,4,0))</f>
        <v>72</v>
      </c>
      <c r="CH43" s="16">
        <f>IF(ISNA(VLOOKUP(A43,'Données projet'!$A$113:$I$133,5,0)),0%,VLOOKUP(A43,'Données projet'!$A$113:$I$133,5,0)*VLOOKUP('Données projet'!$B$12,Paramètres!$A$1:$I$89,7,0))</f>
        <v>0.22000000000000003</v>
      </c>
      <c r="CI43" s="16">
        <f>IF(ISNA(VLOOKUP(A43,'Données projet'!$A$113:$I$133,6,0)),0%,VLOOKUP(A43,'Données projet'!$A$113:$I$133,6,0)*VLOOKUP('Données projet'!$B$12,Paramètres!$A$1:$I$89,7,0))</f>
        <v>0.16500000000000001</v>
      </c>
      <c r="CJ43" s="16">
        <f>IF(ISNA(VLOOKUP(A43,'Données projet'!$A$113:$I$133,7,0)),0%,VLOOKUP(A43,'Données projet'!$A$113:$I$133,7,0))</f>
        <v>0.3</v>
      </c>
      <c r="CK43" s="21">
        <f>EXP(-LN(2)/35)*CK42+(1-EXP(-LN(2)/35))/(LN(2)/35)*CG43*CH43*VLOOKUP('Données projet'!$B$12,Paramètres!$A$1:$I$89,3,0)*0.475*44/12</f>
        <v>16.843884256382353</v>
      </c>
      <c r="CL43" s="21">
        <f>EXP(-LN(2)/25)*CL42+(1-EXP(-LN(2)/25))/(LN(2)/25)*Calculateur!CG43*Calculateur!CI43*VLOOKUP('Données projet'!$B$12,Paramètres!$A$1:$I$89,3,0)*0.475*44/12</f>
        <v>37.195037123533574</v>
      </c>
      <c r="CM43" s="21">
        <f>EXP(-LN(2)/2)*CM42+(1-EXP(-LN(2)/2))/(LN(2)/2)*CG43*CJ43*VLOOKUP('Données projet'!$B$12,Paramètres!$A$1:$I$89,3,0)*0.475*44/12</f>
        <v>17.261797161807444</v>
      </c>
      <c r="CN43" s="22">
        <f t="shared" si="12"/>
        <v>71.30071854172337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11.5</v>
      </c>
      <c r="CT43" s="12">
        <f>IF('Données projet'!$A$140&gt;35,CT42+CS43-DB42,IF(A43&lt;'Données projet'!$A$140,$CQ$205^A43,IF(A43='Données projet'!$A$140,'Données projet'!$B$140,CT42+CS43-DB42)))</f>
        <v>232</v>
      </c>
      <c r="CU43" s="17">
        <f>CT43*VLOOKUP('Données projet'!$B$13,Paramètres!$A$1:$I$89,3,0)*VLOOKUP('Données projet'!$B$13,Paramètres!$A$1:$I$89,5,0)</f>
        <v>126.672</v>
      </c>
      <c r="CV43" s="13">
        <f t="shared" si="41"/>
        <v>33.226199426361347</v>
      </c>
      <c r="CW43" s="20">
        <f t="shared" si="13"/>
        <v>278.48936400091264</v>
      </c>
      <c r="CX43" s="59">
        <f t="shared" si="14"/>
        <v>571.82269733424596</v>
      </c>
      <c r="CY43" s="59">
        <f ca="1">AVERAGE(OFFSET($CX$3,0,0,'Données projet'!$E$13+1,1))-AVERAGE(OFFSET($H$3,0,0,'Données projet'!$E$13+1,1))</f>
        <v>214.22606988805535</v>
      </c>
      <c r="CZ43" s="59">
        <f t="shared" si="42"/>
        <v>305.78163836959078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13.735752543842477</v>
      </c>
      <c r="DG43" s="21">
        <f>EXP(-LN(2)/25)*DG42+(1-EXP(-LN(2)/25))/(LN(2)/25)*Calculateur!DB43*Calculateur!DD43*VLOOKUP('Données projet'!$B$13,Paramètres!$A$1:$I$89,3,0)*0.475*44/12</f>
        <v>25.804338113281197</v>
      </c>
      <c r="DH43" s="21">
        <f>EXP(-LN(2)/2)*DH42+(1-EXP(-LN(2)/2))/(LN(2)/2)*DB43*DE43*VLOOKUP('Données projet'!$B$13,Paramètres!$A$1:$I$89,3,0)*0.475*44/12</f>
        <v>3.3234875375887198</v>
      </c>
      <c r="DI43" s="22">
        <f t="shared" si="15"/>
        <v>42.863578194712389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192</v>
      </c>
      <c r="DM43" s="12">
        <f>VLOOKUP(A43,'Données projet'!$A$165:$I$185,9,0)</f>
        <v>9.6</v>
      </c>
      <c r="DN43" s="12">
        <f t="array" ref="DN43">INDEX(DM:DM,MIN(IF(ISNUMBER(DM43:DM239),ROW(DM43:DM239),"")))</f>
        <v>9.6</v>
      </c>
      <c r="DO43" s="12">
        <f>IF('Données projet'!$A$166&gt;35,DO42+DN43-DW42,IF(A43&lt;'Données projet'!$A$166,$DL$205^A43,IF(A43='Données projet'!$A$166,'Données projet'!$B$166,DO42+DN43-DW42)))</f>
        <v>192</v>
      </c>
      <c r="DP43" s="17">
        <f>DO43*VLOOKUP('Données projet'!$B$14,Paramètres!$A$1:$I$89,3,0)*VLOOKUP('Données projet'!$B$14,Paramètres!$A$1:$I$89,5,0)</f>
        <v>155.75040000000001</v>
      </c>
      <c r="DQ43" s="13">
        <f t="shared" si="43"/>
        <v>39.882509755133754</v>
      </c>
      <c r="DR43" s="20">
        <f t="shared" si="16"/>
        <v>340.72731782352463</v>
      </c>
      <c r="DS43" s="59">
        <f t="shared" si="17"/>
        <v>634.06065115685794</v>
      </c>
      <c r="DT43" s="59">
        <f ca="1">AVERAGE(OFFSET($DS$3,0,0,'Données projet'!$E$14+1,1))-AVERAGE(OFFSET($H$3,0,0,'Données projet'!$E$14+1,1))</f>
        <v>304.26232113495314</v>
      </c>
      <c r="DU43" s="59">
        <f t="shared" si="44"/>
        <v>297.47246687305056</v>
      </c>
      <c r="DV43" s="15">
        <f>IF(ISNA(VLOOKUP(A43,'Données projet'!$A$165:$I$185,3,0)),0,VLOOKUP(A43,'Données projet'!$A$165:$I$185,3,0))</f>
        <v>6</v>
      </c>
      <c r="DW43" s="15">
        <f>IF(ISNA(VLOOKUP(A43,'Données projet'!$A$165:$I$185,4,0)),0,VLOOKUP(A43,'Données projet'!$A$165:$I$185,4,0))</f>
        <v>28</v>
      </c>
      <c r="DX43" s="16">
        <f>IF(ISNA(VLOOKUP(A43,'Données projet'!$A$165:$I$185,5,0)),0%,VLOOKUP(A43,'Données projet'!$A$165:$I$185,5,0)*VLOOKUP('Données projet'!$B$14,Paramètres!$A$1:$I$89,7,0))</f>
        <v>5.3000000000000005E-2</v>
      </c>
      <c r="DY43" s="16">
        <f>IF(ISNA(VLOOKUP(A43,'Données projet'!$A$165:$I$185,6,0)),0%,VLOOKUP(A43,'Données projet'!$A$165:$I$185,6,0)*VLOOKUP('Données projet'!$B$14,Paramètres!$A$1:$I$89,7,0))</f>
        <v>0.21200000000000002</v>
      </c>
      <c r="DZ43" s="16">
        <f>IF(ISNA(VLOOKUP(A43,'Données projet'!$A$165:$I$185,7,0)),0%,VLOOKUP(A43,'Données projet'!$A$165:$I$185,7,0))</f>
        <v>0.3</v>
      </c>
      <c r="EA43" s="21">
        <f>EXP(-LN(2)/35)*EA42+(1-EXP(-LN(2)/35))/(LN(2)/35)*DW43*DX43*VLOOKUP('Données projet'!$B$14,Paramètres!$A$1:$I$89,3,0)*0.475*44/12</f>
        <v>1.3307882366656598</v>
      </c>
      <c r="EB43" s="21">
        <f>EXP(-LN(2)/25)*EB42+(1-EXP(-LN(2)/25))/(LN(2)/25)*Calculateur!DW43*Calculateur!DY43*VLOOKUP('Données projet'!$B$14,Paramètres!$A$1:$I$89,3,0)*0.475*44/12</f>
        <v>8.7640644267105561</v>
      </c>
      <c r="EC43" s="21">
        <f>EXP(-LN(2)/2)*EC42+(1-EXP(-LN(2)/2))/(LN(2)/2)*DW43*DZ43*VLOOKUP('Données projet'!$B$14,Paramètres!$A$1:$I$89,3,0)*0.475*44/12</f>
        <v>7.9446608498718154</v>
      </c>
      <c r="ED43" s="22">
        <f t="shared" si="18"/>
        <v>18.039513513248032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192</v>
      </c>
      <c r="EH43" s="12">
        <f>VLOOKUP(A43,'Données projet'!$A$191:$I$211,9,0)</f>
        <v>9.6</v>
      </c>
      <c r="EI43" s="12">
        <f t="array" ref="EI43">INDEX(EH:EH,MIN(IF(ISNUMBER(EH43:EH239),ROW(EH43:EH239),"")))</f>
        <v>9.6</v>
      </c>
      <c r="EJ43" s="12">
        <f>IF('Données projet'!$A$192&gt;35,EJ42+EI43-ER42,IF(A43&lt;'Données projet'!$A$192,$EG$205^A43,IF(A43='Données projet'!$A$192,'Données projet'!$B$192,EJ42+EI43-ER42)))</f>
        <v>192</v>
      </c>
      <c r="EK43" s="17">
        <f>EJ43*VLOOKUP('Données projet'!$B$15,Paramètres!$A$1:$I$89,3,0)*VLOOKUP('Données projet'!$B$15,Paramètres!$A$1:$I$89,5,0)</f>
        <v>185.70239999999998</v>
      </c>
      <c r="EL43" s="13">
        <f t="shared" si="45"/>
        <v>46.588553069776829</v>
      </c>
      <c r="EM43" s="20">
        <f t="shared" si="19"/>
        <v>404.57340992986127</v>
      </c>
      <c r="EN43" s="59">
        <f t="shared" si="20"/>
        <v>697.90674326319458</v>
      </c>
      <c r="EO43" s="59">
        <f ca="1">AVERAGE(OFFSET($EN$3,0,0,'Données projet'!$E$15+1,1))-AVERAGE(OFFSET($H$3,0,0,'Données projet'!$E$15+1,1))</f>
        <v>355.72173590705142</v>
      </c>
      <c r="EP43" s="59">
        <f t="shared" si="46"/>
        <v>346.30980704469363</v>
      </c>
      <c r="EQ43" s="15">
        <f>IF(ISNA(VLOOKUP(A43,'Données projet'!$A$191:$I$211,3,0)),0,VLOOKUP(A43,'Données projet'!$A$191:$I$211,3,0))</f>
        <v>6</v>
      </c>
      <c r="ER43" s="15">
        <f>IF(ISNA(VLOOKUP(A43,'Données projet'!$A$191:$I$211,4,0)),0,VLOOKUP(A43,'Données projet'!$A$191:$I$211,4,0))</f>
        <v>28</v>
      </c>
      <c r="ES43" s="16">
        <f>IF(ISNA(VLOOKUP(A43,'Données projet'!$A$191:$I$211,5,0)),0%,VLOOKUP(A43,'Données projet'!$A$191:$I$211,5,0)*VLOOKUP('Données projet'!$B$15,Paramètres!$A$1:$I$89,7,0))</f>
        <v>4.3000000000000003E-2</v>
      </c>
      <c r="ET43" s="16">
        <f>IF(ISNA(VLOOKUP(A43,'Données projet'!$A$191:$I$211,6,0)),0%,VLOOKUP(A43,'Données projet'!$A$191:$I$211,6,0)*VLOOKUP('Données projet'!$B$15,Paramètres!$A$1:$I$89,7,0))</f>
        <v>0.17200000000000001</v>
      </c>
      <c r="EU43" s="16">
        <f>IF(ISNA(VLOOKUP(A43,'Données projet'!$A$191:$I$211,7,0)),0%,VLOOKUP(A43,'Données projet'!$A$191:$I$211,7,0))</f>
        <v>0.3</v>
      </c>
      <c r="EV43" s="21">
        <f>EXP(-LN(2)/35)*EV42+(1-EXP(-LN(2)/35))/(LN(2)/35)*ER43*ES43*VLOOKUP('Données projet'!$B$15,Paramètres!$A$1:$I$89,3,0)*0.475*44/12</f>
        <v>1.2873299851054603</v>
      </c>
      <c r="EW43" s="21">
        <f>EXP(-LN(2)/25)*EW42+(1-EXP(-LN(2)/25))/(LN(2)/25)*Calculateur!ER43*Calculateur!ET43*VLOOKUP('Données projet'!$B$15,Paramètres!$A$1:$I$89,3,0)*0.475*44/12</f>
        <v>8.4778649352722582</v>
      </c>
      <c r="EX43" s="21">
        <f>EXP(-LN(2)/2)*EX42+(1-EXP(-LN(2)/2))/(LN(2)/2)*ER43*EU43*VLOOKUP('Données projet'!$B$15,Paramètres!$A$1:$I$89,3,0)*0.475*44/12</f>
        <v>9.4724802440779339</v>
      </c>
      <c r="EY43" s="22">
        <f t="shared" si="21"/>
        <v>19.237675164455652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192</v>
      </c>
      <c r="FC43" s="12">
        <f>VLOOKUP(A43,'Données projet'!$A$217:$I$237,9,0)</f>
        <v>9.6</v>
      </c>
      <c r="FD43" s="12">
        <f t="array" ref="FD43">INDEX(FC:FC,MIN(IF(ISNUMBER(FC43:FC239),ROW(FC43:FC239),"")))</f>
        <v>9.6</v>
      </c>
      <c r="FE43" s="12">
        <f>IF('Données projet'!$A$218&gt;35,FE42+FD43-FM42,IF(A43&lt;'Données projet'!$A$218,$FB$205^A43,IF(A43='Données projet'!$A$218,'Données projet'!$B$218,FE42+FD43-FM42)))</f>
        <v>192</v>
      </c>
      <c r="FF43" s="17">
        <f>FE43*VLOOKUP('Données projet'!$B$16,Paramètres!$A$1:$I$89,3,0)*VLOOKUP('Données projet'!$B$16,Paramètres!$A$1:$I$89,5,0)</f>
        <v>140.77439999999999</v>
      </c>
      <c r="FG43" s="13">
        <f t="shared" si="47"/>
        <v>36.474352666172102</v>
      </c>
      <c r="FH43" s="20">
        <f t="shared" si="22"/>
        <v>308.70824422691641</v>
      </c>
      <c r="FI43" s="59">
        <f t="shared" si="23"/>
        <v>602.04157756024972</v>
      </c>
      <c r="FJ43" s="59">
        <f ca="1">AVERAGE(OFFSET($FI$3,0,0,'Données projet'!$E$16+1,1))-AVERAGE(OFFSET($H$3,0,0,'Données projet'!$E$16+1,1))</f>
        <v>278.45534008146865</v>
      </c>
      <c r="FK43" s="59">
        <f t="shared" si="48"/>
        <v>272.97841038165217</v>
      </c>
      <c r="FL43" s="15">
        <f>IF(ISNA(VLOOKUP(A43,'Données projet'!$A$217:$I$237,3,0)),0,VLOOKUP(A43,'Données projet'!$A$217:$I$237,3,0))</f>
        <v>6</v>
      </c>
      <c r="FM43" s="15">
        <f>IF(ISNA(VLOOKUP(A43,'Données projet'!$A$217:$I$237,4,0)),0,VLOOKUP(A43,'Données projet'!$A$217:$I$237,4,0))</f>
        <v>28</v>
      </c>
      <c r="FN43" s="16">
        <f>IF(ISNA(VLOOKUP(A43,'Données projet'!$A$217:$I$237,5,0)),0%,VLOOKUP(A43,'Données projet'!$A$217:$I$237,5,0)*VLOOKUP('Données projet'!$B$16,Paramètres!$A$1:$I$89,7,0))</f>
        <v>4.3000000000000003E-2</v>
      </c>
      <c r="FO43" s="16">
        <f>IF(ISNA(VLOOKUP(A43,'Données projet'!$A$217:$I$237,6,0)),0%,VLOOKUP(A43,'Données projet'!$A$217:$I$237,6,0)*VLOOKUP('Données projet'!$B$16,Paramètres!$A$1:$I$89,7,0))</f>
        <v>0.17200000000000001</v>
      </c>
      <c r="FP43" s="16">
        <f>IF(ISNA(VLOOKUP(A43,'Données projet'!$A$217:$I$237,7,0)),0%,VLOOKUP(A43,'Données projet'!$A$217:$I$237,7,0))</f>
        <v>0.3</v>
      </c>
      <c r="FQ43" s="21">
        <f>EXP(-LN(2)/35)*FQ42+(1-EXP(-LN(2)/35))/(LN(2)/35)*FM43*FN43*VLOOKUP('Données projet'!$B$16,Paramètres!$A$1:$I$89,3,0)*0.475*44/12</f>
        <v>0.97587918225736525</v>
      </c>
      <c r="FR43" s="21">
        <f>EXP(-LN(2)/25)*FR42+(1-EXP(-LN(2)/25))/(LN(2)/25)*Calculateur!FM43*Calculateur!FO43*VLOOKUP('Données projet'!$B$16,Paramètres!$A$1:$I$89,3,0)*0.475*44/12</f>
        <v>6.4267685799644525</v>
      </c>
      <c r="FS43" s="21">
        <f>EXP(-LN(2)/2)*FS42+(1-EXP(-LN(2)/2))/(LN(2)/2)*FM43*FP43*VLOOKUP('Données projet'!$B$16,Paramètres!$A$1:$I$89,3,0)*0.475*44/12</f>
        <v>7.1807511527687558</v>
      </c>
      <c r="FT43" s="22">
        <f t="shared" si="24"/>
        <v>14.583398914990575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3</v>
      </c>
      <c r="N44" s="13">
        <f>IF('Données projet'!$A$36&gt;35,N43+M44-V43,IF(A44&lt;'Données projet'!$A$36,$K$205^A44,IF(A44='Données projet'!$A$36,'Données projet'!$B$36,N43+M44-V43)))</f>
        <v>123</v>
      </c>
      <c r="O44" s="13">
        <f>N44*VLOOKUP('Données projet'!$B$9,Paramètres!$A$1:$I$89,3,0)*VLOOKUP('Données projet'!$B$9,Paramètres!$A$1:$I$89,5,0)</f>
        <v>111.29039999999999</v>
      </c>
      <c r="P44" s="13">
        <f t="shared" si="33"/>
        <v>29.634806205918245</v>
      </c>
      <c r="Q44" s="20">
        <f t="shared" si="53"/>
        <v>245.44473414197429</v>
      </c>
      <c r="R44" s="59">
        <f t="shared" si="0"/>
        <v>538.77806747530758</v>
      </c>
      <c r="S44" s="59">
        <f ca="1">AVERAGE(OFFSET($R$3,0,0,'Données projet'!$E$9+1,1))-AVERAGE(OFFSET($H$3,0,0,'Données projet'!$E$9+1,1))</f>
        <v>436.03161778768742</v>
      </c>
      <c r="T44" s="59">
        <f t="shared" si="34"/>
        <v>217.65884352525285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3</v>
      </c>
      <c r="AI44" s="13">
        <f>IF('Données projet'!$A$62&gt;35,AI43+AH44-AQ43,IF(A44&lt;'Données projet'!$A$62,$AF$205^A44,IF(A44='Données projet'!$A$62,'Données projet'!$B$62,AI43+AH44-AQ43)))</f>
        <v>123</v>
      </c>
      <c r="AJ44" s="13">
        <f>AI44*VLOOKUP('Données projet'!$B$10,Paramètres!$A$1:$I$89,3,0)*VLOOKUP('Données projet'!$B$10,Paramètres!$A$1:$I$89,5,0)</f>
        <v>124.72200000000001</v>
      </c>
      <c r="AK44" s="13">
        <f t="shared" si="35"/>
        <v>32.773842203086019</v>
      </c>
      <c r="AL44" s="20">
        <f t="shared" si="4"/>
        <v>274.3052585037081</v>
      </c>
      <c r="AM44" s="59">
        <f t="shared" si="5"/>
        <v>567.63859183704142</v>
      </c>
      <c r="AN44" s="59">
        <f ca="1">AVERAGE(OFFSET($AM$3,0,0,'Données projet'!$E$10+1,1))-AVERAGE(OFFSET($H$3,0,0,'Données projet'!$E$10+1,1))</f>
        <v>483.45320081988984</v>
      </c>
      <c r="AO44" s="59">
        <f t="shared" si="36"/>
        <v>238.92443174298893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5.7</v>
      </c>
      <c r="BD44" s="12">
        <f>IF('Données projet'!$A$88&gt;35,BD43+BC44-BL43,IF(A44&lt;'Données projet'!$A$88,$BA$205^A44,IF(A44='Données projet'!$A$88,'Données projet'!$B$88,BD43+BC44-BL43)))</f>
        <v>179.7000000000001</v>
      </c>
      <c r="BE44" s="13">
        <f>BD44*VLOOKUP('Données projet'!$B$11,Paramètres!$A$1:$I$89,3,0)*VLOOKUP('Données projet'!$B$11,Paramètres!$A$1:$I$89,5,0)</f>
        <v>156.98592000000011</v>
      </c>
      <c r="BF44" s="13">
        <f t="shared" si="37"/>
        <v>40.1619306207375</v>
      </c>
      <c r="BG44" s="20">
        <f t="shared" si="7"/>
        <v>343.36583983111797</v>
      </c>
      <c r="BH44" s="59">
        <f t="shared" si="8"/>
        <v>636.69917316445128</v>
      </c>
      <c r="BI44" s="59">
        <f ca="1">AVERAGE(OFFSET($BH$3,0,0,'Données projet'!$E$11+1,1))-AVERAGE(OFFSET($H$3,0,0,'Données projet'!$E$11+1,1))</f>
        <v>310.44153296396854</v>
      </c>
      <c r="BJ44" s="59">
        <f t="shared" si="38"/>
        <v>388.05195847800502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3.1755718027329536</v>
      </c>
      <c r="BQ44" s="21">
        <f>EXP(-LN(2)/25)*BQ43+(1-EXP(-LN(2)/25))/(LN(2)/25)*Calculateur!BL44*Calculateur!BN44*VLOOKUP('Données projet'!$B$11,Paramètres!$A$1:$I$89,3,0)*0.475*44/12</f>
        <v>4.70716579373115</v>
      </c>
      <c r="BR44" s="21">
        <f>EXP(-LN(2)/2)*BR43+(1-EXP(-LN(2)/2))/(LN(2)/2)*BL44*BO44*VLOOKUP('Données projet'!$B$11,Paramètres!$A$1:$I$89,3,0)*0.475*44/12</f>
        <v>6.8192683721888905</v>
      </c>
      <c r="BS44" s="22">
        <f t="shared" si="9"/>
        <v>14.702005968652994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22.8</v>
      </c>
      <c r="BY44" s="12">
        <f>IF('Données projet'!$A$114&gt;35,BY43+BX44-CG43,IF(A44&lt;'Données projet'!$A$114,$BV$205^A44,IF(A44='Données projet'!$A$114,'Données projet'!$B$114,BY43+BX44-CG43)))</f>
        <v>514.80000000000018</v>
      </c>
      <c r="BZ44" s="13">
        <f>BY44*VLOOKUP('Données projet'!$B$12,Paramètres!$A$1:$I$89,3,0)*VLOOKUP('Données projet'!$B$12,Paramètres!$A$1:$I$89,5,0)</f>
        <v>287.77320000000009</v>
      </c>
      <c r="CA44" s="13">
        <f t="shared" si="39"/>
        <v>68.607082381743922</v>
      </c>
      <c r="CB44" s="20">
        <f t="shared" si="10"/>
        <v>620.69565848153741</v>
      </c>
      <c r="CC44" s="59">
        <f t="shared" si="11"/>
        <v>914.02899181487078</v>
      </c>
      <c r="CD44" s="59">
        <f ca="1">AVERAGE(OFFSET($CC$3,0,0,'Données projet'!$E$12+1,1))-AVERAGE(OFFSET($H$3,0,0,'Données projet'!$E$12+1,1))</f>
        <v>443.34220761968419</v>
      </c>
      <c r="CE44" s="59">
        <f t="shared" si="40"/>
        <v>546.58234447298014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16.513585959869641</v>
      </c>
      <c r="CL44" s="21">
        <f>EXP(-LN(2)/25)*CL43+(1-EXP(-LN(2)/25))/(LN(2)/25)*Calculateur!CG44*Calculateur!CI44*VLOOKUP('Données projet'!$B$12,Paramètres!$A$1:$I$89,3,0)*0.475*44/12</f>
        <v>36.177936877388554</v>
      </c>
      <c r="CM44" s="21">
        <f>EXP(-LN(2)/2)*CM43+(1-EXP(-LN(2)/2))/(LN(2)/2)*CG44*CJ44*VLOOKUP('Données projet'!$B$12,Paramètres!$A$1:$I$89,3,0)*0.475*44/12</f>
        <v>12.205933828580743</v>
      </c>
      <c r="CN44" s="22">
        <f t="shared" si="12"/>
        <v>64.897456665838931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11.5</v>
      </c>
      <c r="CT44" s="12">
        <f>IF('Données projet'!$A$140&gt;35,CT43+CS44-DB43,IF(A44&lt;'Données projet'!$A$140,$CQ$205^A44,IF(A44='Données projet'!$A$140,'Données projet'!$B$140,CT43+CS44-DB43)))</f>
        <v>243.5</v>
      </c>
      <c r="CU44" s="17">
        <f>CT44*VLOOKUP('Données projet'!$B$13,Paramètres!$A$1:$I$89,3,0)*VLOOKUP('Données projet'!$B$13,Paramètres!$A$1:$I$89,5,0)</f>
        <v>132.95099999999999</v>
      </c>
      <c r="CV44" s="13">
        <f t="shared" si="41"/>
        <v>34.677355437338647</v>
      </c>
      <c r="CW44" s="20">
        <f t="shared" si="13"/>
        <v>291.95271905336477</v>
      </c>
      <c r="CX44" s="59">
        <f t="shared" si="14"/>
        <v>585.28605238669809</v>
      </c>
      <c r="CY44" s="59">
        <f ca="1">AVERAGE(OFFSET($CX$3,0,0,'Données projet'!$E$13+1,1))-AVERAGE(OFFSET($H$3,0,0,'Données projet'!$E$13+1,1))</f>
        <v>214.22606988805535</v>
      </c>
      <c r="CZ44" s="59">
        <f t="shared" si="42"/>
        <v>305.78163836959078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13.466402814439521</v>
      </c>
      <c r="DG44" s="21">
        <f>EXP(-LN(2)/25)*DG43+(1-EXP(-LN(2)/25))/(LN(2)/25)*Calculateur!DB44*Calculateur!DD44*VLOOKUP('Données projet'!$B$13,Paramètres!$A$1:$I$89,3,0)*0.475*44/12</f>
        <v>25.098717130582358</v>
      </c>
      <c r="DH44" s="21">
        <f>EXP(-LN(2)/2)*DH43+(1-EXP(-LN(2)/2))/(LN(2)/2)*DB44*DE44*VLOOKUP('Données projet'!$B$13,Paramètres!$A$1:$I$89,3,0)*0.475*44/12</f>
        <v>2.3500605750179648</v>
      </c>
      <c r="DI44" s="22">
        <f t="shared" si="15"/>
        <v>40.91518052003984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8.1999999999999993</v>
      </c>
      <c r="DO44" s="12">
        <f>IF('Données projet'!$A$166&gt;35,DO43+DN44-DW43,IF(A44&lt;'Données projet'!$A$166,$DL$205^A44,IF(A44='Données projet'!$A$166,'Données projet'!$B$166,DO43+DN44-DW43)))</f>
        <v>172.2</v>
      </c>
      <c r="DP44" s="17">
        <f>DO44*VLOOKUP('Données projet'!$B$14,Paramètres!$A$1:$I$89,3,0)*VLOOKUP('Données projet'!$B$14,Paramètres!$A$1:$I$89,5,0)</f>
        <v>139.68863999999999</v>
      </c>
      <c r="DQ44" s="13">
        <f t="shared" si="43"/>
        <v>36.22566805112433</v>
      </c>
      <c r="DR44" s="20">
        <f t="shared" si="16"/>
        <v>306.38408652237484</v>
      </c>
      <c r="DS44" s="59">
        <f t="shared" si="17"/>
        <v>599.71741985570816</v>
      </c>
      <c r="DT44" s="59">
        <f ca="1">AVERAGE(OFFSET($DS$3,0,0,'Données projet'!$E$14+1,1))-AVERAGE(OFFSET($H$3,0,0,'Données projet'!$E$14+1,1))</f>
        <v>304.26232113495314</v>
      </c>
      <c r="DU44" s="59">
        <f t="shared" si="44"/>
        <v>297.47246687305056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1.3046922910453218</v>
      </c>
      <c r="EB44" s="21">
        <f>EXP(-LN(2)/25)*EB43+(1-EXP(-LN(2)/25))/(LN(2)/25)*Calculateur!DW44*Calculateur!DY44*VLOOKUP('Données projet'!$B$14,Paramètres!$A$1:$I$89,3,0)*0.475*44/12</f>
        <v>8.5244106240800388</v>
      </c>
      <c r="EC44" s="21">
        <f>EXP(-LN(2)/2)*EC43+(1-EXP(-LN(2)/2))/(LN(2)/2)*DW44*DZ44*VLOOKUP('Données projet'!$B$14,Paramètres!$A$1:$I$89,3,0)*0.475*44/12</f>
        <v>5.6177235611716405</v>
      </c>
      <c r="ED44" s="22">
        <f t="shared" si="18"/>
        <v>15.446826476297002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8.1999999999999993</v>
      </c>
      <c r="EJ44" s="12">
        <f>IF('Données projet'!$A$192&gt;35,EJ43+EI44-ER43,IF(A44&lt;'Données projet'!$A$192,$EG$205^A44,IF(A44='Données projet'!$A$192,'Données projet'!$B$192,EJ43+EI44-ER43)))</f>
        <v>172.2</v>
      </c>
      <c r="EK44" s="17">
        <f>EJ44*VLOOKUP('Données projet'!$B$15,Paramètres!$A$1:$I$89,3,0)*VLOOKUP('Données projet'!$B$15,Paramètres!$A$1:$I$89,5,0)</f>
        <v>166.55184</v>
      </c>
      <c r="EL44" s="13">
        <f t="shared" si="45"/>
        <v>42.316831835556165</v>
      </c>
      <c r="EM44" s="20">
        <f t="shared" si="19"/>
        <v>363.77960344692701</v>
      </c>
      <c r="EN44" s="59">
        <f t="shared" si="20"/>
        <v>657.11293678026027</v>
      </c>
      <c r="EO44" s="59">
        <f ca="1">AVERAGE(OFFSET($EN$3,0,0,'Données projet'!$E$15+1,1))-AVERAGE(OFFSET($H$3,0,0,'Données projet'!$E$15+1,1))</f>
        <v>355.72173590705142</v>
      </c>
      <c r="EP44" s="59">
        <f t="shared" si="46"/>
        <v>346.30980704469363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1.2620862292913018</v>
      </c>
      <c r="EW44" s="21">
        <f>EXP(-LN(2)/25)*EW43+(1-EXP(-LN(2)/25))/(LN(2)/25)*Calculateur!ER44*Calculateur!ET44*VLOOKUP('Données projet'!$B$15,Paramètres!$A$1:$I$89,3,0)*0.475*44/12</f>
        <v>8.2460372727856974</v>
      </c>
      <c r="EX44" s="21">
        <f>EXP(-LN(2)/2)*EX43+(1-EXP(-LN(2)/2))/(LN(2)/2)*ER44*EU44*VLOOKUP('Données projet'!$B$15,Paramètres!$A$1:$I$89,3,0)*0.475*44/12</f>
        <v>6.69805501524311</v>
      </c>
      <c r="EY44" s="22">
        <f t="shared" si="21"/>
        <v>16.206178517320112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8.1999999999999993</v>
      </c>
      <c r="FE44" s="12">
        <f>IF('Données projet'!$A$218&gt;35,FE43+FD44-FM43,IF(A44&lt;'Données projet'!$A$218,$FB$205^A44,IF(A44='Données projet'!$A$218,'Données projet'!$B$218,FE43+FD44-FM43)))</f>
        <v>172.2</v>
      </c>
      <c r="FF44" s="17">
        <f>FE44*VLOOKUP('Données projet'!$B$16,Paramètres!$A$1:$I$89,3,0)*VLOOKUP('Données projet'!$B$16,Paramètres!$A$1:$I$89,5,0)</f>
        <v>126.25703999999998</v>
      </c>
      <c r="FG44" s="13">
        <f t="shared" si="47"/>
        <v>33.130006114881219</v>
      </c>
      <c r="FH44" s="20">
        <f t="shared" si="22"/>
        <v>277.59910531675143</v>
      </c>
      <c r="FI44" s="59">
        <f t="shared" si="23"/>
        <v>570.9324386500848</v>
      </c>
      <c r="FJ44" s="59">
        <f ca="1">AVERAGE(OFFSET($FI$3,0,0,'Données projet'!$E$16+1,1))-AVERAGE(OFFSET($H$3,0,0,'Données projet'!$E$16+1,1))</f>
        <v>278.45534008146865</v>
      </c>
      <c r="FK44" s="59">
        <f t="shared" si="48"/>
        <v>272.97841038165217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0.95674278672082569</v>
      </c>
      <c r="FR44" s="21">
        <f>EXP(-LN(2)/25)*FR43+(1-EXP(-LN(2)/25))/(LN(2)/25)*Calculateur!FM44*Calculateur!FO44*VLOOKUP('Données projet'!$B$16,Paramètres!$A$1:$I$89,3,0)*0.475*44/12</f>
        <v>6.2510282551762533</v>
      </c>
      <c r="FS44" s="21">
        <f>EXP(-LN(2)/2)*FS43+(1-EXP(-LN(2)/2))/(LN(2)/2)*FM44*FP44*VLOOKUP('Données projet'!$B$16,Paramètres!$A$1:$I$89,3,0)*0.475*44/12</f>
        <v>5.0775578341359058</v>
      </c>
      <c r="FT44" s="22">
        <f t="shared" si="24"/>
        <v>12.285328876032985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126</v>
      </c>
      <c r="L45" s="12">
        <f>VLOOKUP(A45,'Données projet'!$A$35:$I$55,9,0)</f>
        <v>3</v>
      </c>
      <c r="M45" s="12">
        <f t="array" ref="M45">INDEX(L:L,MIN(IF(ISNUMBER(L45:L241),ROW(L45:L241),"")))</f>
        <v>3</v>
      </c>
      <c r="N45" s="13">
        <f>IF('Données projet'!$A$36&gt;35,N44+M45-V44,IF(A45&lt;'Données projet'!$A$36,$K$205^A45,IF(A45='Données projet'!$A$36,'Données projet'!$B$36,N44+M45-V44)))</f>
        <v>126</v>
      </c>
      <c r="O45" s="13">
        <f>N45*VLOOKUP('Données projet'!$B$9,Paramètres!$A$1:$I$89,3,0)*VLOOKUP('Données projet'!$B$9,Paramètres!$A$1:$I$89,5,0)</f>
        <v>114.0048</v>
      </c>
      <c r="P45" s="13">
        <f t="shared" si="33"/>
        <v>30.272573949217303</v>
      </c>
      <c r="Q45" s="20">
        <f t="shared" si="53"/>
        <v>251.28309296155342</v>
      </c>
      <c r="R45" s="59">
        <f t="shared" si="0"/>
        <v>544.61642629488676</v>
      </c>
      <c r="S45" s="59">
        <f ca="1">AVERAGE(OFFSET($R$3,0,0,'Données projet'!$E$9+1,1))-AVERAGE(OFFSET($H$3,0,0,'Données projet'!$E$9+1,1))</f>
        <v>436.03161778768742</v>
      </c>
      <c r="T45" s="59">
        <f t="shared" si="34"/>
        <v>217.65884352525285</v>
      </c>
      <c r="U45" s="15">
        <f>IF(ISNA(VLOOKUP(A45,'Données projet'!$A$35:$I$55,3,0)),0,VLOOKUP(A45,'Données projet'!$A$35:$I$55,3,0))</f>
        <v>1</v>
      </c>
      <c r="V45" s="15">
        <f>IF(ISNA(VLOOKUP(A45,'Données projet'!$A$35:$I$55,4,0)),0,VLOOKUP(A45,'Données projet'!$A$35:$I$55,4,0))</f>
        <v>30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126</v>
      </c>
      <c r="AG45" s="12">
        <f>VLOOKUP(A45,'Données projet'!$A$61:$I$81,9,0)</f>
        <v>3</v>
      </c>
      <c r="AH45" s="12">
        <f t="array" ref="AH45">INDEX(AG:AG,MIN(IF(ISNUMBER(AG45:AG241),ROW(AG45:AG241),"")))</f>
        <v>3</v>
      </c>
      <c r="AI45" s="13">
        <f>IF('Données projet'!$A$62&gt;35,AI44+AH45-AQ44,IF(A45&lt;'Données projet'!$A$62,$AF$205^A45,IF(A45='Données projet'!$A$62,'Données projet'!$B$62,AI44+AH45-AQ44)))</f>
        <v>126</v>
      </c>
      <c r="AJ45" s="13">
        <f>AI45*VLOOKUP('Données projet'!$B$10,Paramètres!$A$1:$I$89,3,0)*VLOOKUP('Données projet'!$B$10,Paramètres!$A$1:$I$89,5,0)</f>
        <v>127.76400000000001</v>
      </c>
      <c r="AK45" s="13">
        <f t="shared" si="35"/>
        <v>33.479164830670051</v>
      </c>
      <c r="AL45" s="20">
        <f t="shared" si="4"/>
        <v>280.83184541341694</v>
      </c>
      <c r="AM45" s="59">
        <f t="shared" si="5"/>
        <v>574.16517874675026</v>
      </c>
      <c r="AN45" s="59">
        <f ca="1">AVERAGE(OFFSET($AM$3,0,0,'Données projet'!$E$10+1,1))-AVERAGE(OFFSET($H$3,0,0,'Données projet'!$E$10+1,1))</f>
        <v>483.45320081988984</v>
      </c>
      <c r="AO45" s="59">
        <f t="shared" si="36"/>
        <v>238.92443174298893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30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5.7</v>
      </c>
      <c r="BD45" s="12">
        <f>IF('Données projet'!$A$88&gt;35,BD44+BC45-BL44,IF(A45&lt;'Données projet'!$A$88,$BA$205^A45,IF(A45='Données projet'!$A$88,'Données projet'!$B$88,BD44+BC45-BL44)))</f>
        <v>185.40000000000009</v>
      </c>
      <c r="BE45" s="13">
        <f>BD45*VLOOKUP('Données projet'!$B$11,Paramètres!$A$1:$I$89,3,0)*VLOOKUP('Données projet'!$B$11,Paramètres!$A$1:$I$89,5,0)</f>
        <v>161.96544000000009</v>
      </c>
      <c r="BF45" s="13">
        <f t="shared" si="37"/>
        <v>41.285510388923619</v>
      </c>
      <c r="BG45" s="20">
        <f t="shared" si="7"/>
        <v>353.99540526070876</v>
      </c>
      <c r="BH45" s="59">
        <f t="shared" si="8"/>
        <v>647.32873859404208</v>
      </c>
      <c r="BI45" s="59">
        <f ca="1">AVERAGE(OFFSET($BH$3,0,0,'Données projet'!$E$11+1,1))-AVERAGE(OFFSET($H$3,0,0,'Données projet'!$E$11+1,1))</f>
        <v>310.44153296396854</v>
      </c>
      <c r="BJ45" s="59">
        <f t="shared" si="38"/>
        <v>388.05195847800502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3.1133007765889062</v>
      </c>
      <c r="BQ45" s="21">
        <f>EXP(-LN(2)/25)*BQ44+(1-EXP(-LN(2)/25))/(LN(2)/25)*Calculateur!BL45*Calculateur!BN45*VLOOKUP('Données projet'!$B$11,Paramètres!$A$1:$I$89,3,0)*0.475*44/12</f>
        <v>4.5784480975624806</v>
      </c>
      <c r="BR45" s="21">
        <f>EXP(-LN(2)/2)*BR44+(1-EXP(-LN(2)/2))/(LN(2)/2)*BL45*BO45*VLOOKUP('Données projet'!$B$11,Paramètres!$A$1:$I$89,3,0)*0.475*44/12</f>
        <v>4.8219509087057144</v>
      </c>
      <c r="BS45" s="22">
        <f t="shared" si="9"/>
        <v>12.513699782857101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22.8</v>
      </c>
      <c r="BY45" s="12">
        <f>IF('Données projet'!$A$114&gt;35,BY44+BX45-CG44,IF(A45&lt;'Données projet'!$A$114,$BV$205^A45,IF(A45='Données projet'!$A$114,'Données projet'!$B$114,BY44+BX45-CG44)))</f>
        <v>537.60000000000014</v>
      </c>
      <c r="BZ45" s="13">
        <f>BY45*VLOOKUP('Données projet'!$B$12,Paramètres!$A$1:$I$89,3,0)*VLOOKUP('Données projet'!$B$12,Paramètres!$A$1:$I$89,5,0)</f>
        <v>300.5184000000001</v>
      </c>
      <c r="CA45" s="13">
        <f t="shared" si="39"/>
        <v>71.285129105116411</v>
      </c>
      <c r="CB45" s="20">
        <f t="shared" si="10"/>
        <v>647.55781319141124</v>
      </c>
      <c r="CC45" s="59">
        <f t="shared" si="11"/>
        <v>940.8911465247445</v>
      </c>
      <c r="CD45" s="59">
        <f ca="1">AVERAGE(OFFSET($CC$3,0,0,'Données projet'!$E$12+1,1))-AVERAGE(OFFSET($H$3,0,0,'Données projet'!$E$12+1,1))</f>
        <v>443.34220761968419</v>
      </c>
      <c r="CE45" s="59">
        <f t="shared" si="40"/>
        <v>546.58234447298014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16.189764611489476</v>
      </c>
      <c r="CL45" s="21">
        <f>EXP(-LN(2)/25)*CL44+(1-EXP(-LN(2)/25))/(LN(2)/25)*Calculateur!CG45*Calculateur!CI45*VLOOKUP('Données projet'!$B$12,Paramètres!$A$1:$I$89,3,0)*0.475*44/12</f>
        <v>35.188649290961351</v>
      </c>
      <c r="CM45" s="21">
        <f>EXP(-LN(2)/2)*CM44+(1-EXP(-LN(2)/2))/(LN(2)/2)*CG45*CJ45*VLOOKUP('Données projet'!$B$12,Paramètres!$A$1:$I$89,3,0)*0.475*44/12</f>
        <v>8.6308985809037235</v>
      </c>
      <c r="CN45" s="22">
        <f t="shared" si="12"/>
        <v>60.009312483354556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>
        <f>VLOOKUP(A45,'Données projet'!$A$139:$I$159,2,0)</f>
        <v>255</v>
      </c>
      <c r="CR45" s="12">
        <f>VLOOKUP(A45,'Données projet'!$A$139:$I$159,9,0)</f>
        <v>11.5</v>
      </c>
      <c r="CS45" s="12">
        <f t="array" ref="CS45">INDEX(CR:CR,MIN(IF(ISNUMBER(CR45:CR241),ROW(CR45:CR241),"")))</f>
        <v>11.5</v>
      </c>
      <c r="CT45" s="12">
        <f>IF('Données projet'!$A$140&gt;35,CT44+CS45-DB44,IF(A45&lt;'Données projet'!$A$140,$CQ$205^A45,IF(A45='Données projet'!$A$140,'Données projet'!$B$140,CT44+CS45-DB44)))</f>
        <v>255</v>
      </c>
      <c r="CU45" s="17">
        <f>CT45*VLOOKUP('Données projet'!$B$13,Paramètres!$A$1:$I$89,3,0)*VLOOKUP('Données projet'!$B$13,Paramètres!$A$1:$I$89,5,0)</f>
        <v>139.22999999999999</v>
      </c>
      <c r="CV45" s="13">
        <f t="shared" si="41"/>
        <v>36.120552727378737</v>
      </c>
      <c r="CW45" s="20">
        <f t="shared" si="13"/>
        <v>305.40221266685126</v>
      </c>
      <c r="CX45" s="59">
        <f t="shared" si="14"/>
        <v>598.73554600018451</v>
      </c>
      <c r="CY45" s="59">
        <f ca="1">AVERAGE(OFFSET($CX$3,0,0,'Données projet'!$E$13+1,1))-AVERAGE(OFFSET($H$3,0,0,'Données projet'!$E$13+1,1))</f>
        <v>214.22606988805535</v>
      </c>
      <c r="CZ45" s="59">
        <f t="shared" si="42"/>
        <v>305.78163836959078</v>
      </c>
      <c r="DA45" s="15">
        <f>IF(ISNA(VLOOKUP(A45,'Données projet'!$A$139:$I$159,3,0)),0,VLOOKUP(A45,'Données projet'!$A$139:$I$159,3,0))</f>
        <v>6</v>
      </c>
      <c r="DB45" s="15">
        <f>IF(ISNA(VLOOKUP(A45,'Données projet'!$A$139:$I$159,4,0)),0,VLOOKUP(A45,'Données projet'!$A$139:$I$159,4,0))</f>
        <v>67</v>
      </c>
      <c r="DC45" s="16">
        <f>IF(ISNA(VLOOKUP(A45,'Données projet'!$A$139:$I$159,5,0)),0%,VLOOKUP(A45,'Données projet'!$A$139:$I$159,5,0)*VLOOKUP('Données projet'!$B$13,Paramètres!$A$1:$I$89,7,0))</f>
        <v>0.36</v>
      </c>
      <c r="DD45" s="16">
        <f>IF(ISNA(VLOOKUP(A45,'Données projet'!$A$139:$I$159,6,0)),0%,VLOOKUP(A45,'Données projet'!$A$139:$I$159,6,0)*VLOOKUP('Données projet'!$B$13,Paramètres!$A$1:$I$89,7,0))</f>
        <v>0.12</v>
      </c>
      <c r="DE45" s="16">
        <f>IF(ISNA(VLOOKUP(A45,'Données projet'!$A$139:$I$159,7,0)),0%,VLOOKUP(A45,'Données projet'!$A$139:$I$159,7,0))</f>
        <v>0.2</v>
      </c>
      <c r="DF45" s="21">
        <f>EXP(-LN(2)/35)*DF44+(1-EXP(-LN(2)/35))/(LN(2)/35)*DB45*DC45*VLOOKUP('Données projet'!$B$13,Paramètres!$A$1:$I$89,3,0)*0.475*44/12</f>
        <v>30.672551996143174</v>
      </c>
      <c r="DG45" s="21">
        <f>EXP(-LN(2)/25)*DG44+(1-EXP(-LN(2)/25))/(LN(2)/25)*Calculateur!DB45*Calculateur!DD45*VLOOKUP('Données projet'!$B$13,Paramètres!$A$1:$I$89,3,0)*0.475*44/12</f>
        <v>30.212868132660994</v>
      </c>
      <c r="DH45" s="21">
        <f>EXP(-LN(2)/2)*DH44+(1-EXP(-LN(2)/2))/(LN(2)/2)*DB45*DE45*VLOOKUP('Données projet'!$B$13,Paramètres!$A$1:$I$89,3,0)*0.475*44/12</f>
        <v>9.9456081504169944</v>
      </c>
      <c r="DI45" s="22">
        <f t="shared" si="15"/>
        <v>70.831028279221158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8.1999999999999993</v>
      </c>
      <c r="DO45" s="12">
        <f>IF('Données projet'!$A$166&gt;35,DO44+DN45-DW44,IF(A45&lt;'Données projet'!$A$166,$DL$205^A45,IF(A45='Données projet'!$A$166,'Données projet'!$B$166,DO44+DN45-DW44)))</f>
        <v>180.39999999999998</v>
      </c>
      <c r="DP45" s="17">
        <f>DO45*VLOOKUP('Données projet'!$B$14,Paramètres!$A$1:$I$89,3,0)*VLOOKUP('Données projet'!$B$14,Paramètres!$A$1:$I$89,5,0)</f>
        <v>146.34047999999999</v>
      </c>
      <c r="DQ45" s="13">
        <f t="shared" si="43"/>
        <v>37.745754868861937</v>
      </c>
      <c r="DR45" s="20">
        <f t="shared" si="16"/>
        <v>320.6168590632679</v>
      </c>
      <c r="DS45" s="59">
        <f t="shared" si="17"/>
        <v>613.95019239660121</v>
      </c>
      <c r="DT45" s="59">
        <f ca="1">AVERAGE(OFFSET($DS$3,0,0,'Données projet'!$E$14+1,1))-AVERAGE(OFFSET($H$3,0,0,'Données projet'!$E$14+1,1))</f>
        <v>304.26232113495314</v>
      </c>
      <c r="DU45" s="59">
        <f t="shared" si="44"/>
        <v>297.47246687305056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1.2791080710016434</v>
      </c>
      <c r="EB45" s="21">
        <f>EXP(-LN(2)/25)*EB44+(1-EXP(-LN(2)/25))/(LN(2)/25)*Calculateur!DW45*Calculateur!DY45*VLOOKUP('Données projet'!$B$14,Paramètres!$A$1:$I$89,3,0)*0.475*44/12</f>
        <v>8.2913101672852978</v>
      </c>
      <c r="EC45" s="21">
        <f>EXP(-LN(2)/2)*EC44+(1-EXP(-LN(2)/2))/(LN(2)/2)*DW45*DZ45*VLOOKUP('Données projet'!$B$14,Paramètres!$A$1:$I$89,3,0)*0.475*44/12</f>
        <v>3.9723304249359082</v>
      </c>
      <c r="ED45" s="22">
        <f t="shared" si="18"/>
        <v>13.542748663222849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8.1999999999999993</v>
      </c>
      <c r="EJ45" s="12">
        <f>IF('Données projet'!$A$192&gt;35,EJ44+EI45-ER44,IF(A45&lt;'Données projet'!$A$192,$EG$205^A45,IF(A45='Données projet'!$A$192,'Données projet'!$B$192,EJ44+EI45-ER44)))</f>
        <v>180.39999999999998</v>
      </c>
      <c r="EK45" s="17">
        <f>EJ45*VLOOKUP('Données projet'!$B$15,Paramètres!$A$1:$I$89,3,0)*VLOOKUP('Données projet'!$B$15,Paramètres!$A$1:$I$89,5,0)</f>
        <v>174.48287999999999</v>
      </c>
      <c r="EL45" s="13">
        <f t="shared" si="45"/>
        <v>44.092513602166207</v>
      </c>
      <c r="EM45" s="20">
        <f t="shared" si="19"/>
        <v>380.68547719043937</v>
      </c>
      <c r="EN45" s="59">
        <f t="shared" si="20"/>
        <v>674.01881052377269</v>
      </c>
      <c r="EO45" s="59">
        <f ca="1">AVERAGE(OFFSET($EN$3,0,0,'Données projet'!$E$15+1,1))-AVERAGE(OFFSET($H$3,0,0,'Données projet'!$E$15+1,1))</f>
        <v>355.72173590705142</v>
      </c>
      <c r="EP45" s="59">
        <f t="shared" si="46"/>
        <v>346.30980704469363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1.237337488131488</v>
      </c>
      <c r="EW45" s="21">
        <f>EXP(-LN(2)/25)*EW44+(1-EXP(-LN(2)/25))/(LN(2)/25)*Calculateur!ER45*Calculateur!ET45*VLOOKUP('Données projet'!$B$15,Paramètres!$A$1:$I$89,3,0)*0.475*44/12</f>
        <v>8.0205489499211193</v>
      </c>
      <c r="EX45" s="21">
        <f>EXP(-LN(2)/2)*EX44+(1-EXP(-LN(2)/2))/(LN(2)/2)*ER45*EU45*VLOOKUP('Données projet'!$B$15,Paramètres!$A$1:$I$89,3,0)*0.475*44/12</f>
        <v>4.7362401220389669</v>
      </c>
      <c r="EY45" s="22">
        <f t="shared" si="21"/>
        <v>13.994126560091573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8.1999999999999993</v>
      </c>
      <c r="FE45" s="12">
        <f>IF('Données projet'!$A$218&gt;35,FE44+FD45-FM44,IF(A45&lt;'Données projet'!$A$218,$FB$205^A45,IF(A45='Données projet'!$A$218,'Données projet'!$B$218,FE44+FD45-FM44)))</f>
        <v>180.39999999999998</v>
      </c>
      <c r="FF45" s="17">
        <f>FE45*VLOOKUP('Données projet'!$B$16,Paramètres!$A$1:$I$89,3,0)*VLOOKUP('Données projet'!$B$16,Paramètres!$A$1:$I$89,5,0)</f>
        <v>132.26927999999998</v>
      </c>
      <c r="FG45" s="13">
        <f t="shared" si="47"/>
        <v>34.52019401964877</v>
      </c>
      <c r="FH45" s="20">
        <f t="shared" si="22"/>
        <v>290.49166725088827</v>
      </c>
      <c r="FI45" s="59">
        <f t="shared" si="23"/>
        <v>583.82500058422158</v>
      </c>
      <c r="FJ45" s="59">
        <f ca="1">AVERAGE(OFFSET($FI$3,0,0,'Données projet'!$E$16+1,1))-AVERAGE(OFFSET($H$3,0,0,'Données projet'!$E$16+1,1))</f>
        <v>278.45534008146865</v>
      </c>
      <c r="FK45" s="59">
        <f t="shared" si="48"/>
        <v>272.97841038165217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0.93798164422870889</v>
      </c>
      <c r="FR45" s="21">
        <f>EXP(-LN(2)/25)*FR44+(1-EXP(-LN(2)/25))/(LN(2)/25)*Calculateur!FM45*Calculateur!FO45*VLOOKUP('Données projet'!$B$16,Paramètres!$A$1:$I$89,3,0)*0.475*44/12</f>
        <v>6.0800935588111695</v>
      </c>
      <c r="FS45" s="21">
        <f>EXP(-LN(2)/2)*FS44+(1-EXP(-LN(2)/2))/(LN(2)/2)*FM45*FP45*VLOOKUP('Données projet'!$B$16,Paramètres!$A$1:$I$89,3,0)*0.475*44/12</f>
        <v>3.5903755763843783</v>
      </c>
      <c r="FT45" s="22">
        <f t="shared" si="24"/>
        <v>10.608450779424256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6.875</v>
      </c>
      <c r="N46" s="13">
        <f>IF('Données projet'!$A$36&gt;35,N45+M46-V45,IF(A46&lt;'Données projet'!$A$36,$K$205^A46,IF(A46='Données projet'!$A$36,'Données projet'!$B$36,N45+M46-V45)))</f>
        <v>102.875</v>
      </c>
      <c r="O46" s="13">
        <f>N46*VLOOKUP('Données projet'!$B$9,Paramètres!$A$1:$I$89,3,0)*VLOOKUP('Données projet'!$B$9,Paramètres!$A$1:$I$89,5,0)</f>
        <v>93.081299999999999</v>
      </c>
      <c r="P46" s="13">
        <f t="shared" si="33"/>
        <v>25.306898135221367</v>
      </c>
      <c r="Q46" s="20">
        <f t="shared" si="53"/>
        <v>206.19277841884386</v>
      </c>
      <c r="R46" s="59">
        <f t="shared" si="0"/>
        <v>499.52611175217714</v>
      </c>
      <c r="S46" s="59">
        <f ca="1">AVERAGE(OFFSET($R$3,0,0,'Données projet'!$E$9+1,1))-AVERAGE(OFFSET($H$3,0,0,'Données projet'!$E$9+1,1))</f>
        <v>436.03161778768742</v>
      </c>
      <c r="T46" s="59">
        <f t="shared" si="34"/>
        <v>217.65884352525285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6.875</v>
      </c>
      <c r="AI46" s="13">
        <f>IF('Données projet'!$A$62&gt;35,AI45+AH46-AQ45,IF(A46&lt;'Données projet'!$A$62,$AF$205^A46,IF(A46='Données projet'!$A$62,'Données projet'!$B$62,AI45+AH46-AQ45)))</f>
        <v>102.875</v>
      </c>
      <c r="AJ46" s="13">
        <f>AI46*VLOOKUP('Données projet'!$B$10,Paramètres!$A$1:$I$89,3,0)*VLOOKUP('Données projet'!$B$10,Paramètres!$A$1:$I$89,5,0)</f>
        <v>104.31525000000001</v>
      </c>
      <c r="AK46" s="13">
        <f t="shared" si="35"/>
        <v>27.987504975405603</v>
      </c>
      <c r="AL46" s="20">
        <f t="shared" si="4"/>
        <v>230.42729824883145</v>
      </c>
      <c r="AM46" s="59">
        <f t="shared" si="5"/>
        <v>523.76063158216471</v>
      </c>
      <c r="AN46" s="59">
        <f ca="1">AVERAGE(OFFSET($AM$3,0,0,'Données projet'!$E$10+1,1))-AVERAGE(OFFSET($H$3,0,0,'Données projet'!$E$10+1,1))</f>
        <v>483.45320081988984</v>
      </c>
      <c r="AO46" s="59">
        <f t="shared" si="36"/>
        <v>238.92443174298893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5.7</v>
      </c>
      <c r="BD46" s="12">
        <f>IF('Données projet'!$A$88&gt;35,BD45+BC46-BL45,IF(A46&lt;'Données projet'!$A$88,$BA$205^A46,IF(A46='Données projet'!$A$88,'Données projet'!$B$88,BD45+BC46-BL45)))</f>
        <v>191.10000000000008</v>
      </c>
      <c r="BE46" s="13">
        <f>BD46*VLOOKUP('Données projet'!$B$11,Paramètres!$A$1:$I$89,3,0)*VLOOKUP('Données projet'!$B$11,Paramètres!$A$1:$I$89,5,0)</f>
        <v>166.94496000000009</v>
      </c>
      <c r="BF46" s="13">
        <f t="shared" si="37"/>
        <v>42.405075786649157</v>
      </c>
      <c r="BG46" s="20">
        <f t="shared" si="7"/>
        <v>364.61797899508082</v>
      </c>
      <c r="BH46" s="59">
        <f t="shared" si="8"/>
        <v>657.95131232841413</v>
      </c>
      <c r="BI46" s="59">
        <f ca="1">AVERAGE(OFFSET($BH$3,0,0,'Données projet'!$E$11+1,1))-AVERAGE(OFFSET($H$3,0,0,'Données projet'!$E$11+1,1))</f>
        <v>310.44153296396854</v>
      </c>
      <c r="BJ46" s="59">
        <f t="shared" si="38"/>
        <v>388.05195847800502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3.052250847285968</v>
      </c>
      <c r="BQ46" s="21">
        <f>EXP(-LN(2)/25)*BQ45+(1-EXP(-LN(2)/25))/(LN(2)/25)*Calculateur!BL46*Calculateur!BN46*VLOOKUP('Données projet'!$B$11,Paramètres!$A$1:$I$89,3,0)*0.475*44/12</f>
        <v>4.4532501935645135</v>
      </c>
      <c r="BR46" s="21">
        <f>EXP(-LN(2)/2)*BR45+(1-EXP(-LN(2)/2))/(LN(2)/2)*BL46*BO46*VLOOKUP('Données projet'!$B$11,Paramètres!$A$1:$I$89,3,0)*0.475*44/12</f>
        <v>3.4096341860944457</v>
      </c>
      <c r="BS46" s="22">
        <f t="shared" si="9"/>
        <v>10.915135226944926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22.8</v>
      </c>
      <c r="BY46" s="12">
        <f>IF('Données projet'!$A$114&gt;35,BY45+BX46-CG45,IF(A46&lt;'Données projet'!$A$114,$BV$205^A46,IF(A46='Données projet'!$A$114,'Données projet'!$B$114,BY45+BX46-CG45)))</f>
        <v>560.40000000000009</v>
      </c>
      <c r="BZ46" s="13">
        <f>BY46*VLOOKUP('Données projet'!$B$12,Paramètres!$A$1:$I$89,3,0)*VLOOKUP('Données projet'!$B$12,Paramètres!$A$1:$I$89,5,0)</f>
        <v>313.26360000000005</v>
      </c>
      <c r="CA46" s="13">
        <f t="shared" si="39"/>
        <v>73.949983766039026</v>
      </c>
      <c r="CB46" s="20">
        <f t="shared" si="10"/>
        <v>674.39699172585131</v>
      </c>
      <c r="CC46" s="59">
        <f t="shared" si="11"/>
        <v>967.73032505918468</v>
      </c>
      <c r="CD46" s="59">
        <f ca="1">AVERAGE(OFFSET($CC$3,0,0,'Données projet'!$E$12+1,1))-AVERAGE(OFFSET($H$3,0,0,'Données projet'!$E$12+1,1))</f>
        <v>443.34220761968419</v>
      </c>
      <c r="CE46" s="59">
        <f t="shared" si="40"/>
        <v>546.58234447298014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15.872293202239527</v>
      </c>
      <c r="CL46" s="21">
        <f>EXP(-LN(2)/25)*CL45+(1-EXP(-LN(2)/25))/(LN(2)/25)*Calculateur!CG46*Calculateur!CI46*VLOOKUP('Données projet'!$B$12,Paramètres!$A$1:$I$89,3,0)*0.475*44/12</f>
        <v>34.22641382560937</v>
      </c>
      <c r="CM46" s="21">
        <f>EXP(-LN(2)/2)*CM45+(1-EXP(-LN(2)/2))/(LN(2)/2)*CG46*CJ46*VLOOKUP('Données projet'!$B$12,Paramètres!$A$1:$I$89,3,0)*0.475*44/12</f>
        <v>6.1029669142903735</v>
      </c>
      <c r="CN46" s="22">
        <f t="shared" si="12"/>
        <v>56.201673942139266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10.666666666666666</v>
      </c>
      <c r="CT46" s="12">
        <f>IF('Données projet'!$A$140&gt;35,CT45+CS46-DB45,IF(A46&lt;'Données projet'!$A$140,$CQ$205^A46,IF(A46='Données projet'!$A$140,'Données projet'!$B$140,CT45+CS46-DB45)))</f>
        <v>198.66666666666669</v>
      </c>
      <c r="CU46" s="17">
        <f>CT46*VLOOKUP('Données projet'!$B$13,Paramètres!$A$1:$I$89,3,0)*VLOOKUP('Données projet'!$B$13,Paramètres!$A$1:$I$89,5,0)</f>
        <v>108.47200000000002</v>
      </c>
      <c r="CV46" s="13">
        <f t="shared" si="41"/>
        <v>28.970683289556643</v>
      </c>
      <c r="CW46" s="20">
        <f t="shared" si="13"/>
        <v>239.3793400626445</v>
      </c>
      <c r="CX46" s="59">
        <f t="shared" si="14"/>
        <v>532.71267339597784</v>
      </c>
      <c r="CY46" s="59">
        <f ca="1">AVERAGE(OFFSET($CX$3,0,0,'Données projet'!$E$13+1,1))-AVERAGE(OFFSET($H$3,0,0,'Données projet'!$E$13+1,1))</f>
        <v>214.22606988805535</v>
      </c>
      <c r="CZ46" s="59">
        <f t="shared" si="42"/>
        <v>305.78163836959078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30.07108195990822</v>
      </c>
      <c r="DG46" s="21">
        <f>EXP(-LN(2)/25)*DG45+(1-EXP(-LN(2)/25))/(LN(2)/25)*Calculateur!DB46*Calculateur!DD46*VLOOKUP('Données projet'!$B$13,Paramètres!$A$1:$I$89,3,0)*0.475*44/12</f>
        <v>29.386695664747695</v>
      </c>
      <c r="DH46" s="21">
        <f>EXP(-LN(2)/2)*DH45+(1-EXP(-LN(2)/2))/(LN(2)/2)*DB46*DE46*VLOOKUP('Données projet'!$B$13,Paramètres!$A$1:$I$89,3,0)*0.475*44/12</f>
        <v>7.032606966184054</v>
      </c>
      <c r="DI46" s="22">
        <f t="shared" si="15"/>
        <v>66.490384590839966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8.1999999999999993</v>
      </c>
      <c r="DO46" s="12">
        <f>IF('Données projet'!$A$166&gt;35,DO45+DN46-DW45,IF(A46&lt;'Données projet'!$A$166,$DL$205^A46,IF(A46='Données projet'!$A$166,'Données projet'!$B$166,DO45+DN46-DW45)))</f>
        <v>188.59999999999997</v>
      </c>
      <c r="DP46" s="17">
        <f>DO46*VLOOKUP('Données projet'!$B$14,Paramètres!$A$1:$I$89,3,0)*VLOOKUP('Données projet'!$B$14,Paramètres!$A$1:$I$89,5,0)</f>
        <v>152.99231999999998</v>
      </c>
      <c r="DQ46" s="13">
        <f t="shared" si="43"/>
        <v>39.257817366656973</v>
      </c>
      <c r="DR46" s="20">
        <f t="shared" si="16"/>
        <v>334.83565591359422</v>
      </c>
      <c r="DS46" s="59">
        <f t="shared" si="17"/>
        <v>628.16898924692759</v>
      </c>
      <c r="DT46" s="59">
        <f ca="1">AVERAGE(OFFSET($DS$3,0,0,'Données projet'!$E$14+1,1))-AVERAGE(OFFSET($H$3,0,0,'Données projet'!$E$14+1,1))</f>
        <v>304.26232113495314</v>
      </c>
      <c r="DU46" s="59">
        <f t="shared" si="44"/>
        <v>297.47246687305056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1.2540255419081883</v>
      </c>
      <c r="EB46" s="21">
        <f>EXP(-LN(2)/25)*EB45+(1-EXP(-LN(2)/25))/(LN(2)/25)*Calculateur!DW46*Calculateur!DY46*VLOOKUP('Données projet'!$B$14,Paramètres!$A$1:$I$89,3,0)*0.475*44/12</f>
        <v>8.0645838547398299</v>
      </c>
      <c r="EC46" s="21">
        <f>EXP(-LN(2)/2)*EC45+(1-EXP(-LN(2)/2))/(LN(2)/2)*DW46*DZ46*VLOOKUP('Données projet'!$B$14,Paramètres!$A$1:$I$89,3,0)*0.475*44/12</f>
        <v>2.8088617805858207</v>
      </c>
      <c r="ED46" s="22">
        <f t="shared" si="18"/>
        <v>12.127471177233838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8.1999999999999993</v>
      </c>
      <c r="EJ46" s="12">
        <f>IF('Données projet'!$A$192&gt;35,EJ45+EI46-ER45,IF(A46&lt;'Données projet'!$A$192,$EG$205^A46,IF(A46='Données projet'!$A$192,'Données projet'!$B$192,EJ45+EI46-ER45)))</f>
        <v>188.59999999999997</v>
      </c>
      <c r="EK46" s="17">
        <f>EJ46*VLOOKUP('Données projet'!$B$15,Paramètres!$A$1:$I$89,3,0)*VLOOKUP('Données projet'!$B$15,Paramètres!$A$1:$I$89,5,0)</f>
        <v>182.41391999999996</v>
      </c>
      <c r="EL46" s="13">
        <f t="shared" si="45"/>
        <v>45.85882179981607</v>
      </c>
      <c r="EM46" s="20">
        <f t="shared" si="19"/>
        <v>397.57502530134622</v>
      </c>
      <c r="EN46" s="59">
        <f t="shared" si="20"/>
        <v>690.90835863467953</v>
      </c>
      <c r="EO46" s="59">
        <f ca="1">AVERAGE(OFFSET($EN$3,0,0,'Données projet'!$E$15+1,1))-AVERAGE(OFFSET($H$3,0,0,'Données projet'!$E$15+1,1))</f>
        <v>355.72173590705142</v>
      </c>
      <c r="EP46" s="59">
        <f t="shared" si="46"/>
        <v>346.30980704469363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1.2130740546905767</v>
      </c>
      <c r="EW46" s="21">
        <f>EXP(-LN(2)/25)*EW45+(1-EXP(-LN(2)/25))/(LN(2)/25)*Calculateur!ER46*Calculateur!ET46*VLOOKUP('Données projet'!$B$15,Paramètres!$A$1:$I$89,3,0)*0.475*44/12</f>
        <v>7.8012266171031879</v>
      </c>
      <c r="EX46" s="21">
        <f>EXP(-LN(2)/2)*EX45+(1-EXP(-LN(2)/2))/(LN(2)/2)*ER46*EU46*VLOOKUP('Données projet'!$B$15,Paramètres!$A$1:$I$89,3,0)*0.475*44/12</f>
        <v>3.349027507621555</v>
      </c>
      <c r="EY46" s="22">
        <f t="shared" si="21"/>
        <v>12.363328179415319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8.1999999999999993</v>
      </c>
      <c r="FE46" s="12">
        <f>IF('Données projet'!$A$218&gt;35,FE45+FD46-FM45,IF(A46&lt;'Données projet'!$A$218,$FB$205^A46,IF(A46='Données projet'!$A$218,'Données projet'!$B$218,FE45+FD46-FM45)))</f>
        <v>188.59999999999997</v>
      </c>
      <c r="FF46" s="17">
        <f>FE46*VLOOKUP('Données projet'!$B$16,Paramètres!$A$1:$I$89,3,0)*VLOOKUP('Données projet'!$B$16,Paramètres!$A$1:$I$89,5,0)</f>
        <v>138.28151999999997</v>
      </c>
      <c r="FG46" s="13">
        <f t="shared" si="47"/>
        <v>35.903043322174675</v>
      </c>
      <c r="FH46" s="20">
        <f t="shared" si="22"/>
        <v>303.37144778612083</v>
      </c>
      <c r="FI46" s="59">
        <f t="shared" si="23"/>
        <v>596.70478111945408</v>
      </c>
      <c r="FJ46" s="59">
        <f ca="1">AVERAGE(OFFSET($FI$3,0,0,'Données projet'!$E$16+1,1))-AVERAGE(OFFSET($H$3,0,0,'Données projet'!$E$16+1,1))</f>
        <v>278.45534008146865</v>
      </c>
      <c r="FK46" s="59">
        <f t="shared" si="48"/>
        <v>272.97841038165217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0.91958839629769551</v>
      </c>
      <c r="FR46" s="21">
        <f>EXP(-LN(2)/25)*FR45+(1-EXP(-LN(2)/25))/(LN(2)/25)*Calculateur!FM46*Calculateur!FO46*VLOOKUP('Données projet'!$B$16,Paramètres!$A$1:$I$89,3,0)*0.475*44/12</f>
        <v>5.9138330807072537</v>
      </c>
      <c r="FS46" s="21">
        <f>EXP(-LN(2)/2)*FS45+(1-EXP(-LN(2)/2))/(LN(2)/2)*FM46*FP46*VLOOKUP('Données projet'!$B$16,Paramètres!$A$1:$I$89,3,0)*0.475*44/12</f>
        <v>2.5387789170679533</v>
      </c>
      <c r="FT46" s="22">
        <f t="shared" si="24"/>
        <v>9.3722003940729017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6.875</v>
      </c>
      <c r="N47" s="13">
        <f>IF('Données projet'!$A$36&gt;35,N46+M47-V46,IF(A47&lt;'Données projet'!$A$36,$K$205^A47,IF(A47='Données projet'!$A$36,'Données projet'!$B$36,N46+M47-V46)))</f>
        <v>109.75</v>
      </c>
      <c r="O47" s="13">
        <f>N47*VLOOKUP('Données projet'!$B$9,Paramètres!$A$1:$I$89,3,0)*VLOOKUP('Données projet'!$B$9,Paramètres!$A$1:$I$89,5,0)</f>
        <v>99.3018</v>
      </c>
      <c r="P47" s="13">
        <f t="shared" si="33"/>
        <v>26.795593258779039</v>
      </c>
      <c r="Q47" s="20">
        <f t="shared" si="53"/>
        <v>219.61962659237349</v>
      </c>
      <c r="R47" s="59">
        <f t="shared" si="0"/>
        <v>512.95295992570686</v>
      </c>
      <c r="S47" s="59">
        <f ca="1">AVERAGE(OFFSET($R$3,0,0,'Données projet'!$E$9+1,1))-AVERAGE(OFFSET($H$3,0,0,'Données projet'!$E$9+1,1))</f>
        <v>436.03161778768742</v>
      </c>
      <c r="T47" s="59">
        <f t="shared" si="34"/>
        <v>217.65884352525285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6.875</v>
      </c>
      <c r="AI47" s="13">
        <f>IF('Données projet'!$A$62&gt;35,AI46+AH47-AQ46,IF(A47&lt;'Données projet'!$A$62,$AF$205^A47,IF(A47='Données projet'!$A$62,'Données projet'!$B$62,AI46+AH47-AQ46)))</f>
        <v>109.75</v>
      </c>
      <c r="AJ47" s="13">
        <f>AI47*VLOOKUP('Données projet'!$B$10,Paramètres!$A$1:$I$89,3,0)*VLOOKUP('Données projet'!$B$10,Paramètres!$A$1:$I$89,5,0)</f>
        <v>111.28650000000002</v>
      </c>
      <c r="AK47" s="13">
        <f t="shared" si="35"/>
        <v>29.633888580176372</v>
      </c>
      <c r="AL47" s="20">
        <f t="shared" si="4"/>
        <v>245.4363434438072</v>
      </c>
      <c r="AM47" s="59">
        <f t="shared" si="5"/>
        <v>538.76967677714049</v>
      </c>
      <c r="AN47" s="59">
        <f ca="1">AVERAGE(OFFSET($AM$3,0,0,'Données projet'!$E$10+1,1))-AVERAGE(OFFSET($H$3,0,0,'Données projet'!$E$10+1,1))</f>
        <v>483.45320081988984</v>
      </c>
      <c r="AO47" s="59">
        <f t="shared" si="36"/>
        <v>238.92443174298893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5.7</v>
      </c>
      <c r="BD47" s="12">
        <f>IF('Données projet'!$A$88&gt;35,BD46+BC47-BL46,IF(A47&lt;'Données projet'!$A$88,$BA$205^A47,IF(A47='Données projet'!$A$88,'Données projet'!$B$88,BD46+BC47-BL46)))</f>
        <v>196.80000000000007</v>
      </c>
      <c r="BE47" s="13">
        <f>BD47*VLOOKUP('Données projet'!$B$11,Paramètres!$A$1:$I$89,3,0)*VLOOKUP('Données projet'!$B$11,Paramètres!$A$1:$I$89,5,0)</f>
        <v>171.9244800000001</v>
      </c>
      <c r="BF47" s="13">
        <f t="shared" si="37"/>
        <v>43.520760297647755</v>
      </c>
      <c r="BG47" s="20">
        <f t="shared" si="7"/>
        <v>375.23379351840327</v>
      </c>
      <c r="BH47" s="59">
        <f t="shared" si="8"/>
        <v>668.56712685173659</v>
      </c>
      <c r="BI47" s="59">
        <f ca="1">AVERAGE(OFFSET($BH$3,0,0,'Données projet'!$E$11+1,1))-AVERAGE(OFFSET($H$3,0,0,'Données projet'!$E$11+1,1))</f>
        <v>310.44153296396854</v>
      </c>
      <c r="BJ47" s="59">
        <f t="shared" si="38"/>
        <v>388.05195847800502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2.9923980698598802</v>
      </c>
      <c r="BQ47" s="21">
        <f>EXP(-LN(2)/25)*BQ46+(1-EXP(-LN(2)/25))/(LN(2)/25)*Calculateur!BL47*Calculateur!BN47*VLOOKUP('Données projet'!$B$11,Paramètres!$A$1:$I$89,3,0)*0.475*44/12</f>
        <v>4.3314758328352418</v>
      </c>
      <c r="BR47" s="21">
        <f>EXP(-LN(2)/2)*BR46+(1-EXP(-LN(2)/2))/(LN(2)/2)*BL47*BO47*VLOOKUP('Données projet'!$B$11,Paramètres!$A$1:$I$89,3,0)*0.475*44/12</f>
        <v>2.4109754543528576</v>
      </c>
      <c r="BS47" s="22">
        <f t="shared" si="9"/>
        <v>9.7348493570479793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22.8</v>
      </c>
      <c r="BY47" s="12">
        <f>IF('Données projet'!$A$114&gt;35,BY46+BX47-CG46,IF(A47&lt;'Données projet'!$A$114,$BV$205^A47,IF(A47='Données projet'!$A$114,'Données projet'!$B$114,BY46+BX47-CG46)))</f>
        <v>583.20000000000005</v>
      </c>
      <c r="BZ47" s="13">
        <f>BY47*VLOOKUP('Données projet'!$B$12,Paramètres!$A$1:$I$89,3,0)*VLOOKUP('Données projet'!$B$12,Paramètres!$A$1:$I$89,5,0)</f>
        <v>326.00880000000001</v>
      </c>
      <c r="CA47" s="13">
        <f t="shared" si="39"/>
        <v>76.602244480772981</v>
      </c>
      <c r="CB47" s="20">
        <f t="shared" si="10"/>
        <v>701.2142358040129</v>
      </c>
      <c r="CC47" s="59">
        <f t="shared" si="11"/>
        <v>994.54756913734627</v>
      </c>
      <c r="CD47" s="59">
        <f ca="1">AVERAGE(OFFSET($CC$3,0,0,'Données projet'!$E$12+1,1))-AVERAGE(OFFSET($H$3,0,0,'Données projet'!$E$12+1,1))</f>
        <v>443.34220761968419</v>
      </c>
      <c r="CE47" s="59">
        <f t="shared" si="40"/>
        <v>546.58234447298014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15.56104721368653</v>
      </c>
      <c r="CL47" s="21">
        <f>EXP(-LN(2)/25)*CL46+(1-EXP(-LN(2)/25))/(LN(2)/25)*Calculateur!CG47*Calculateur!CI47*VLOOKUP('Données projet'!$B$12,Paramètres!$A$1:$I$89,3,0)*0.475*44/12</f>
        <v>33.290490739659205</v>
      </c>
      <c r="CM47" s="21">
        <f>EXP(-LN(2)/2)*CM46+(1-EXP(-LN(2)/2))/(LN(2)/2)*CG47*CJ47*VLOOKUP('Données projet'!$B$12,Paramètres!$A$1:$I$89,3,0)*0.475*44/12</f>
        <v>4.3154492904518627</v>
      </c>
      <c r="CN47" s="22">
        <f t="shared" si="12"/>
        <v>53.166987243797593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10.666666666666666</v>
      </c>
      <c r="CT47" s="12">
        <f>IF('Données projet'!$A$140&gt;35,CT46+CS47-DB46,IF(A47&lt;'Données projet'!$A$140,$CQ$205^A47,IF(A47='Données projet'!$A$140,'Données projet'!$B$140,CT46+CS47-DB46)))</f>
        <v>209.33333333333334</v>
      </c>
      <c r="CU47" s="17">
        <f>CT47*VLOOKUP('Données projet'!$B$13,Paramètres!$A$1:$I$89,3,0)*VLOOKUP('Données projet'!$B$13,Paramètres!$A$1:$I$89,5,0)</f>
        <v>114.29600000000001</v>
      </c>
      <c r="CV47" s="13">
        <f t="shared" si="41"/>
        <v>30.340887802753251</v>
      </c>
      <c r="CW47" s="20">
        <f t="shared" si="13"/>
        <v>251.9092462564619</v>
      </c>
      <c r="CX47" s="59">
        <f t="shared" si="14"/>
        <v>545.24257958979524</v>
      </c>
      <c r="CY47" s="59">
        <f ca="1">AVERAGE(OFFSET($CX$3,0,0,'Données projet'!$E$13+1,1))-AVERAGE(OFFSET($H$3,0,0,'Données projet'!$E$13+1,1))</f>
        <v>214.22606988805535</v>
      </c>
      <c r="CZ47" s="59">
        <f t="shared" si="42"/>
        <v>305.78163836959078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29.481406384223337</v>
      </c>
      <c r="DG47" s="21">
        <f>EXP(-LN(2)/25)*DG46+(1-EXP(-LN(2)/25))/(LN(2)/25)*Calculateur!DB47*Calculateur!DD47*VLOOKUP('Données projet'!$B$13,Paramètres!$A$1:$I$89,3,0)*0.475*44/12</f>
        <v>28.583114926416009</v>
      </c>
      <c r="DH47" s="21">
        <f>EXP(-LN(2)/2)*DH46+(1-EXP(-LN(2)/2))/(LN(2)/2)*DB47*DE47*VLOOKUP('Données projet'!$B$13,Paramètres!$A$1:$I$89,3,0)*0.475*44/12</f>
        <v>4.9728040752084981</v>
      </c>
      <c r="DI47" s="22">
        <f t="shared" si="15"/>
        <v>63.037325385847851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8.1999999999999993</v>
      </c>
      <c r="DO47" s="12">
        <f>IF('Données projet'!$A$166&gt;35,DO46+DN47-DW46,IF(A47&lt;'Données projet'!$A$166,$DL$205^A47,IF(A47='Données projet'!$A$166,'Données projet'!$B$166,DO46+DN47-DW46)))</f>
        <v>196.79999999999995</v>
      </c>
      <c r="DP47" s="17">
        <f>DO47*VLOOKUP('Données projet'!$B$14,Paramètres!$A$1:$I$89,3,0)*VLOOKUP('Données projet'!$B$14,Paramètres!$A$1:$I$89,5,0)</f>
        <v>159.64415999999997</v>
      </c>
      <c r="DQ47" s="13">
        <f t="shared" si="43"/>
        <v>40.762244304130796</v>
      </c>
      <c r="DR47" s="20">
        <f t="shared" si="16"/>
        <v>349.04115416302778</v>
      </c>
      <c r="DS47" s="59">
        <f t="shared" si="17"/>
        <v>642.3744874963611</v>
      </c>
      <c r="DT47" s="59">
        <f ca="1">AVERAGE(OFFSET($DS$3,0,0,'Données projet'!$E$14+1,1))-AVERAGE(OFFSET($H$3,0,0,'Données projet'!$E$14+1,1))</f>
        <v>304.26232113495314</v>
      </c>
      <c r="DU47" s="59">
        <f t="shared" si="44"/>
        <v>297.47246687305056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1.2294348659114236</v>
      </c>
      <c r="EB47" s="21">
        <f>EXP(-LN(2)/25)*EB46+(1-EXP(-LN(2)/25))/(LN(2)/25)*Calculateur!DW47*Calculateur!DY47*VLOOKUP('Données projet'!$B$14,Paramètres!$A$1:$I$89,3,0)*0.475*44/12</f>
        <v>7.8440573851339366</v>
      </c>
      <c r="EC47" s="21">
        <f>EXP(-LN(2)/2)*EC46+(1-EXP(-LN(2)/2))/(LN(2)/2)*DW47*DZ47*VLOOKUP('Données projet'!$B$14,Paramètres!$A$1:$I$89,3,0)*0.475*44/12</f>
        <v>1.9861652124679543</v>
      </c>
      <c r="ED47" s="22">
        <f t="shared" si="18"/>
        <v>11.059657463513314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8.1999999999999993</v>
      </c>
      <c r="EJ47" s="12">
        <f>IF('Données projet'!$A$192&gt;35,EJ46+EI47-ER46,IF(A47&lt;'Données projet'!$A$192,$EG$205^A47,IF(A47='Données projet'!$A$192,'Données projet'!$B$192,EJ46+EI47-ER46)))</f>
        <v>196.79999999999995</v>
      </c>
      <c r="EK47" s="17">
        <f>EJ47*VLOOKUP('Données projet'!$B$15,Paramètres!$A$1:$I$89,3,0)*VLOOKUP('Données projet'!$B$15,Paramètres!$A$1:$I$89,5,0)</f>
        <v>190.34495999999996</v>
      </c>
      <c r="EL47" s="13">
        <f t="shared" si="45"/>
        <v>47.616210556101123</v>
      </c>
      <c r="EM47" s="20">
        <f t="shared" si="19"/>
        <v>414.44903871854268</v>
      </c>
      <c r="EN47" s="59">
        <f t="shared" si="20"/>
        <v>707.782372051876</v>
      </c>
      <c r="EO47" s="59">
        <f ca="1">AVERAGE(OFFSET($EN$3,0,0,'Données projet'!$E$15+1,1))-AVERAGE(OFFSET($H$3,0,0,'Données projet'!$E$15+1,1))</f>
        <v>355.72173590705142</v>
      </c>
      <c r="EP47" s="59">
        <f t="shared" si="46"/>
        <v>346.30980704469363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1.1892864123802087</v>
      </c>
      <c r="EW47" s="21">
        <f>EXP(-LN(2)/25)*EW46+(1-EXP(-LN(2)/25))/(LN(2)/25)*Calculateur!ER47*Calculateur!ET47*VLOOKUP('Données projet'!$B$15,Paramètres!$A$1:$I$89,3,0)*0.475*44/12</f>
        <v>7.5879016650098237</v>
      </c>
      <c r="EX47" s="21">
        <f>EXP(-LN(2)/2)*EX46+(1-EXP(-LN(2)/2))/(LN(2)/2)*ER47*EU47*VLOOKUP('Données projet'!$B$15,Paramètres!$A$1:$I$89,3,0)*0.475*44/12</f>
        <v>2.3681200610194835</v>
      </c>
      <c r="EY47" s="22">
        <f t="shared" si="21"/>
        <v>11.145308138409517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8.1999999999999993</v>
      </c>
      <c r="FE47" s="12">
        <f>IF('Données projet'!$A$218&gt;35,FE46+FD47-FM46,IF(A47&lt;'Données projet'!$A$218,$FB$205^A47,IF(A47='Données projet'!$A$218,'Données projet'!$B$218,FE46+FD47-FM46)))</f>
        <v>196.79999999999995</v>
      </c>
      <c r="FF47" s="17">
        <f>FE47*VLOOKUP('Données projet'!$B$16,Paramètres!$A$1:$I$89,3,0)*VLOOKUP('Données projet'!$B$16,Paramètres!$A$1:$I$89,5,0)</f>
        <v>144.29375999999996</v>
      </c>
      <c r="FG47" s="13">
        <f t="shared" si="47"/>
        <v>37.278909560653958</v>
      </c>
      <c r="FH47" s="20">
        <f t="shared" si="22"/>
        <v>316.23906615147223</v>
      </c>
      <c r="FI47" s="59">
        <f t="shared" si="23"/>
        <v>609.5723994848056</v>
      </c>
      <c r="FJ47" s="59">
        <f ca="1">AVERAGE(OFFSET($FI$3,0,0,'Données projet'!$E$16+1,1))-AVERAGE(OFFSET($H$3,0,0,'Données projet'!$E$16+1,1))</f>
        <v>278.45534008146865</v>
      </c>
      <c r="FK47" s="59">
        <f t="shared" si="48"/>
        <v>272.97841038165217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0.90155582873983575</v>
      </c>
      <c r="FR47" s="21">
        <f>EXP(-LN(2)/25)*FR46+(1-EXP(-LN(2)/25))/(LN(2)/25)*Calculateur!FM47*Calculateur!FO47*VLOOKUP('Données projet'!$B$16,Paramètres!$A$1:$I$89,3,0)*0.475*44/12</f>
        <v>5.752119004120348</v>
      </c>
      <c r="FS47" s="21">
        <f>EXP(-LN(2)/2)*FS46+(1-EXP(-LN(2)/2))/(LN(2)/2)*FM47*FP47*VLOOKUP('Données projet'!$B$16,Paramètres!$A$1:$I$89,3,0)*0.475*44/12</f>
        <v>1.7951877881921894</v>
      </c>
      <c r="FT47" s="22">
        <f t="shared" si="24"/>
        <v>8.4488626210523741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6.875</v>
      </c>
      <c r="N48" s="13">
        <f>IF('Données projet'!$A$36&gt;35,N47+M48-V47,IF(A48&lt;'Données projet'!$A$36,$K$205^A48,IF(A48='Données projet'!$A$36,'Données projet'!$B$36,N47+M48-V47)))</f>
        <v>116.625</v>
      </c>
      <c r="O48" s="13">
        <f>N48*VLOOKUP('Données projet'!$B$9,Paramètres!$A$1:$I$89,3,0)*VLOOKUP('Données projet'!$B$9,Paramètres!$A$1:$I$89,5,0)</f>
        <v>105.5223</v>
      </c>
      <c r="P48" s="13">
        <f t="shared" si="33"/>
        <v>28.273465463649</v>
      </c>
      <c r="Q48" s="20">
        <f t="shared" si="53"/>
        <v>233.02762484918864</v>
      </c>
      <c r="R48" s="59">
        <f t="shared" si="0"/>
        <v>526.36095818252193</v>
      </c>
      <c r="S48" s="59">
        <f ca="1">AVERAGE(OFFSET($R$3,0,0,'Données projet'!$E$9+1,1))-AVERAGE(OFFSET($H$3,0,0,'Données projet'!$E$9+1,1))</f>
        <v>436.03161778768742</v>
      </c>
      <c r="T48" s="59">
        <f t="shared" si="34"/>
        <v>217.65884352525285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6.875</v>
      </c>
      <c r="AI48" s="13">
        <f>IF('Données projet'!$A$62&gt;35,AI47+AH48-AQ47,IF(A48&lt;'Données projet'!$A$62,$AF$205^A48,IF(A48='Données projet'!$A$62,'Données projet'!$B$62,AI47+AH48-AQ47)))</f>
        <v>116.625</v>
      </c>
      <c r="AJ48" s="13">
        <f>AI48*VLOOKUP('Données projet'!$B$10,Paramètres!$A$1:$I$89,3,0)*VLOOKUP('Données projet'!$B$10,Paramètres!$A$1:$I$89,5,0)</f>
        <v>118.25775000000002</v>
      </c>
      <c r="AK48" s="13">
        <f t="shared" si="35"/>
        <v>31.268302859864225</v>
      </c>
      <c r="AL48" s="20">
        <f t="shared" si="4"/>
        <v>260.42454206426356</v>
      </c>
      <c r="AM48" s="59">
        <f t="shared" si="5"/>
        <v>553.75787539759688</v>
      </c>
      <c r="AN48" s="59">
        <f ca="1">AVERAGE(OFFSET($AM$3,0,0,'Données projet'!$E$10+1,1))-AVERAGE(OFFSET($H$3,0,0,'Données projet'!$E$10+1,1))</f>
        <v>483.45320081988984</v>
      </c>
      <c r="AO48" s="59">
        <f t="shared" si="36"/>
        <v>238.92443174298893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5.7</v>
      </c>
      <c r="BD48" s="12">
        <f>IF('Données projet'!$A$88&gt;35,BD47+BC48-BL47,IF(A48&lt;'Données projet'!$A$88,$BA$205^A48,IF(A48='Données projet'!$A$88,'Données projet'!$B$88,BD47+BC48-BL47)))</f>
        <v>202.50000000000006</v>
      </c>
      <c r="BE48" s="13">
        <f>BD48*VLOOKUP('Données projet'!$B$11,Paramètres!$A$1:$I$89,3,0)*VLOOKUP('Données projet'!$B$11,Paramètres!$A$1:$I$89,5,0)</f>
        <v>176.90400000000008</v>
      </c>
      <c r="BF48" s="13">
        <f t="shared" si="37"/>
        <v>44.6326892336632</v>
      </c>
      <c r="BG48" s="20">
        <f t="shared" si="7"/>
        <v>385.84306708196351</v>
      </c>
      <c r="BH48" s="59">
        <f t="shared" si="8"/>
        <v>679.17640041529683</v>
      </c>
      <c r="BI48" s="59">
        <f ca="1">AVERAGE(OFFSET($BH$3,0,0,'Données projet'!$E$11+1,1))-AVERAGE(OFFSET($H$3,0,0,'Données projet'!$E$11+1,1))</f>
        <v>310.44153296396854</v>
      </c>
      <c r="BJ48" s="59">
        <f t="shared" si="38"/>
        <v>388.05195847800502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2.9337189688925287</v>
      </c>
      <c r="BQ48" s="21">
        <f>EXP(-LN(2)/25)*BQ47+(1-EXP(-LN(2)/25))/(LN(2)/25)*Calculateur!BL48*Calculateur!BN48*VLOOKUP('Données projet'!$B$11,Paramètres!$A$1:$I$89,3,0)*0.475*44/12</f>
        <v>4.213031398403948</v>
      </c>
      <c r="BR48" s="21">
        <f>EXP(-LN(2)/2)*BR47+(1-EXP(-LN(2)/2))/(LN(2)/2)*BL48*BO48*VLOOKUP('Données projet'!$B$11,Paramètres!$A$1:$I$89,3,0)*0.475*44/12</f>
        <v>1.7048170930472233</v>
      </c>
      <c r="BS48" s="22">
        <f t="shared" si="9"/>
        <v>8.8515674603437002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606</v>
      </c>
      <c r="BW48" s="12">
        <f>VLOOKUP(A48,'Données projet'!$A$113:$I$133,9,0)</f>
        <v>22.8</v>
      </c>
      <c r="BX48" s="12">
        <f t="array" ref="BX48">INDEX(BW:BW,MIN(IF(ISNUMBER(BW48:BW244),ROW(BW48:BW244),"")))</f>
        <v>22.8</v>
      </c>
      <c r="BY48" s="12">
        <f>IF('Données projet'!$A$114&gt;35,BY47+BX48-CG47,IF(A48&lt;'Données projet'!$A$114,$BV$205^A48,IF(A48='Données projet'!$A$114,'Données projet'!$B$114,BY47+BX48-CG47)))</f>
        <v>606</v>
      </c>
      <c r="BZ48" s="13">
        <f>BY48*VLOOKUP('Données projet'!$B$12,Paramètres!$A$1:$I$89,3,0)*VLOOKUP('Données projet'!$B$12,Paramètres!$A$1:$I$89,5,0)</f>
        <v>338.75400000000002</v>
      </c>
      <c r="CA48" s="13">
        <f t="shared" si="39"/>
        <v>79.242459951408904</v>
      </c>
      <c r="CB48" s="20">
        <f t="shared" si="10"/>
        <v>728.01050108203719</v>
      </c>
      <c r="CC48" s="59">
        <f t="shared" si="11"/>
        <v>1021.3438344153706</v>
      </c>
      <c r="CD48" s="59">
        <f ca="1">AVERAGE(OFFSET($CC$3,0,0,'Données projet'!$E$12+1,1))-AVERAGE(OFFSET($H$3,0,0,'Données projet'!$E$12+1,1))</f>
        <v>443.34220761968419</v>
      </c>
      <c r="CE48" s="59">
        <f t="shared" si="40"/>
        <v>546.58234447298014</v>
      </c>
      <c r="CF48" s="15">
        <f>IF(ISNA(VLOOKUP(A48,'Données projet'!$A$113:$I$133,3,0)),0,VLOOKUP(A48,'Données projet'!$A$113:$I$133,3,0))</f>
        <v>5</v>
      </c>
      <c r="CG48" s="15">
        <f>IF(ISNA(VLOOKUP(A48,'Données projet'!$A$113:$I$133,4,0)),0,VLOOKUP(A48,'Données projet'!$A$113:$I$133,4,0))</f>
        <v>66</v>
      </c>
      <c r="CH48" s="16">
        <f>IF(ISNA(VLOOKUP(A48,'Données projet'!$A$113:$I$133,5,0)),0%,VLOOKUP(A48,'Données projet'!$A$113:$I$133,5,0)*VLOOKUP('Données projet'!$B$12,Paramètres!$A$1:$I$89,7,0))</f>
        <v>0.27500000000000002</v>
      </c>
      <c r="CI48" s="16">
        <f>IF(ISNA(VLOOKUP(A48,'Données projet'!$A$113:$I$133,6,0)),0%,VLOOKUP(A48,'Données projet'!$A$113:$I$133,6,0)*VLOOKUP('Données projet'!$B$12,Paramètres!$A$1:$I$89,7,0))</f>
        <v>0.16500000000000001</v>
      </c>
      <c r="CJ48" s="16">
        <f>IF(ISNA(VLOOKUP(A48,'Données projet'!$A$113:$I$133,7,0)),0%,VLOOKUP(A48,'Données projet'!$A$113:$I$133,7,0))</f>
        <v>0.2</v>
      </c>
      <c r="CK48" s="21">
        <f>EXP(-LN(2)/35)*CK47+(1-EXP(-LN(2)/35))/(LN(2)/35)*CG48*CH48*VLOOKUP('Données projet'!$B$12,Paramètres!$A$1:$I$89,3,0)*0.475*44/12</f>
        <v>28.715028549349011</v>
      </c>
      <c r="CL48" s="21">
        <f>EXP(-LN(2)/25)*CL47+(1-EXP(-LN(2)/25))/(LN(2)/25)*Calculateur!CG48*Calculateur!CI48*VLOOKUP('Données projet'!$B$12,Paramètres!$A$1:$I$89,3,0)*0.475*44/12</f>
        <v>40.423838688182109</v>
      </c>
      <c r="CM48" s="21">
        <f>EXP(-LN(2)/2)*CM47+(1-EXP(-LN(2)/2))/(LN(2)/2)*CG48*CJ48*VLOOKUP('Données projet'!$B$12,Paramètres!$A$1:$I$89,3,0)*0.475*44/12</f>
        <v>11.405999134133474</v>
      </c>
      <c r="CN48" s="22">
        <f t="shared" si="12"/>
        <v>80.544866371664597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10.666666666666666</v>
      </c>
      <c r="CT48" s="12">
        <f>IF('Données projet'!$A$140&gt;35,CT47+CS48-DB47,IF(A48&lt;'Données projet'!$A$140,$CQ$205^A48,IF(A48='Données projet'!$A$140,'Données projet'!$B$140,CT47+CS48-DB47)))</f>
        <v>220</v>
      </c>
      <c r="CU48" s="17">
        <f>CT48*VLOOKUP('Données projet'!$B$13,Paramètres!$A$1:$I$89,3,0)*VLOOKUP('Données projet'!$B$13,Paramètres!$A$1:$I$89,5,0)</f>
        <v>120.11999999999999</v>
      </c>
      <c r="CV48" s="13">
        <f t="shared" si="41"/>
        <v>31.702985695201871</v>
      </c>
      <c r="CW48" s="20">
        <f t="shared" si="13"/>
        <v>264.42503341914323</v>
      </c>
      <c r="CX48" s="59">
        <f t="shared" si="14"/>
        <v>557.7583667524766</v>
      </c>
      <c r="CY48" s="59">
        <f ca="1">AVERAGE(OFFSET($CX$3,0,0,'Données projet'!$E$13+1,1))-AVERAGE(OFFSET($H$3,0,0,'Données projet'!$E$13+1,1))</f>
        <v>214.22606988805535</v>
      </c>
      <c r="CZ48" s="59">
        <f t="shared" si="42"/>
        <v>305.78163836959078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28.903293986911049</v>
      </c>
      <c r="DG48" s="21">
        <f>EXP(-LN(2)/25)*DG47+(1-EXP(-LN(2)/25))/(LN(2)/25)*Calculateur!DB48*Calculateur!DD48*VLOOKUP('Données projet'!$B$13,Paramètres!$A$1:$I$89,3,0)*0.475*44/12</f>
        <v>27.801508145632475</v>
      </c>
      <c r="DH48" s="21">
        <f>EXP(-LN(2)/2)*DH47+(1-EXP(-LN(2)/2))/(LN(2)/2)*DB48*DE48*VLOOKUP('Données projet'!$B$13,Paramètres!$A$1:$I$89,3,0)*0.475*44/12</f>
        <v>3.5163034830920274</v>
      </c>
      <c r="DI48" s="22">
        <f t="shared" si="15"/>
        <v>60.221105615635551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205</v>
      </c>
      <c r="DM48" s="12">
        <f>VLOOKUP(A48,'Données projet'!$A$165:$I$185,9,0)</f>
        <v>8.1999999999999993</v>
      </c>
      <c r="DN48" s="12">
        <f t="array" ref="DN48">INDEX(DM:DM,MIN(IF(ISNUMBER(DM48:DM244),ROW(DM48:DM244),"")))</f>
        <v>8.1999999999999993</v>
      </c>
      <c r="DO48" s="12">
        <f>IF('Données projet'!$A$166&gt;35,DO47+DN48-DW47,IF(A48&lt;'Données projet'!$A$166,$DL$205^A48,IF(A48='Données projet'!$A$166,'Données projet'!$B$166,DO47+DN48-DW47)))</f>
        <v>204.99999999999994</v>
      </c>
      <c r="DP48" s="17">
        <f>DO48*VLOOKUP('Données projet'!$B$14,Paramètres!$A$1:$I$89,3,0)*VLOOKUP('Données projet'!$B$14,Paramètres!$A$1:$I$89,5,0)</f>
        <v>166.29599999999996</v>
      </c>
      <c r="DQ48" s="13">
        <f t="shared" si="43"/>
        <v>42.259390211399776</v>
      </c>
      <c r="DR48" s="20">
        <f t="shared" si="16"/>
        <v>363.23397128485459</v>
      </c>
      <c r="DS48" s="59">
        <f t="shared" si="17"/>
        <v>656.5673046181879</v>
      </c>
      <c r="DT48" s="59">
        <f ca="1">AVERAGE(OFFSET($DS$3,0,0,'Données projet'!$E$14+1,1))-AVERAGE(OFFSET($H$3,0,0,'Données projet'!$E$14+1,1))</f>
        <v>304.26232113495314</v>
      </c>
      <c r="DU48" s="59">
        <f t="shared" si="44"/>
        <v>297.47246687305056</v>
      </c>
      <c r="DV48" s="15">
        <f>IF(ISNA(VLOOKUP(A48,'Données projet'!$A$165:$I$185,3,0)),0,VLOOKUP(A48,'Données projet'!$A$165:$I$185,3,0))</f>
        <v>7</v>
      </c>
      <c r="DW48" s="15">
        <f>IF(ISNA(VLOOKUP(A48,'Données projet'!$A$165:$I$185,4,0)),0,VLOOKUP(A48,'Données projet'!$A$165:$I$185,4,0))</f>
        <v>22</v>
      </c>
      <c r="DX48" s="16">
        <f>IF(ISNA(VLOOKUP(A48,'Données projet'!$A$165:$I$185,5,0)),0%,VLOOKUP(A48,'Données projet'!$A$165:$I$185,5,0)*VLOOKUP('Données projet'!$B$14,Paramètres!$A$1:$I$89,7,0))</f>
        <v>0.159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0.4</v>
      </c>
      <c r="EA48" s="21">
        <f>EXP(-LN(2)/35)*EA47+(1-EXP(-LN(2)/35))/(LN(2)/35)*DW48*DX48*VLOOKUP('Données projet'!$B$14,Paramètres!$A$1:$I$89,3,0)*0.475*44/12</f>
        <v>4.3421843844983226</v>
      </c>
      <c r="EB48" s="21">
        <f>EXP(-LN(2)/25)*EB47+(1-EXP(-LN(2)/25))/(LN(2)/25)*Calculateur!DW48*Calculateur!DY48*VLOOKUP('Données projet'!$B$14,Paramètres!$A$1:$I$89,3,0)*0.475*44/12</f>
        <v>7.629561223436399</v>
      </c>
      <c r="EC48" s="21">
        <f>EXP(-LN(2)/2)*EC47+(1-EXP(-LN(2)/2))/(LN(2)/2)*DW48*DZ48*VLOOKUP('Données projet'!$B$14,Paramètres!$A$1:$I$89,3,0)*0.475*44/12</f>
        <v>8.1398543818183509</v>
      </c>
      <c r="ED48" s="22">
        <f t="shared" si="18"/>
        <v>20.111599989753074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205</v>
      </c>
      <c r="EH48" s="12">
        <f>VLOOKUP(A48,'Données projet'!$A$191:$I$211,9,0)</f>
        <v>8.1999999999999993</v>
      </c>
      <c r="EI48" s="12">
        <f t="array" ref="EI48">INDEX(EH:EH,MIN(IF(ISNUMBER(EH48:EH244),ROW(EH48:EH244),"")))</f>
        <v>8.1999999999999993</v>
      </c>
      <c r="EJ48" s="12">
        <f>IF('Données projet'!$A$192&gt;35,EJ47+EI48-ER47,IF(A48&lt;'Données projet'!$A$192,$EG$205^A48,IF(A48='Données projet'!$A$192,'Données projet'!$B$192,EJ47+EI48-ER47)))</f>
        <v>204.99999999999994</v>
      </c>
      <c r="EK48" s="17">
        <f>EJ48*VLOOKUP('Données projet'!$B$15,Paramètres!$A$1:$I$89,3,0)*VLOOKUP('Données projet'!$B$15,Paramètres!$A$1:$I$89,5,0)</f>
        <v>198.27599999999995</v>
      </c>
      <c r="EL48" s="13">
        <f t="shared" si="45"/>
        <v>49.36509401359271</v>
      </c>
      <c r="EM48" s="20">
        <f t="shared" si="19"/>
        <v>431.30823874034053</v>
      </c>
      <c r="EN48" s="59">
        <f t="shared" si="20"/>
        <v>724.64157207367384</v>
      </c>
      <c r="EO48" s="59">
        <f ca="1">AVERAGE(OFFSET($EN$3,0,0,'Données projet'!$E$15+1,1))-AVERAGE(OFFSET($H$3,0,0,'Données projet'!$E$15+1,1))</f>
        <v>355.72173590705142</v>
      </c>
      <c r="EP48" s="59">
        <f t="shared" si="46"/>
        <v>346.30980704469363</v>
      </c>
      <c r="EQ48" s="15">
        <f>IF(ISNA(VLOOKUP(A48,'Données projet'!$A$191:$I$211,3,0)),0,VLOOKUP(A48,'Données projet'!$A$191:$I$211,3,0))</f>
        <v>7</v>
      </c>
      <c r="ER48" s="15">
        <f>IF(ISNA(VLOOKUP(A48,'Données projet'!$A$191:$I$211,4,0)),0,VLOOKUP(A48,'Données projet'!$A$191:$I$211,4,0))</f>
        <v>22</v>
      </c>
      <c r="ES48" s="16">
        <f>IF(ISNA(VLOOKUP(A48,'Données projet'!$A$191:$I$211,5,0)),0%,VLOOKUP(A48,'Données projet'!$A$191:$I$211,5,0)*VLOOKUP('Données projet'!$B$15,Paramètres!$A$1:$I$89,7,0))</f>
        <v>0.129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0.4</v>
      </c>
      <c r="EV48" s="21">
        <f>EXP(-LN(2)/35)*EV47+(1-EXP(-LN(2)/35))/(LN(2)/35)*ER48*ES48*VLOOKUP('Données projet'!$B$15,Paramètres!$A$1:$I$89,3,0)*0.475*44/12</f>
        <v>4.200385910403674</v>
      </c>
      <c r="EW48" s="21">
        <f>EXP(-LN(2)/25)*EW47+(1-EXP(-LN(2)/25))/(LN(2)/25)*Calculateur!ER48*Calculateur!ET48*VLOOKUP('Données projet'!$B$15,Paramètres!$A$1:$I$89,3,0)*0.475*44/12</f>
        <v>7.380410094949724</v>
      </c>
      <c r="EX48" s="21">
        <f>EXP(-LN(2)/2)*EX47+(1-EXP(-LN(2)/2))/(LN(2)/2)*ER48*EU48*VLOOKUP('Données projet'!$B$15,Paramètres!$A$1:$I$89,3,0)*0.475*44/12</f>
        <v>9.7052109937064941</v>
      </c>
      <c r="EY48" s="22">
        <f t="shared" si="21"/>
        <v>21.286006999059893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205</v>
      </c>
      <c r="FC48" s="12">
        <f>VLOOKUP(A48,'Données projet'!$A$217:$I$237,9,0)</f>
        <v>8.1999999999999993</v>
      </c>
      <c r="FD48" s="12">
        <f t="array" ref="FD48">INDEX(FC:FC,MIN(IF(ISNUMBER(FC48:FC244),ROW(FC48:FC244),"")))</f>
        <v>8.1999999999999993</v>
      </c>
      <c r="FE48" s="12">
        <f>IF('Données projet'!$A$218&gt;35,FE47+FD48-FM47,IF(A48&lt;'Données projet'!$A$218,$FB$205^A48,IF(A48='Données projet'!$A$218,'Données projet'!$B$218,FE47+FD48-FM47)))</f>
        <v>204.99999999999994</v>
      </c>
      <c r="FF48" s="17">
        <f>FE48*VLOOKUP('Données projet'!$B$16,Paramètres!$A$1:$I$89,3,0)*VLOOKUP('Données projet'!$B$16,Paramètres!$A$1:$I$89,5,0)</f>
        <v>150.30599999999995</v>
      </c>
      <c r="FG48" s="13">
        <f t="shared" si="47"/>
        <v>38.648116968856641</v>
      </c>
      <c r="FH48" s="20">
        <f t="shared" si="22"/>
        <v>329.09508705409189</v>
      </c>
      <c r="FI48" s="59">
        <f t="shared" si="23"/>
        <v>622.42842038742515</v>
      </c>
      <c r="FJ48" s="59">
        <f ca="1">AVERAGE(OFFSET($FI$3,0,0,'Données projet'!$E$16+1,1))-AVERAGE(OFFSET($H$3,0,0,'Données projet'!$E$16+1,1))</f>
        <v>278.45534008146865</v>
      </c>
      <c r="FK48" s="59">
        <f t="shared" si="48"/>
        <v>272.97841038165217</v>
      </c>
      <c r="FL48" s="15">
        <f>IF(ISNA(VLOOKUP(A48,'Données projet'!$A$217:$I$237,3,0)),0,VLOOKUP(A48,'Données projet'!$A$217:$I$237,3,0))</f>
        <v>7</v>
      </c>
      <c r="FM48" s="15">
        <f>IF(ISNA(VLOOKUP(A48,'Données projet'!$A$217:$I$237,4,0)),0,VLOOKUP(A48,'Données projet'!$A$217:$I$237,4,0))</f>
        <v>22</v>
      </c>
      <c r="FN48" s="16">
        <f>IF(ISNA(VLOOKUP(A48,'Données projet'!$A$217:$I$237,5,0)),0%,VLOOKUP(A48,'Données projet'!$A$217:$I$237,5,0)*VLOOKUP('Données projet'!$B$16,Paramètres!$A$1:$I$89,7,0))</f>
        <v>0.129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0.4</v>
      </c>
      <c r="FQ48" s="21">
        <f>EXP(-LN(2)/35)*FQ47+(1-EXP(-LN(2)/35))/(LN(2)/35)*FM48*FN48*VLOOKUP('Données projet'!$B$16,Paramètres!$A$1:$I$89,3,0)*0.475*44/12</f>
        <v>3.1841635127253656</v>
      </c>
      <c r="FR48" s="21">
        <f>EXP(-LN(2)/25)*FR47+(1-EXP(-LN(2)/25))/(LN(2)/25)*Calculateur!FM48*Calculateur!FO48*VLOOKUP('Données projet'!$B$16,Paramètres!$A$1:$I$89,3,0)*0.475*44/12</f>
        <v>5.5948270074618858</v>
      </c>
      <c r="FS48" s="21">
        <f>EXP(-LN(2)/2)*FS47+(1-EXP(-LN(2)/2))/(LN(2)/2)*FM48*FP48*VLOOKUP('Données projet'!$B$16,Paramètres!$A$1:$I$89,3,0)*0.475*44/12</f>
        <v>7.3571760758742784</v>
      </c>
      <c r="FT48" s="22">
        <f t="shared" si="24"/>
        <v>16.136166596061528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6.875</v>
      </c>
      <c r="N49" s="13">
        <f>IF('Données projet'!$A$36&gt;35,N48+M49-V48,IF(A49&lt;'Données projet'!$A$36,$K$205^A49,IF(A49='Données projet'!$A$36,'Données projet'!$B$36,N48+M49-V48)))</f>
        <v>123.5</v>
      </c>
      <c r="O49" s="13">
        <f>N49*VLOOKUP('Données projet'!$B$9,Paramètres!$A$1:$I$89,3,0)*VLOOKUP('Données projet'!$B$9,Paramètres!$A$1:$I$89,5,0)</f>
        <v>111.7428</v>
      </c>
      <c r="P49" s="13">
        <f t="shared" si="33"/>
        <v>29.741225429709573</v>
      </c>
      <c r="Q49" s="20">
        <f t="shared" si="53"/>
        <v>246.4180109567441</v>
      </c>
      <c r="R49" s="59">
        <f t="shared" si="0"/>
        <v>539.75134429007744</v>
      </c>
      <c r="S49" s="59">
        <f ca="1">AVERAGE(OFFSET($R$3,0,0,'Données projet'!$E$9+1,1))-AVERAGE(OFFSET($H$3,0,0,'Données projet'!$E$9+1,1))</f>
        <v>436.03161778768742</v>
      </c>
      <c r="T49" s="59">
        <f t="shared" si="34"/>
        <v>217.65884352525285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6.875</v>
      </c>
      <c r="AI49" s="13">
        <f>IF('Données projet'!$A$62&gt;35,AI48+AH49-AQ48,IF(A49&lt;'Données projet'!$A$62,$AF$205^A49,IF(A49='Données projet'!$A$62,'Données projet'!$B$62,AI48+AH49-AQ48)))</f>
        <v>123.5</v>
      </c>
      <c r="AJ49" s="13">
        <f>AI49*VLOOKUP('Données projet'!$B$10,Paramètres!$A$1:$I$89,3,0)*VLOOKUP('Données projet'!$B$10,Paramètres!$A$1:$I$89,5,0)</f>
        <v>125.22900000000001</v>
      </c>
      <c r="AK49" s="13">
        <f t="shared" si="35"/>
        <v>32.891533772373769</v>
      </c>
      <c r="AL49" s="20">
        <f t="shared" si="4"/>
        <v>275.39326298688428</v>
      </c>
      <c r="AM49" s="59">
        <f t="shared" si="5"/>
        <v>568.7265963202176</v>
      </c>
      <c r="AN49" s="59">
        <f ca="1">AVERAGE(OFFSET($AM$3,0,0,'Données projet'!$E$10+1,1))-AVERAGE(OFFSET($H$3,0,0,'Données projet'!$E$10+1,1))</f>
        <v>483.45320081988984</v>
      </c>
      <c r="AO49" s="59">
        <f t="shared" si="36"/>
        <v>238.92443174298893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5.7</v>
      </c>
      <c r="BD49" s="12">
        <f>IF('Données projet'!$A$88&gt;35,BD48+BC49-BL48,IF(A49&lt;'Données projet'!$A$88,$BA$205^A49,IF(A49='Données projet'!$A$88,'Données projet'!$B$88,BD48+BC49-BL48)))</f>
        <v>208.20000000000005</v>
      </c>
      <c r="BE49" s="13">
        <f>BD49*VLOOKUP('Données projet'!$B$11,Paramètres!$A$1:$I$89,3,0)*VLOOKUP('Données projet'!$B$11,Paramètres!$A$1:$I$89,5,0)</f>
        <v>181.88352000000006</v>
      </c>
      <c r="BF49" s="13">
        <f t="shared" si="37"/>
        <v>45.74098045051349</v>
      </c>
      <c r="BG49" s="20">
        <f t="shared" si="7"/>
        <v>396.44600495131112</v>
      </c>
      <c r="BH49" s="59">
        <f t="shared" si="8"/>
        <v>689.77933828464438</v>
      </c>
      <c r="BI49" s="59">
        <f ca="1">AVERAGE(OFFSET($BH$3,0,0,'Données projet'!$E$11+1,1))-AVERAGE(OFFSET($H$3,0,0,'Données projet'!$E$11+1,1))</f>
        <v>310.44153296396854</v>
      </c>
      <c r="BJ49" s="59">
        <f t="shared" si="38"/>
        <v>388.05195847800502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2.8761905293044294</v>
      </c>
      <c r="BQ49" s="21">
        <f>EXP(-LN(2)/25)*BQ48+(1-EXP(-LN(2)/25))/(LN(2)/25)*Calculateur!BL49*Calculateur!BN49*VLOOKUP('Données projet'!$B$11,Paramètres!$A$1:$I$89,3,0)*0.475*44/12</f>
        <v>4.0978258332608997</v>
      </c>
      <c r="BR49" s="21">
        <f>EXP(-LN(2)/2)*BR48+(1-EXP(-LN(2)/2))/(LN(2)/2)*BL49*BO49*VLOOKUP('Données projet'!$B$11,Paramètres!$A$1:$I$89,3,0)*0.475*44/12</f>
        <v>1.205487727176429</v>
      </c>
      <c r="BS49" s="22">
        <f t="shared" si="9"/>
        <v>8.1795040897417586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17.8</v>
      </c>
      <c r="BY49" s="12">
        <f>IF('Données projet'!$A$114&gt;35,BY48+BX49-CG48,IF(A49&lt;'Données projet'!$A$114,$BV$205^A49,IF(A49='Données projet'!$A$114,'Données projet'!$B$114,BY48+BX49-CG48)))</f>
        <v>557.79999999999995</v>
      </c>
      <c r="BZ49" s="13">
        <f>BY49*VLOOKUP('Données projet'!$B$12,Paramètres!$A$1:$I$89,3,0)*VLOOKUP('Données projet'!$B$12,Paramètres!$A$1:$I$89,5,0)</f>
        <v>311.81020000000001</v>
      </c>
      <c r="CA49" s="13">
        <f t="shared" si="39"/>
        <v>73.646743780370684</v>
      </c>
      <c r="CB49" s="20">
        <f t="shared" si="10"/>
        <v>671.33751041747894</v>
      </c>
      <c r="CC49" s="59">
        <f t="shared" si="11"/>
        <v>964.67084375081231</v>
      </c>
      <c r="CD49" s="59">
        <f ca="1">AVERAGE(OFFSET($CC$3,0,0,'Données projet'!$E$12+1,1))-AVERAGE(OFFSET($H$3,0,0,'Données projet'!$E$12+1,1))</f>
        <v>443.34220761968419</v>
      </c>
      <c r="CE49" s="59">
        <f t="shared" si="40"/>
        <v>546.58234447298014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28.151944353934283</v>
      </c>
      <c r="CL49" s="21">
        <f>EXP(-LN(2)/25)*CL48+(1-EXP(-LN(2)/25))/(LN(2)/25)*Calculateur!CG49*Calculateur!CI49*VLOOKUP('Données projet'!$B$12,Paramètres!$A$1:$I$89,3,0)*0.475*44/12</f>
        <v>39.31844669345648</v>
      </c>
      <c r="CM49" s="21">
        <f>EXP(-LN(2)/2)*CM48+(1-EXP(-LN(2)/2))/(LN(2)/2)*CG49*CJ49*VLOOKUP('Données projet'!$B$12,Paramètres!$A$1:$I$89,3,0)*0.475*44/12</f>
        <v>8.0652593339536693</v>
      </c>
      <c r="CN49" s="22">
        <f t="shared" si="12"/>
        <v>75.535650381344425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10.666666666666666</v>
      </c>
      <c r="CT49" s="12">
        <f>IF('Données projet'!$A$140&gt;35,CT48+CS49-DB48,IF(A49&lt;'Données projet'!$A$140,$CQ$205^A49,IF(A49='Données projet'!$A$140,'Données projet'!$B$140,CT48+CS49-DB48)))</f>
        <v>230.66666666666666</v>
      </c>
      <c r="CU49" s="17">
        <f>CT49*VLOOKUP('Données projet'!$B$13,Paramètres!$A$1:$I$89,3,0)*VLOOKUP('Données projet'!$B$13,Paramètres!$A$1:$I$89,5,0)</f>
        <v>125.944</v>
      </c>
      <c r="CV49" s="13">
        <f t="shared" si="41"/>
        <v>33.057414881257685</v>
      </c>
      <c r="CW49" s="20">
        <f t="shared" si="13"/>
        <v>276.92746425152382</v>
      </c>
      <c r="CX49" s="59">
        <f t="shared" si="14"/>
        <v>570.26079758485707</v>
      </c>
      <c r="CY49" s="59">
        <f ca="1">AVERAGE(OFFSET($CX$3,0,0,'Données projet'!$E$13+1,1))-AVERAGE(OFFSET($H$3,0,0,'Données projet'!$E$13+1,1))</f>
        <v>214.22606988805535</v>
      </c>
      <c r="CZ49" s="59">
        <f t="shared" si="42"/>
        <v>305.78163836959078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28.33651802109631</v>
      </c>
      <c r="DG49" s="21">
        <f>EXP(-LN(2)/25)*DG48+(1-EXP(-LN(2)/25))/(LN(2)/25)*Calculateur!DB49*Calculateur!DD49*VLOOKUP('Données projet'!$B$13,Paramètres!$A$1:$I$89,3,0)*0.475*44/12</f>
        <v>27.041274443372384</v>
      </c>
      <c r="DH49" s="21">
        <f>EXP(-LN(2)/2)*DH48+(1-EXP(-LN(2)/2))/(LN(2)/2)*DB49*DE49*VLOOKUP('Données projet'!$B$13,Paramètres!$A$1:$I$89,3,0)*0.475*44/12</f>
        <v>2.4864020376042495</v>
      </c>
      <c r="DI49" s="22">
        <f t="shared" si="15"/>
        <v>57.864194502072948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7.2</v>
      </c>
      <c r="DO49" s="12">
        <f>IF('Données projet'!$A$166&gt;35,DO48+DN49-DW48,IF(A49&lt;'Données projet'!$A$166,$DL$205^A49,IF(A49='Données projet'!$A$166,'Données projet'!$B$166,DO48+DN49-DW48)))</f>
        <v>190.19999999999993</v>
      </c>
      <c r="DP49" s="17">
        <f>DO49*VLOOKUP('Données projet'!$B$14,Paramètres!$A$1:$I$89,3,0)*VLOOKUP('Données projet'!$B$14,Paramètres!$A$1:$I$89,5,0)</f>
        <v>154.29023999999995</v>
      </c>
      <c r="DQ49" s="13">
        <f t="shared" si="43"/>
        <v>39.551952121114581</v>
      </c>
      <c r="DR49" s="20">
        <f t="shared" si="16"/>
        <v>337.6084846109411</v>
      </c>
      <c r="DS49" s="59">
        <f t="shared" si="17"/>
        <v>630.94181794427436</v>
      </c>
      <c r="DT49" s="59">
        <f ca="1">AVERAGE(OFFSET($DS$3,0,0,'Données projet'!$E$14+1,1))-AVERAGE(OFFSET($H$3,0,0,'Données projet'!$E$14+1,1))</f>
        <v>304.26232113495314</v>
      </c>
      <c r="DU49" s="59">
        <f t="shared" si="44"/>
        <v>297.47246687305056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4.2570367971892704</v>
      </c>
      <c r="EB49" s="21">
        <f>EXP(-LN(2)/25)*EB48+(1-EXP(-LN(2)/25))/(LN(2)/25)*Calculateur!DW49*Calculateur!DY49*VLOOKUP('Données projet'!$B$14,Paramètres!$A$1:$I$89,3,0)*0.475*44/12</f>
        <v>7.4209304705603438</v>
      </c>
      <c r="EC49" s="21">
        <f>EXP(-LN(2)/2)*EC48+(1-EXP(-LN(2)/2))/(LN(2)/2)*DW49*DZ49*VLOOKUP('Données projet'!$B$14,Paramètres!$A$1:$I$89,3,0)*0.475*44/12</f>
        <v>5.7557462312547889</v>
      </c>
      <c r="ED49" s="22">
        <f t="shared" si="18"/>
        <v>17.433713499004405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7.2</v>
      </c>
      <c r="EJ49" s="12">
        <f>IF('Données projet'!$A$192&gt;35,EJ48+EI49-ER48,IF(A49&lt;'Données projet'!$A$192,$EG$205^A49,IF(A49='Données projet'!$A$192,'Données projet'!$B$192,EJ48+EI49-ER48)))</f>
        <v>190.19999999999993</v>
      </c>
      <c r="EK49" s="17">
        <f>EJ49*VLOOKUP('Données projet'!$B$15,Paramètres!$A$1:$I$89,3,0)*VLOOKUP('Données projet'!$B$15,Paramètres!$A$1:$I$89,5,0)</f>
        <v>183.96143999999995</v>
      </c>
      <c r="EL49" s="13">
        <f t="shared" si="45"/>
        <v>46.202413833061925</v>
      </c>
      <c r="EM49" s="20">
        <f t="shared" si="19"/>
        <v>400.86871209258271</v>
      </c>
      <c r="EN49" s="59">
        <f t="shared" si="20"/>
        <v>694.20204542591603</v>
      </c>
      <c r="EO49" s="59">
        <f ca="1">AVERAGE(OFFSET($EN$3,0,0,'Données projet'!$E$15+1,1))-AVERAGE(OFFSET($H$3,0,0,'Données projet'!$E$15+1,1))</f>
        <v>355.72173590705142</v>
      </c>
      <c r="EP49" s="59">
        <f t="shared" si="46"/>
        <v>346.30980704469363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4.1180189046830886</v>
      </c>
      <c r="EW49" s="21">
        <f>EXP(-LN(2)/25)*EW48+(1-EXP(-LN(2)/25))/(LN(2)/25)*Calculateur!ER49*Calculateur!ET49*VLOOKUP('Données projet'!$B$15,Paramètres!$A$1:$I$89,3,0)*0.475*44/12</f>
        <v>7.1785923927844246</v>
      </c>
      <c r="EX49" s="21">
        <f>EXP(-LN(2)/2)*EX48+(1-EXP(-LN(2)/2))/(LN(2)/2)*ER49*EU49*VLOOKUP('Données projet'!$B$15,Paramètres!$A$1:$I$89,3,0)*0.475*44/12</f>
        <v>6.8626205064960937</v>
      </c>
      <c r="EY49" s="22">
        <f t="shared" si="21"/>
        <v>18.159231803963607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7.2</v>
      </c>
      <c r="FE49" s="12">
        <f>IF('Données projet'!$A$218&gt;35,FE48+FD49-FM48,IF(A49&lt;'Données projet'!$A$218,$FB$205^A49,IF(A49='Données projet'!$A$218,'Données projet'!$B$218,FE48+FD49-FM48)))</f>
        <v>190.19999999999993</v>
      </c>
      <c r="FF49" s="17">
        <f>FE49*VLOOKUP('Données projet'!$B$16,Paramètres!$A$1:$I$89,3,0)*VLOOKUP('Données projet'!$B$16,Paramètres!$A$1:$I$89,5,0)</f>
        <v>139.45463999999996</v>
      </c>
      <c r="FG49" s="13">
        <f t="shared" si="47"/>
        <v>36.172042811708678</v>
      </c>
      <c r="FH49" s="20">
        <f t="shared" si="22"/>
        <v>305.88313923039249</v>
      </c>
      <c r="FI49" s="59">
        <f t="shared" si="23"/>
        <v>599.2164725637258</v>
      </c>
      <c r="FJ49" s="59">
        <f ca="1">AVERAGE(OFFSET($FI$3,0,0,'Données projet'!$E$16+1,1))-AVERAGE(OFFSET($H$3,0,0,'Données projet'!$E$16+1,1))</f>
        <v>278.45534008146865</v>
      </c>
      <c r="FK49" s="59">
        <f t="shared" si="48"/>
        <v>272.97841038165217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3.1217240083887927</v>
      </c>
      <c r="FR49" s="21">
        <f>EXP(-LN(2)/25)*FR48+(1-EXP(-LN(2)/25))/(LN(2)/25)*Calculateur!FM49*Calculateur!FO49*VLOOKUP('Données projet'!$B$16,Paramètres!$A$1:$I$89,3,0)*0.475*44/12</f>
        <v>5.4418361687236754</v>
      </c>
      <c r="FS49" s="21">
        <f>EXP(-LN(2)/2)*FS48+(1-EXP(-LN(2)/2))/(LN(2)/2)*FM49*FP49*VLOOKUP('Données projet'!$B$16,Paramètres!$A$1:$I$89,3,0)*0.475*44/12</f>
        <v>5.2023090936341356</v>
      </c>
      <c r="FT49" s="22">
        <f t="shared" si="24"/>
        <v>13.765869270746602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6.875</v>
      </c>
      <c r="N50" s="13">
        <f>IF('Données projet'!$A$36&gt;35,N49+M50-V49,IF(A50&lt;'Données projet'!$A$36,$K$205^A50,IF(A50='Données projet'!$A$36,'Données projet'!$B$36,N49+M50-V49)))</f>
        <v>130.375</v>
      </c>
      <c r="O50" s="13">
        <f>N50*VLOOKUP('Données projet'!$B$9,Paramètres!$A$1:$I$89,3,0)*VLOOKUP('Données projet'!$B$9,Paramètres!$A$1:$I$89,5,0)</f>
        <v>117.96329999999999</v>
      </c>
      <c r="P50" s="13">
        <f t="shared" si="33"/>
        <v>31.199500243690945</v>
      </c>
      <c r="Q50" s="20">
        <f t="shared" si="53"/>
        <v>259.79187709109505</v>
      </c>
      <c r="R50" s="59">
        <f t="shared" si="0"/>
        <v>553.12521042442836</v>
      </c>
      <c r="S50" s="59">
        <f ca="1">AVERAGE(OFFSET($R$3,0,0,'Données projet'!$E$9+1,1))-AVERAGE(OFFSET($H$3,0,0,'Données projet'!$E$9+1,1))</f>
        <v>436.03161778768742</v>
      </c>
      <c r="T50" s="59">
        <f t="shared" si="34"/>
        <v>217.65884352525285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6.875</v>
      </c>
      <c r="AI50" s="13">
        <f>IF('Données projet'!$A$62&gt;35,AI49+AH50-AQ49,IF(A50&lt;'Données projet'!$A$62,$AF$205^A50,IF(A50='Données projet'!$A$62,'Données projet'!$B$62,AI49+AH50-AQ49)))</f>
        <v>130.375</v>
      </c>
      <c r="AJ50" s="13">
        <f>AI50*VLOOKUP('Données projet'!$B$10,Paramètres!$A$1:$I$89,3,0)*VLOOKUP('Données projet'!$B$10,Paramètres!$A$1:$I$89,5,0)</f>
        <v>132.20025000000001</v>
      </c>
      <c r="AK50" s="13">
        <f t="shared" si="35"/>
        <v>34.504274827944251</v>
      </c>
      <c r="AL50" s="20">
        <f t="shared" si="4"/>
        <v>290.34371407533627</v>
      </c>
      <c r="AM50" s="59">
        <f t="shared" si="5"/>
        <v>583.67704740866952</v>
      </c>
      <c r="AN50" s="59">
        <f ca="1">AVERAGE(OFFSET($AM$3,0,0,'Données projet'!$E$10+1,1))-AVERAGE(OFFSET($H$3,0,0,'Données projet'!$E$10+1,1))</f>
        <v>483.45320081988984</v>
      </c>
      <c r="AO50" s="59">
        <f t="shared" si="36"/>
        <v>238.92443174298893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5.7</v>
      </c>
      <c r="BD50" s="12">
        <f>IF('Données projet'!$A$88&gt;35,BD49+BC50-BL49,IF(A50&lt;'Données projet'!$A$88,$BA$205^A50,IF(A50='Données projet'!$A$88,'Données projet'!$B$88,BD49+BC50-BL49)))</f>
        <v>213.90000000000003</v>
      </c>
      <c r="BE50" s="13">
        <f>BD50*VLOOKUP('Données projet'!$B$11,Paramètres!$A$1:$I$89,3,0)*VLOOKUP('Données projet'!$B$11,Paramètres!$A$1:$I$89,5,0)</f>
        <v>186.86304000000007</v>
      </c>
      <c r="BF50" s="13">
        <f t="shared" si="37"/>
        <v>46.845744983534509</v>
      </c>
      <c r="BG50" s="20">
        <f t="shared" si="7"/>
        <v>407.04280051298934</v>
      </c>
      <c r="BH50" s="59">
        <f t="shared" si="8"/>
        <v>700.37613384632266</v>
      </c>
      <c r="BI50" s="59">
        <f ca="1">AVERAGE(OFFSET($BH$3,0,0,'Données projet'!$E$11+1,1))-AVERAGE(OFFSET($H$3,0,0,'Données projet'!$E$11+1,1))</f>
        <v>310.44153296396854</v>
      </c>
      <c r="BJ50" s="59">
        <f t="shared" si="38"/>
        <v>388.05195847800502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2.8197901873277695</v>
      </c>
      <c r="BQ50" s="21">
        <f>EXP(-LN(2)/25)*BQ49+(1-EXP(-LN(2)/25))/(LN(2)/25)*Calculateur!BL50*Calculateur!BN50*VLOOKUP('Données projet'!$B$11,Paramètres!$A$1:$I$89,3,0)*0.475*44/12</f>
        <v>3.9857705703550854</v>
      </c>
      <c r="BR50" s="21">
        <f>EXP(-LN(2)/2)*BR49+(1-EXP(-LN(2)/2))/(LN(2)/2)*BL50*BO50*VLOOKUP('Données projet'!$B$11,Paramètres!$A$1:$I$89,3,0)*0.475*44/12</f>
        <v>0.85240854652361175</v>
      </c>
      <c r="BS50" s="22">
        <f t="shared" si="9"/>
        <v>7.6579693042064667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17.8</v>
      </c>
      <c r="BY50" s="12">
        <f>IF('Données projet'!$A$114&gt;35,BY49+BX50-CG49,IF(A50&lt;'Données projet'!$A$114,$BV$205^A50,IF(A50='Données projet'!$A$114,'Données projet'!$B$114,BY49+BX50-CG49)))</f>
        <v>575.59999999999991</v>
      </c>
      <c r="BZ50" s="13">
        <f>BY50*VLOOKUP('Données projet'!$B$12,Paramètres!$A$1:$I$89,3,0)*VLOOKUP('Données projet'!$B$12,Paramètres!$A$1:$I$89,5,0)</f>
        <v>321.76039999999995</v>
      </c>
      <c r="CA50" s="13">
        <f t="shared" si="39"/>
        <v>75.719522083505169</v>
      </c>
      <c r="CB50" s="20">
        <f t="shared" si="10"/>
        <v>692.27753096210472</v>
      </c>
      <c r="CC50" s="59">
        <f t="shared" si="11"/>
        <v>985.61086429543798</v>
      </c>
      <c r="CD50" s="59">
        <f ca="1">AVERAGE(OFFSET($CC$3,0,0,'Données projet'!$E$12+1,1))-AVERAGE(OFFSET($H$3,0,0,'Données projet'!$E$12+1,1))</f>
        <v>443.34220761968419</v>
      </c>
      <c r="CE50" s="59">
        <f t="shared" si="40"/>
        <v>546.58234447298014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27.599901896144193</v>
      </c>
      <c r="CL50" s="21">
        <f>EXP(-LN(2)/25)*CL49+(1-EXP(-LN(2)/25))/(LN(2)/25)*Calculateur!CG50*Calculateur!CI50*VLOOKUP('Données projet'!$B$12,Paramètres!$A$1:$I$89,3,0)*0.475*44/12</f>
        <v>38.243281700956665</v>
      </c>
      <c r="CM50" s="21">
        <f>EXP(-LN(2)/2)*CM49+(1-EXP(-LN(2)/2))/(LN(2)/2)*CG50*CJ50*VLOOKUP('Données projet'!$B$12,Paramètres!$A$1:$I$89,3,0)*0.475*44/12</f>
        <v>5.7029995670667377</v>
      </c>
      <c r="CN50" s="22">
        <f t="shared" si="12"/>
        <v>71.546183164167601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10.666666666666666</v>
      </c>
      <c r="CT50" s="12">
        <f>IF('Données projet'!$A$140&gt;35,CT49+CS50-DB49,IF(A50&lt;'Données projet'!$A$140,$CQ$205^A50,IF(A50='Données projet'!$A$140,'Données projet'!$B$140,CT49+CS50-DB49)))</f>
        <v>241.33333333333331</v>
      </c>
      <c r="CU50" s="17">
        <f>CT50*VLOOKUP('Données projet'!$B$13,Paramètres!$A$1:$I$89,3,0)*VLOOKUP('Données projet'!$B$13,Paramètres!$A$1:$I$89,5,0)</f>
        <v>131.76799999999997</v>
      </c>
      <c r="CV50" s="13">
        <f t="shared" si="41"/>
        <v>34.404570485500848</v>
      </c>
      <c r="CW50" s="20">
        <f t="shared" si="13"/>
        <v>289.41722692891392</v>
      </c>
      <c r="CX50" s="59">
        <f t="shared" si="14"/>
        <v>582.75056026224729</v>
      </c>
      <c r="CY50" s="59">
        <f ca="1">AVERAGE(OFFSET($CX$3,0,0,'Données projet'!$E$13+1,1))-AVERAGE(OFFSET($H$3,0,0,'Données projet'!$E$13+1,1))</f>
        <v>214.22606988805535</v>
      </c>
      <c r="CZ50" s="59">
        <f t="shared" si="42"/>
        <v>305.78163836959078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27.780856186271993</v>
      </c>
      <c r="DG50" s="21">
        <f>EXP(-LN(2)/25)*DG49+(1-EXP(-LN(2)/25))/(LN(2)/25)*Calculateur!DB50*Calculateur!DD50*VLOOKUP('Données projet'!$B$13,Paramètres!$A$1:$I$89,3,0)*0.475*44/12</f>
        <v>26.301829371679545</v>
      </c>
      <c r="DH50" s="21">
        <f>EXP(-LN(2)/2)*DH49+(1-EXP(-LN(2)/2))/(LN(2)/2)*DB50*DE50*VLOOKUP('Données projet'!$B$13,Paramètres!$A$1:$I$89,3,0)*0.475*44/12</f>
        <v>1.7581517415460142</v>
      </c>
      <c r="DI50" s="22">
        <f t="shared" si="15"/>
        <v>55.840837299497551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7.2</v>
      </c>
      <c r="DO50" s="12">
        <f>IF('Données projet'!$A$166&gt;35,DO49+DN50-DW49,IF(A50&lt;'Données projet'!$A$166,$DL$205^A50,IF(A50='Données projet'!$A$166,'Données projet'!$B$166,DO49+DN50-DW49)))</f>
        <v>197.39999999999992</v>
      </c>
      <c r="DP50" s="17">
        <f>DO50*VLOOKUP('Données projet'!$B$14,Paramètres!$A$1:$I$89,3,0)*VLOOKUP('Données projet'!$B$14,Paramètres!$A$1:$I$89,5,0)</f>
        <v>160.13087999999996</v>
      </c>
      <c r="DQ50" s="13">
        <f t="shared" si="43"/>
        <v>40.872034351060186</v>
      </c>
      <c r="DR50" s="20">
        <f t="shared" si="16"/>
        <v>350.08007582809643</v>
      </c>
      <c r="DS50" s="59">
        <f t="shared" si="17"/>
        <v>643.41340916142974</v>
      </c>
      <c r="DT50" s="59">
        <f ca="1">AVERAGE(OFFSET($DS$3,0,0,'Données projet'!$E$14+1,1))-AVERAGE(OFFSET($H$3,0,0,'Données projet'!$E$14+1,1))</f>
        <v>304.26232113495314</v>
      </c>
      <c r="DU50" s="59">
        <f t="shared" si="44"/>
        <v>297.47246687305056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4.1735589021324486</v>
      </c>
      <c r="EB50" s="21">
        <f>EXP(-LN(2)/25)*EB49+(1-EXP(-LN(2)/25))/(LN(2)/25)*Calculateur!DW50*Calculateur!DY50*VLOOKUP('Données projet'!$B$14,Paramètres!$A$1:$I$89,3,0)*0.475*44/12</f>
        <v>7.2180047365930982</v>
      </c>
      <c r="EC50" s="21">
        <f>EXP(-LN(2)/2)*EC49+(1-EXP(-LN(2)/2))/(LN(2)/2)*DW50*DZ50*VLOOKUP('Données projet'!$B$14,Paramètres!$A$1:$I$89,3,0)*0.475*44/12</f>
        <v>4.0699271909091754</v>
      </c>
      <c r="ED50" s="22">
        <f t="shared" si="18"/>
        <v>15.461490829634723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7.2</v>
      </c>
      <c r="EJ50" s="12">
        <f>IF('Données projet'!$A$192&gt;35,EJ49+EI50-ER49,IF(A50&lt;'Données projet'!$A$192,$EG$205^A50,IF(A50='Données projet'!$A$192,'Données projet'!$B$192,EJ49+EI50-ER49)))</f>
        <v>197.39999999999992</v>
      </c>
      <c r="EK50" s="17">
        <f>EJ50*VLOOKUP('Données projet'!$B$15,Paramètres!$A$1:$I$89,3,0)*VLOOKUP('Données projet'!$B$15,Paramètres!$A$1:$I$89,5,0)</f>
        <v>190.92527999999993</v>
      </c>
      <c r="EL50" s="13">
        <f t="shared" si="45"/>
        <v>47.74446124692539</v>
      </c>
      <c r="EM50" s="20">
        <f t="shared" si="19"/>
        <v>415.68313267172829</v>
      </c>
      <c r="EN50" s="59">
        <f t="shared" si="20"/>
        <v>709.0164660050616</v>
      </c>
      <c r="EO50" s="59">
        <f ca="1">AVERAGE(OFFSET($EN$3,0,0,'Données projet'!$E$15+1,1))-AVERAGE(OFFSET($H$3,0,0,'Données projet'!$E$15+1,1))</f>
        <v>355.72173590705142</v>
      </c>
      <c r="EP50" s="59">
        <f t="shared" si="46"/>
        <v>346.30980704469363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4.0372670657057714</v>
      </c>
      <c r="EW50" s="21">
        <f>EXP(-LN(2)/25)*EW49+(1-EXP(-LN(2)/25))/(LN(2)/25)*Calculateur!ER50*Calculateur!ET50*VLOOKUP('Données projet'!$B$15,Paramètres!$A$1:$I$89,3,0)*0.475*44/12</f>
        <v>6.9822934062979671</v>
      </c>
      <c r="EX50" s="21">
        <f>EXP(-LN(2)/2)*EX49+(1-EXP(-LN(2)/2))/(LN(2)/2)*ER50*EU50*VLOOKUP('Données projet'!$B$15,Paramètres!$A$1:$I$89,3,0)*0.475*44/12</f>
        <v>4.8526054968532479</v>
      </c>
      <c r="EY50" s="22">
        <f t="shared" si="21"/>
        <v>15.872165968856986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7.2</v>
      </c>
      <c r="FE50" s="12">
        <f>IF('Données projet'!$A$218&gt;35,FE49+FD50-FM49,IF(A50&lt;'Données projet'!$A$218,$FB$205^A50,IF(A50='Données projet'!$A$218,'Données projet'!$B$218,FE49+FD50-FM49)))</f>
        <v>197.39999999999992</v>
      </c>
      <c r="FF50" s="17">
        <f>FE50*VLOOKUP('Données projet'!$B$16,Paramètres!$A$1:$I$89,3,0)*VLOOKUP('Données projet'!$B$16,Paramètres!$A$1:$I$89,5,0)</f>
        <v>144.73367999999994</v>
      </c>
      <c r="FG50" s="13">
        <f t="shared" si="47"/>
        <v>37.379317506781838</v>
      </c>
      <c r="FH50" s="20">
        <f t="shared" si="22"/>
        <v>317.1801373243116</v>
      </c>
      <c r="FI50" s="59">
        <f t="shared" si="23"/>
        <v>610.51347065764492</v>
      </c>
      <c r="FJ50" s="59">
        <f ca="1">AVERAGE(OFFSET($FI$3,0,0,'Données projet'!$E$16+1,1))-AVERAGE(OFFSET($H$3,0,0,'Données projet'!$E$16+1,1))</f>
        <v>278.45534008146865</v>
      </c>
      <c r="FK50" s="59">
        <f t="shared" si="48"/>
        <v>272.97841038165217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3.0605089046479228</v>
      </c>
      <c r="FR50" s="21">
        <f>EXP(-LN(2)/25)*FR49+(1-EXP(-LN(2)/25))/(LN(2)/25)*Calculateur!FM50*Calculateur!FO50*VLOOKUP('Données projet'!$B$16,Paramètres!$A$1:$I$89,3,0)*0.475*44/12</f>
        <v>5.2930288725162002</v>
      </c>
      <c r="FS50" s="21">
        <f>EXP(-LN(2)/2)*FS49+(1-EXP(-LN(2)/2))/(LN(2)/2)*FM50*FP50*VLOOKUP('Données projet'!$B$16,Paramètres!$A$1:$I$89,3,0)*0.475*44/12</f>
        <v>3.6785880379371392</v>
      </c>
      <c r="FT50" s="22">
        <f t="shared" si="24"/>
        <v>12.032125815101262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6.875</v>
      </c>
      <c r="N51" s="13">
        <f>IF('Données projet'!$A$36&gt;35,N50+M51-V50,IF(A51&lt;'Données projet'!$A$36,$K$205^A51,IF(A51='Données projet'!$A$36,'Données projet'!$B$36,N50+M51-V50)))</f>
        <v>137.25</v>
      </c>
      <c r="O51" s="13">
        <f>N51*VLOOKUP('Données projet'!$B$9,Paramètres!$A$1:$I$89,3,0)*VLOOKUP('Données projet'!$B$9,Paramètres!$A$1:$I$89,5,0)</f>
        <v>124.18379999999999</v>
      </c>
      <c r="P51" s="13">
        <f t="shared" si="33"/>
        <v>32.648847121304541</v>
      </c>
      <c r="Q51" s="20">
        <f t="shared" si="53"/>
        <v>273.15019373627206</v>
      </c>
      <c r="R51" s="59">
        <f t="shared" si="0"/>
        <v>566.48352706960532</v>
      </c>
      <c r="S51" s="59">
        <f ca="1">AVERAGE(OFFSET($R$3,0,0,'Données projet'!$E$9+1,1))-AVERAGE(OFFSET($H$3,0,0,'Données projet'!$E$9+1,1))</f>
        <v>436.03161778768742</v>
      </c>
      <c r="T51" s="59">
        <f t="shared" si="34"/>
        <v>217.65884352525285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6.875</v>
      </c>
      <c r="AI51" s="13">
        <f>IF('Données projet'!$A$62&gt;35,AI50+AH51-AQ50,IF(A51&lt;'Données projet'!$A$62,$AF$205^A51,IF(A51='Données projet'!$A$62,'Données projet'!$B$62,AI50+AH51-AQ50)))</f>
        <v>137.25</v>
      </c>
      <c r="AJ51" s="13">
        <f>AI51*VLOOKUP('Données projet'!$B$10,Paramètres!$A$1:$I$89,3,0)*VLOOKUP('Données projet'!$B$10,Paramètres!$A$1:$I$89,5,0)</f>
        <v>139.17150000000001</v>
      </c>
      <c r="AK51" s="13">
        <f t="shared" si="35"/>
        <v>36.107142264781352</v>
      </c>
      <c r="AL51" s="20">
        <f t="shared" si="4"/>
        <v>305.27696861116084</v>
      </c>
      <c r="AM51" s="59">
        <f t="shared" si="5"/>
        <v>598.61030194449415</v>
      </c>
      <c r="AN51" s="59">
        <f ca="1">AVERAGE(OFFSET($AM$3,0,0,'Données projet'!$E$10+1,1))-AVERAGE(OFFSET($H$3,0,0,'Données projet'!$E$10+1,1))</f>
        <v>483.45320081988984</v>
      </c>
      <c r="AO51" s="59">
        <f t="shared" si="36"/>
        <v>238.92443174298893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5.7</v>
      </c>
      <c r="BD51" s="12">
        <f>IF('Données projet'!$A$88&gt;35,BD50+BC51-BL50,IF(A51&lt;'Données projet'!$A$88,$BA$205^A51,IF(A51='Données projet'!$A$88,'Données projet'!$B$88,BD50+BC51-BL50)))</f>
        <v>219.60000000000002</v>
      </c>
      <c r="BE51" s="13">
        <f>BD51*VLOOKUP('Données projet'!$B$11,Paramètres!$A$1:$I$89,3,0)*VLOOKUP('Données projet'!$B$11,Paramètres!$A$1:$I$89,5,0)</f>
        <v>191.84256000000005</v>
      </c>
      <c r="BF51" s="13">
        <f t="shared" si="37"/>
        <v>47.947087613384845</v>
      </c>
      <c r="BG51" s="20">
        <f t="shared" si="7"/>
        <v>417.63363625997869</v>
      </c>
      <c r="BH51" s="59">
        <f t="shared" si="8"/>
        <v>710.966969593312</v>
      </c>
      <c r="BI51" s="59">
        <f ca="1">AVERAGE(OFFSET($BH$3,0,0,'Données projet'!$E$11+1,1))-AVERAGE(OFFSET($H$3,0,0,'Données projet'!$E$11+1,1))</f>
        <v>310.44153296396854</v>
      </c>
      <c r="BJ51" s="59">
        <f t="shared" si="38"/>
        <v>388.05195847800502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2.7644958216564599</v>
      </c>
      <c r="BQ51" s="21">
        <f>EXP(-LN(2)/25)*BQ50+(1-EXP(-LN(2)/25))/(LN(2)/25)*Calculateur!BL51*Calculateur!BN51*VLOOKUP('Données projet'!$B$11,Paramètres!$A$1:$I$89,3,0)*0.475*44/12</f>
        <v>3.8767794645061611</v>
      </c>
      <c r="BR51" s="21">
        <f>EXP(-LN(2)/2)*BR50+(1-EXP(-LN(2)/2))/(LN(2)/2)*BL51*BO51*VLOOKUP('Données projet'!$B$11,Paramètres!$A$1:$I$89,3,0)*0.475*44/12</f>
        <v>0.60274386358821463</v>
      </c>
      <c r="BS51" s="22">
        <f t="shared" si="9"/>
        <v>7.2440191497508355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17.8</v>
      </c>
      <c r="BY51" s="12">
        <f>IF('Données projet'!$A$114&gt;35,BY50+BX51-CG50,IF(A51&lt;'Données projet'!$A$114,$BV$205^A51,IF(A51='Données projet'!$A$114,'Données projet'!$B$114,BY50+BX51-CG50)))</f>
        <v>593.39999999999986</v>
      </c>
      <c r="BZ51" s="13">
        <f>BY51*VLOOKUP('Données projet'!$B$12,Paramètres!$A$1:$I$89,3,0)*VLOOKUP('Données projet'!$B$12,Paramètres!$A$1:$I$89,5,0)</f>
        <v>331.71059999999994</v>
      </c>
      <c r="CA51" s="13">
        <f t="shared" si="39"/>
        <v>77.784851407016433</v>
      </c>
      <c r="CB51" s="20">
        <f t="shared" si="10"/>
        <v>713.20457786722011</v>
      </c>
      <c r="CC51" s="59">
        <f t="shared" si="11"/>
        <v>1006.5379112005535</v>
      </c>
      <c r="CD51" s="59">
        <f ca="1">AVERAGE(OFFSET($CC$3,0,0,'Données projet'!$E$12+1,1))-AVERAGE(OFFSET($H$3,0,0,'Données projet'!$E$12+1,1))</f>
        <v>443.34220761968419</v>
      </c>
      <c r="CE51" s="59">
        <f t="shared" si="40"/>
        <v>546.58234447298014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27.058684654238714</v>
      </c>
      <c r="CL51" s="21">
        <f>EXP(-LN(2)/25)*CL50+(1-EXP(-LN(2)/25))/(LN(2)/25)*Calculateur!CG51*Calculateur!CI51*VLOOKUP('Données projet'!$B$12,Paramètres!$A$1:$I$89,3,0)*0.475*44/12</f>
        <v>37.197517151717229</v>
      </c>
      <c r="CM51" s="21">
        <f>EXP(-LN(2)/2)*CM50+(1-EXP(-LN(2)/2))/(LN(2)/2)*CG51*CJ51*VLOOKUP('Données projet'!$B$12,Paramètres!$A$1:$I$89,3,0)*0.475*44/12</f>
        <v>4.0326296669768356</v>
      </c>
      <c r="CN51" s="22">
        <f t="shared" si="12"/>
        <v>68.28883147293277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>
        <f>VLOOKUP(A51,'Données projet'!$A$139:$I$159,2,0)</f>
        <v>252</v>
      </c>
      <c r="CR51" s="12">
        <f>VLOOKUP(A51,'Données projet'!$A$139:$I$159,9,0)</f>
        <v>10.666666666666666</v>
      </c>
      <c r="CS51" s="12">
        <f t="array" ref="CS51">INDEX(CR:CR,MIN(IF(ISNUMBER(CR51:CR247),ROW(CR51:CR247),"")))</f>
        <v>10.666666666666666</v>
      </c>
      <c r="CT51" s="12">
        <f>IF('Données projet'!$A$140&gt;35,CT50+CS51-DB50,IF(A51&lt;'Données projet'!$A$140,$CQ$205^A51,IF(A51='Données projet'!$A$140,'Données projet'!$B$140,CT50+CS51-DB50)))</f>
        <v>251.99999999999997</v>
      </c>
      <c r="CU51" s="17">
        <f>CT51*VLOOKUP('Données projet'!$B$13,Paramètres!$A$1:$I$89,3,0)*VLOOKUP('Données projet'!$B$13,Paramètres!$A$1:$I$89,5,0)</f>
        <v>137.59199999999998</v>
      </c>
      <c r="CV51" s="13">
        <f t="shared" si="41"/>
        <v>35.744810729505772</v>
      </c>
      <c r="CW51" s="20">
        <f t="shared" si="13"/>
        <v>301.89494535388923</v>
      </c>
      <c r="CX51" s="59">
        <f t="shared" si="14"/>
        <v>595.22827868722254</v>
      </c>
      <c r="CY51" s="59">
        <f ca="1">AVERAGE(OFFSET($CX$3,0,0,'Données projet'!$E$13+1,1))-AVERAGE(OFFSET($H$3,0,0,'Données projet'!$E$13+1,1))</f>
        <v>214.22606988805535</v>
      </c>
      <c r="CZ51" s="59">
        <f t="shared" si="42"/>
        <v>305.78163836959078</v>
      </c>
      <c r="DA51" s="15">
        <f>IF(ISNA(VLOOKUP(A51,'Données projet'!$A$139:$I$159,3,0)),0,VLOOKUP(A51,'Données projet'!$A$139:$I$159,3,0))</f>
        <v>7</v>
      </c>
      <c r="DB51" s="15">
        <f>IF(ISNA(VLOOKUP(A51,'Données projet'!$A$139:$I$159,4,0)),0,VLOOKUP(A51,'Données projet'!$A$139:$I$159,4,0))</f>
        <v>65</v>
      </c>
      <c r="DC51" s="16">
        <f>IF(ISNA(VLOOKUP(A51,'Données projet'!$A$139:$I$159,5,0)),0%,VLOOKUP(A51,'Données projet'!$A$139:$I$159,5,0)*VLOOKUP('Données projet'!$B$13,Paramètres!$A$1:$I$89,7,0))</f>
        <v>0.42</v>
      </c>
      <c r="DD51" s="16">
        <f>IF(ISNA(VLOOKUP(A51,'Données projet'!$A$139:$I$159,6,0)),0%,VLOOKUP(A51,'Données projet'!$A$139:$I$159,6,0)*VLOOKUP('Données projet'!$B$13,Paramètres!$A$1:$I$89,7,0))</f>
        <v>0.12</v>
      </c>
      <c r="DE51" s="16">
        <f>IF(ISNA(VLOOKUP(A51,'Données projet'!$A$139:$I$159,7,0)),0%,VLOOKUP(A51,'Données projet'!$A$139:$I$159,7,0))</f>
        <v>0.1</v>
      </c>
      <c r="DF51" s="21">
        <f>EXP(-LN(2)/35)*DF50+(1-EXP(-LN(2)/35))/(LN(2)/35)*DB51*DC51*VLOOKUP('Données projet'!$B$13,Paramètres!$A$1:$I$89,3,0)*0.475*44/12</f>
        <v>47.009595000999028</v>
      </c>
      <c r="DG51" s="21">
        <f>EXP(-LN(2)/25)*DG50+(1-EXP(-LN(2)/25))/(LN(2)/25)*Calculateur!DB51*Calculateur!DD51*VLOOKUP('Données projet'!$B$13,Paramètres!$A$1:$I$89,3,0)*0.475*44/12</f>
        <v>31.209932646796798</v>
      </c>
      <c r="DH51" s="21">
        <f>EXP(-LN(2)/2)*DH50+(1-EXP(-LN(2)/2))/(LN(2)/2)*DB51*DE51*VLOOKUP('Données projet'!$B$13,Paramètres!$A$1:$I$89,3,0)*0.475*44/12</f>
        <v>5.2614934427235527</v>
      </c>
      <c r="DI51" s="22">
        <f t="shared" si="15"/>
        <v>83.481021090519377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7.2</v>
      </c>
      <c r="DO51" s="12">
        <f>IF('Données projet'!$A$166&gt;35,DO50+DN51-DW50,IF(A51&lt;'Données projet'!$A$166,$DL$205^A51,IF(A51='Données projet'!$A$166,'Données projet'!$B$166,DO50+DN51-DW50)))</f>
        <v>204.59999999999991</v>
      </c>
      <c r="DP51" s="17">
        <f>DO51*VLOOKUP('Données projet'!$B$14,Paramètres!$A$1:$I$89,3,0)*VLOOKUP('Données projet'!$B$14,Paramètres!$A$1:$I$89,5,0)</f>
        <v>165.97151999999994</v>
      </c>
      <c r="DQ51" s="13">
        <f t="shared" si="43"/>
        <v>42.186522619819392</v>
      </c>
      <c r="DR51" s="20">
        <f t="shared" si="16"/>
        <v>362.54192422951866</v>
      </c>
      <c r="DS51" s="59">
        <f t="shared" si="17"/>
        <v>655.87525756285197</v>
      </c>
      <c r="DT51" s="59">
        <f ca="1">AVERAGE(OFFSET($DS$3,0,0,'Données projet'!$E$14+1,1))-AVERAGE(OFFSET($H$3,0,0,'Données projet'!$E$14+1,1))</f>
        <v>304.26232113495314</v>
      </c>
      <c r="DU51" s="59">
        <f t="shared" si="44"/>
        <v>297.47246687305056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4.0917179576812028</v>
      </c>
      <c r="EB51" s="21">
        <f>EXP(-LN(2)/25)*EB50+(1-EXP(-LN(2)/25))/(LN(2)/25)*Calculateur!DW51*Calculateur!DY51*VLOOKUP('Données projet'!$B$14,Paramètres!$A$1:$I$89,3,0)*0.475*44/12</f>
        <v>7.0206280174925881</v>
      </c>
      <c r="EC51" s="21">
        <f>EXP(-LN(2)/2)*EC50+(1-EXP(-LN(2)/2))/(LN(2)/2)*DW51*DZ51*VLOOKUP('Données projet'!$B$14,Paramètres!$A$1:$I$89,3,0)*0.475*44/12</f>
        <v>2.8778731156273945</v>
      </c>
      <c r="ED51" s="22">
        <f t="shared" si="18"/>
        <v>13.990219090801187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7.2</v>
      </c>
      <c r="EJ51" s="12">
        <f>IF('Données projet'!$A$192&gt;35,EJ50+EI51-ER50,IF(A51&lt;'Données projet'!$A$192,$EG$205^A51,IF(A51='Données projet'!$A$192,'Données projet'!$B$192,EJ50+EI51-ER50)))</f>
        <v>204.59999999999991</v>
      </c>
      <c r="EK51" s="17">
        <f>EJ51*VLOOKUP('Données projet'!$B$15,Paramètres!$A$1:$I$89,3,0)*VLOOKUP('Données projet'!$B$15,Paramètres!$A$1:$I$89,5,0)</f>
        <v>197.88911999999993</v>
      </c>
      <c r="EL51" s="13">
        <f t="shared" si="45"/>
        <v>49.279974103179534</v>
      </c>
      <c r="EM51" s="20">
        <f t="shared" si="19"/>
        <v>430.48617222970421</v>
      </c>
      <c r="EN51" s="59">
        <f t="shared" si="20"/>
        <v>723.81950556303752</v>
      </c>
      <c r="EO51" s="59">
        <f ca="1">AVERAGE(OFFSET($EN$3,0,0,'Données projet'!$E$15+1,1))-AVERAGE(OFFSET($H$3,0,0,'Données projet'!$E$15+1,1))</f>
        <v>355.72173590705142</v>
      </c>
      <c r="EP51" s="59">
        <f t="shared" si="46"/>
        <v>346.30980704469363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3.9580987210370409</v>
      </c>
      <c r="EW51" s="21">
        <f>EXP(-LN(2)/25)*EW50+(1-EXP(-LN(2)/25))/(LN(2)/25)*Calculateur!ER51*Calculateur!ET51*VLOOKUP('Données projet'!$B$15,Paramètres!$A$1:$I$89,3,0)*0.475*44/12</f>
        <v>6.7913622259198974</v>
      </c>
      <c r="EX51" s="21">
        <f>EXP(-LN(2)/2)*EX50+(1-EXP(-LN(2)/2))/(LN(2)/2)*ER51*EU51*VLOOKUP('Données projet'!$B$15,Paramètres!$A$1:$I$89,3,0)*0.475*44/12</f>
        <v>3.4313102532480477</v>
      </c>
      <c r="EY51" s="22">
        <f t="shared" si="21"/>
        <v>14.180771200204987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7.2</v>
      </c>
      <c r="FE51" s="12">
        <f>IF('Données projet'!$A$218&gt;35,FE50+FD51-FM50,IF(A51&lt;'Données projet'!$A$218,$FB$205^A51,IF(A51='Données projet'!$A$218,'Données projet'!$B$218,FE50+FD51-FM50)))</f>
        <v>204.59999999999991</v>
      </c>
      <c r="FF51" s="17">
        <f>FE51*VLOOKUP('Données projet'!$B$16,Paramètres!$A$1:$I$89,3,0)*VLOOKUP('Données projet'!$B$16,Paramètres!$A$1:$I$89,5,0)</f>
        <v>150.01271999999992</v>
      </c>
      <c r="FG51" s="13">
        <f t="shared" si="47"/>
        <v>38.581476272231626</v>
      </c>
      <c r="FH51" s="20">
        <f t="shared" si="22"/>
        <v>328.46822517413659</v>
      </c>
      <c r="FI51" s="59">
        <f t="shared" si="23"/>
        <v>621.80155850746996</v>
      </c>
      <c r="FJ51" s="59">
        <f ca="1">AVERAGE(OFFSET($FI$3,0,0,'Données projet'!$E$16+1,1))-AVERAGE(OFFSET($H$3,0,0,'Données projet'!$E$16+1,1))</f>
        <v>278.45534008146865</v>
      </c>
      <c r="FK51" s="59">
        <f t="shared" si="48"/>
        <v>272.97841038165217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3.000494191753885</v>
      </c>
      <c r="FR51" s="21">
        <f>EXP(-LN(2)/25)*FR50+(1-EXP(-LN(2)/25))/(LN(2)/25)*Calculateur!FM51*Calculateur!FO51*VLOOKUP('Données projet'!$B$16,Paramètres!$A$1:$I$89,3,0)*0.475*44/12</f>
        <v>5.148290719648954</v>
      </c>
      <c r="FS51" s="21">
        <f>EXP(-LN(2)/2)*FS50+(1-EXP(-LN(2)/2))/(LN(2)/2)*FM51*FP51*VLOOKUP('Données projet'!$B$16,Paramètres!$A$1:$I$89,3,0)*0.475*44/12</f>
        <v>2.6011545468170678</v>
      </c>
      <c r="FT51" s="22">
        <f t="shared" si="24"/>
        <v>10.749939458219906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6.875</v>
      </c>
      <c r="N52" s="13">
        <f>IF('Données projet'!$A$36&gt;35,N51+M52-V51,IF(A52&lt;'Données projet'!$A$36,$K$205^A52,IF(A52='Données projet'!$A$36,'Données projet'!$B$36,N51+M52-V51)))</f>
        <v>144.125</v>
      </c>
      <c r="O52" s="13">
        <f>N52*VLOOKUP('Données projet'!$B$9,Paramètres!$A$1:$I$89,3,0)*VLOOKUP('Données projet'!$B$9,Paramètres!$A$1:$I$89,5,0)</f>
        <v>130.40430000000001</v>
      </c>
      <c r="P52" s="13">
        <f t="shared" si="33"/>
        <v>34.089764301804081</v>
      </c>
      <c r="Q52" s="20">
        <f t="shared" si="53"/>
        <v>286.49382865897542</v>
      </c>
      <c r="R52" s="59">
        <f t="shared" si="0"/>
        <v>579.82716199230867</v>
      </c>
      <c r="S52" s="59">
        <f ca="1">AVERAGE(OFFSET($R$3,0,0,'Données projet'!$E$9+1,1))-AVERAGE(OFFSET($H$3,0,0,'Données projet'!$E$9+1,1))</f>
        <v>436.03161778768742</v>
      </c>
      <c r="T52" s="59">
        <f t="shared" si="34"/>
        <v>217.65884352525285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6.875</v>
      </c>
      <c r="AI52" s="13">
        <f>IF('Données projet'!$A$62&gt;35,AI51+AH52-AQ51,IF(A52&lt;'Données projet'!$A$62,$AF$205^A52,IF(A52='Données projet'!$A$62,'Données projet'!$B$62,AI51+AH52-AQ51)))</f>
        <v>144.125</v>
      </c>
      <c r="AJ52" s="13">
        <f>AI52*VLOOKUP('Données projet'!$B$10,Paramètres!$A$1:$I$89,3,0)*VLOOKUP('Données projet'!$B$10,Paramètres!$A$1:$I$89,5,0)</f>
        <v>146.14275000000001</v>
      </c>
      <c r="AK52" s="13">
        <f t="shared" si="35"/>
        <v>37.700687097612942</v>
      </c>
      <c r="AL52" s="20">
        <f t="shared" si="4"/>
        <v>320.19398627834249</v>
      </c>
      <c r="AM52" s="59">
        <f t="shared" si="5"/>
        <v>613.52731961167581</v>
      </c>
      <c r="AN52" s="59">
        <f ca="1">AVERAGE(OFFSET($AM$3,0,0,'Données projet'!$E$10+1,1))-AVERAGE(OFFSET($H$3,0,0,'Données projet'!$E$10+1,1))</f>
        <v>483.45320081988984</v>
      </c>
      <c r="AO52" s="59">
        <f t="shared" si="36"/>
        <v>238.92443174298893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5.7</v>
      </c>
      <c r="BD52" s="12">
        <f>IF('Données projet'!$A$88&gt;35,BD51+BC52-BL51,IF(A52&lt;'Données projet'!$A$88,$BA$205^A52,IF(A52='Données projet'!$A$88,'Données projet'!$B$88,BD51+BC52-BL51)))</f>
        <v>225.3</v>
      </c>
      <c r="BE52" s="13">
        <f>BD52*VLOOKUP('Données projet'!$B$11,Paramètres!$A$1:$I$89,3,0)*VLOOKUP('Données projet'!$B$11,Paramètres!$A$1:$I$89,5,0)</f>
        <v>196.82208000000003</v>
      </c>
      <c r="BF52" s="13">
        <f t="shared" si="37"/>
        <v>49.045107371453518</v>
      </c>
      <c r="BG52" s="20">
        <f t="shared" si="7"/>
        <v>428.21868467194827</v>
      </c>
      <c r="BH52" s="59">
        <f t="shared" si="8"/>
        <v>721.55201800528152</v>
      </c>
      <c r="BI52" s="59">
        <f ca="1">AVERAGE(OFFSET($BH$3,0,0,'Données projet'!$E$11+1,1))-AVERAGE(OFFSET($H$3,0,0,'Données projet'!$E$11+1,1))</f>
        <v>310.44153296396854</v>
      </c>
      <c r="BJ52" s="59">
        <f t="shared" si="38"/>
        <v>388.05195847800502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2.7102857447697319</v>
      </c>
      <c r="BQ52" s="21">
        <f>EXP(-LN(2)/25)*BQ51+(1-EXP(-LN(2)/25))/(LN(2)/25)*Calculateur!BL52*Calculateur!BN52*VLOOKUP('Données projet'!$B$11,Paramètres!$A$1:$I$89,3,0)*0.475*44/12</f>
        <v>3.7707687261782685</v>
      </c>
      <c r="BR52" s="21">
        <f>EXP(-LN(2)/2)*BR51+(1-EXP(-LN(2)/2))/(LN(2)/2)*BL52*BO52*VLOOKUP('Données projet'!$B$11,Paramètres!$A$1:$I$89,3,0)*0.475*44/12</f>
        <v>0.42620427326180599</v>
      </c>
      <c r="BS52" s="22">
        <f t="shared" si="9"/>
        <v>6.9072587442098072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17.8</v>
      </c>
      <c r="BY52" s="12">
        <f>IF('Données projet'!$A$114&gt;35,BY51+BX52-CG51,IF(A52&lt;'Données projet'!$A$114,$BV$205^A52,IF(A52='Données projet'!$A$114,'Données projet'!$B$114,BY51+BX52-CG51)))</f>
        <v>611.19999999999982</v>
      </c>
      <c r="BZ52" s="13">
        <f>BY52*VLOOKUP('Données projet'!$B$12,Paramètres!$A$1:$I$89,3,0)*VLOOKUP('Données projet'!$B$12,Paramètres!$A$1:$I$89,5,0)</f>
        <v>341.66079999999988</v>
      </c>
      <c r="CA52" s="13">
        <f t="shared" si="39"/>
        <v>79.842980844864144</v>
      </c>
      <c r="CB52" s="20">
        <f t="shared" si="10"/>
        <v>734.11908497147158</v>
      </c>
      <c r="CC52" s="59">
        <f t="shared" si="11"/>
        <v>1027.452418304805</v>
      </c>
      <c r="CD52" s="59">
        <f ca="1">AVERAGE(OFFSET($CC$3,0,0,'Données projet'!$E$12+1,1))-AVERAGE(OFFSET($H$3,0,0,'Données projet'!$E$12+1,1))</f>
        <v>443.34220761968419</v>
      </c>
      <c r="CE52" s="59">
        <f t="shared" si="40"/>
        <v>546.58234447298014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26.528080352337081</v>
      </c>
      <c r="CL52" s="21">
        <f>EXP(-LN(2)/25)*CL51+(1-EXP(-LN(2)/25))/(LN(2)/25)*Calculateur!CG52*Calculateur!CI52*VLOOKUP('Données projet'!$B$12,Paramètres!$A$1:$I$89,3,0)*0.475*44/12</f>
        <v>36.180349089071107</v>
      </c>
      <c r="CM52" s="21">
        <f>EXP(-LN(2)/2)*CM51+(1-EXP(-LN(2)/2))/(LN(2)/2)*CG52*CJ52*VLOOKUP('Données projet'!$B$12,Paramètres!$A$1:$I$89,3,0)*0.475*44/12</f>
        <v>2.8514997835333693</v>
      </c>
      <c r="CN52" s="22">
        <f t="shared" si="12"/>
        <v>65.559929224941556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9.75</v>
      </c>
      <c r="CT52" s="12">
        <f>IF('Données projet'!$A$140&gt;35,CT51+CS52-DB51,IF(A52&lt;'Données projet'!$A$140,$CQ$205^A52,IF(A52='Données projet'!$A$140,'Données projet'!$B$140,CT51+CS52-DB51)))</f>
        <v>196.75</v>
      </c>
      <c r="CU52" s="17">
        <f>CT52*VLOOKUP('Données projet'!$B$13,Paramètres!$A$1:$I$89,3,0)*VLOOKUP('Données projet'!$B$13,Paramètres!$A$1:$I$89,5,0)</f>
        <v>107.42549999999999</v>
      </c>
      <c r="CV52" s="13">
        <f t="shared" si="41"/>
        <v>28.723578766421284</v>
      </c>
      <c r="CW52" s="20">
        <f t="shared" si="13"/>
        <v>237.12631218485038</v>
      </c>
      <c r="CX52" s="59">
        <f t="shared" si="14"/>
        <v>530.45964551818372</v>
      </c>
      <c r="CY52" s="59">
        <f ca="1">AVERAGE(OFFSET($CX$3,0,0,'Données projet'!$E$13+1,1))-AVERAGE(OFFSET($H$3,0,0,'Données projet'!$E$13+1,1))</f>
        <v>214.22606988805535</v>
      </c>
      <c r="CZ52" s="59">
        <f t="shared" si="42"/>
        <v>305.78163836959078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46.087765516051164</v>
      </c>
      <c r="DG52" s="21">
        <f>EXP(-LN(2)/25)*DG51+(1-EXP(-LN(2)/25))/(LN(2)/25)*Calculateur!DB52*Calculateur!DD52*VLOOKUP('Données projet'!$B$13,Paramètres!$A$1:$I$89,3,0)*0.475*44/12</f>
        <v>30.356495397311111</v>
      </c>
      <c r="DH52" s="21">
        <f>EXP(-LN(2)/2)*DH51+(1-EXP(-LN(2)/2))/(LN(2)/2)*DB52*DE52*VLOOKUP('Données projet'!$B$13,Paramètres!$A$1:$I$89,3,0)*0.475*44/12</f>
        <v>3.7204376925183782</v>
      </c>
      <c r="DI52" s="22">
        <f t="shared" si="15"/>
        <v>80.164698605880645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7.2</v>
      </c>
      <c r="DO52" s="12">
        <f>IF('Données projet'!$A$166&gt;35,DO51+DN52-DW51,IF(A52&lt;'Données projet'!$A$166,$DL$205^A52,IF(A52='Données projet'!$A$166,'Données projet'!$B$166,DO51+DN52-DW51)))</f>
        <v>211.7999999999999</v>
      </c>
      <c r="DP52" s="17">
        <f>DO52*VLOOKUP('Données projet'!$B$14,Paramètres!$A$1:$I$89,3,0)*VLOOKUP('Données projet'!$B$14,Paramètres!$A$1:$I$89,5,0)</f>
        <v>171.81215999999992</v>
      </c>
      <c r="DQ52" s="13">
        <f t="shared" si="43"/>
        <v>43.49563633881931</v>
      </c>
      <c r="DR52" s="20">
        <f t="shared" si="16"/>
        <v>374.99441195677679</v>
      </c>
      <c r="DS52" s="59">
        <f t="shared" si="17"/>
        <v>668.3277452901101</v>
      </c>
      <c r="DT52" s="59">
        <f ca="1">AVERAGE(OFFSET($DS$3,0,0,'Données projet'!$E$14+1,1))-AVERAGE(OFFSET($H$3,0,0,'Données projet'!$E$14+1,1))</f>
        <v>304.26232113495314</v>
      </c>
      <c r="DU52" s="59">
        <f t="shared" si="44"/>
        <v>297.47246687305056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4.0114818642325982</v>
      </c>
      <c r="EB52" s="21">
        <f>EXP(-LN(2)/25)*EB51+(1-EXP(-LN(2)/25))/(LN(2)/25)*Calculateur!DW52*Calculateur!DY52*VLOOKUP('Données projet'!$B$14,Paramètres!$A$1:$I$89,3,0)*0.475*44/12</f>
        <v>6.828648575155472</v>
      </c>
      <c r="EC52" s="21">
        <f>EXP(-LN(2)/2)*EC51+(1-EXP(-LN(2)/2))/(LN(2)/2)*DW52*DZ52*VLOOKUP('Données projet'!$B$14,Paramètres!$A$1:$I$89,3,0)*0.475*44/12</f>
        <v>2.0349635954545877</v>
      </c>
      <c r="ED52" s="22">
        <f t="shared" si="18"/>
        <v>12.875094034842657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7.2</v>
      </c>
      <c r="EJ52" s="12">
        <f>IF('Données projet'!$A$192&gt;35,EJ51+EI52-ER51,IF(A52&lt;'Données projet'!$A$192,$EG$205^A52,IF(A52='Données projet'!$A$192,'Données projet'!$B$192,EJ51+EI52-ER51)))</f>
        <v>211.7999999999999</v>
      </c>
      <c r="EK52" s="17">
        <f>EJ52*VLOOKUP('Données projet'!$B$15,Paramètres!$A$1:$I$89,3,0)*VLOOKUP('Données projet'!$B$15,Paramètres!$A$1:$I$89,5,0)</f>
        <v>204.85295999999991</v>
      </c>
      <c r="EL52" s="13">
        <f t="shared" si="45"/>
        <v>50.809208706178609</v>
      </c>
      <c r="EM52" s="20">
        <f t="shared" si="19"/>
        <v>445.27827716326095</v>
      </c>
      <c r="EN52" s="59">
        <f t="shared" si="20"/>
        <v>738.61161049659427</v>
      </c>
      <c r="EO52" s="59">
        <f ca="1">AVERAGE(OFFSET($EN$3,0,0,'Données projet'!$E$15+1,1))-AVERAGE(OFFSET($H$3,0,0,'Données projet'!$E$15+1,1))</f>
        <v>355.72173590705142</v>
      </c>
      <c r="EP52" s="59">
        <f t="shared" si="46"/>
        <v>346.30980704469363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3.8804828193193415</v>
      </c>
      <c r="EW52" s="21">
        <f>EXP(-LN(2)/25)*EW51+(1-EXP(-LN(2)/25))/(LN(2)/25)*Calculateur!ER52*Calculateur!ET52*VLOOKUP('Données projet'!$B$15,Paramètres!$A$1:$I$89,3,0)*0.475*44/12</f>
        <v>6.6056520687099001</v>
      </c>
      <c r="EX52" s="21">
        <f>EXP(-LN(2)/2)*EX51+(1-EXP(-LN(2)/2))/(LN(2)/2)*ER52*EU52*VLOOKUP('Données projet'!$B$15,Paramètres!$A$1:$I$89,3,0)*0.475*44/12</f>
        <v>2.4263027484266244</v>
      </c>
      <c r="EY52" s="22">
        <f t="shared" si="21"/>
        <v>12.912437636455866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7.2</v>
      </c>
      <c r="FE52" s="12">
        <f>IF('Données projet'!$A$218&gt;35,FE51+FD52-FM51,IF(A52&lt;'Données projet'!$A$218,$FB$205^A52,IF(A52='Données projet'!$A$218,'Données projet'!$B$218,FE51+FD52-FM51)))</f>
        <v>211.7999999999999</v>
      </c>
      <c r="FF52" s="17">
        <f>FE52*VLOOKUP('Données projet'!$B$16,Paramètres!$A$1:$I$89,3,0)*VLOOKUP('Données projet'!$B$16,Paramètres!$A$1:$I$89,5,0)</f>
        <v>155.29175999999993</v>
      </c>
      <c r="FG52" s="13">
        <f t="shared" si="47"/>
        <v>39.778719769696814</v>
      </c>
      <c r="FH52" s="20">
        <f t="shared" si="22"/>
        <v>339.74775226555511</v>
      </c>
      <c r="FI52" s="59">
        <f t="shared" si="23"/>
        <v>633.08108559888842</v>
      </c>
      <c r="FJ52" s="59">
        <f ca="1">AVERAGE(OFFSET($FI$3,0,0,'Données projet'!$E$16+1,1))-AVERAGE(OFFSET($H$3,0,0,'Données projet'!$E$16+1,1))</f>
        <v>278.45534008146865</v>
      </c>
      <c r="FK52" s="59">
        <f t="shared" si="48"/>
        <v>272.97841038165217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2.9416563307743391</v>
      </c>
      <c r="FR52" s="21">
        <f>EXP(-LN(2)/25)*FR51+(1-EXP(-LN(2)/25))/(LN(2)/25)*Calculateur!FM52*Calculateur!FO52*VLOOKUP('Données projet'!$B$16,Paramètres!$A$1:$I$89,3,0)*0.475*44/12</f>
        <v>5.007510439183311</v>
      </c>
      <c r="FS52" s="21">
        <f>EXP(-LN(2)/2)*FS51+(1-EXP(-LN(2)/2))/(LN(2)/2)*FM52*FP52*VLOOKUP('Données projet'!$B$16,Paramètres!$A$1:$I$89,3,0)*0.475*44/12</f>
        <v>1.8392940189685696</v>
      </c>
      <c r="FT52" s="22">
        <f t="shared" si="24"/>
        <v>9.7884607889262192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151</v>
      </c>
      <c r="L53" s="12">
        <f>VLOOKUP(A53,'Données projet'!$A$35:$I$55,9,0)</f>
        <v>6.875</v>
      </c>
      <c r="M53" s="12">
        <f t="array" ref="M53">INDEX(L:L,MIN(IF(ISNUMBER(L53:L249),ROW(L53:L249),"")))</f>
        <v>6.875</v>
      </c>
      <c r="N53" s="13">
        <f>IF('Données projet'!$A$36&gt;35,N52+M53-V52,IF(A53&lt;'Données projet'!$A$36,$K$205^A53,IF(A53='Données projet'!$A$36,'Données projet'!$B$36,N52+M53-V52)))</f>
        <v>151</v>
      </c>
      <c r="O53" s="13">
        <f>N53*VLOOKUP('Données projet'!$B$9,Paramètres!$A$1:$I$89,3,0)*VLOOKUP('Données projet'!$B$9,Paramètres!$A$1:$I$89,5,0)</f>
        <v>136.62479999999999</v>
      </c>
      <c r="P53" s="13">
        <f t="shared" si="33"/>
        <v>35.522699804888632</v>
      </c>
      <c r="Q53" s="20">
        <f t="shared" si="53"/>
        <v>299.82356216018104</v>
      </c>
      <c r="R53" s="59">
        <f t="shared" si="0"/>
        <v>593.15689549351441</v>
      </c>
      <c r="S53" s="59">
        <f ca="1">AVERAGE(OFFSET($R$3,0,0,'Données projet'!$E$9+1,1))-AVERAGE(OFFSET($H$3,0,0,'Données projet'!$E$9+1,1))</f>
        <v>436.03161778768742</v>
      </c>
      <c r="T53" s="59">
        <f t="shared" si="34"/>
        <v>217.65884352525285</v>
      </c>
      <c r="U53" s="15">
        <f>IF(ISNA(VLOOKUP(A53,'Données projet'!$A$35:$I$55,3,0)),0,VLOOKUP(A53,'Données projet'!$A$35:$I$55,3,0))</f>
        <v>2</v>
      </c>
      <c r="V53" s="15">
        <f>IF(ISNA(VLOOKUP(A53,'Données projet'!$A$35:$I$55,4,0)),0,VLOOKUP(A53,'Données projet'!$A$35:$I$55,4,0))</f>
        <v>35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0.215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7.4970921404928808</v>
      </c>
      <c r="AB53" s="21">
        <f>EXP(-LN(2)/2)*AB52+(1-EXP(-LN(2)/2))/(LN(2)/2)*V53*Y53*VLOOKUP('Données projet'!$B$9,Paramètres!$A$1:$I$89,3,0)*0.475*44/12</f>
        <v>0</v>
      </c>
      <c r="AC53" s="22">
        <f t="shared" si="3"/>
        <v>7.4970921404928808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151</v>
      </c>
      <c r="AG53" s="12">
        <f>VLOOKUP(A53,'Données projet'!$A$61:$I$81,9,0)</f>
        <v>6.875</v>
      </c>
      <c r="AH53" s="12">
        <f t="array" ref="AH53">INDEX(AG:AG,MIN(IF(ISNUMBER(AG53:AG249),ROW(AG53:AG249),"")))</f>
        <v>6.875</v>
      </c>
      <c r="AI53" s="13">
        <f>IF('Données projet'!$A$62&gt;35,AI52+AH53-AQ52,IF(A53&lt;'Données projet'!$A$62,$AF$205^A53,IF(A53='Données projet'!$A$62,'Données projet'!$B$62,AI52+AH53-AQ52)))</f>
        <v>151</v>
      </c>
      <c r="AJ53" s="13">
        <f>AI53*VLOOKUP('Données projet'!$B$10,Paramètres!$A$1:$I$89,3,0)*VLOOKUP('Données projet'!$B$10,Paramètres!$A$1:$I$89,5,0)</f>
        <v>153.114</v>
      </c>
      <c r="AK53" s="13">
        <f t="shared" si="35"/>
        <v>39.285404802158418</v>
      </c>
      <c r="AL53" s="20">
        <f t="shared" si="4"/>
        <v>335.09563003042587</v>
      </c>
      <c r="AM53" s="59">
        <f t="shared" si="5"/>
        <v>628.42896336375918</v>
      </c>
      <c r="AN53" s="59">
        <f ca="1">AVERAGE(OFFSET($AM$3,0,0,'Données projet'!$E$10+1,1))-AVERAGE(OFFSET($H$3,0,0,'Données projet'!$E$10+1,1))</f>
        <v>483.45320081988984</v>
      </c>
      <c r="AO53" s="59">
        <f t="shared" si="36"/>
        <v>238.92443174298893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35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0.215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8.401913605724781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8.401913605724781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231</v>
      </c>
      <c r="BB53" s="12">
        <f>VLOOKUP(A53,'Données projet'!$A$87:$I$107,9,0)</f>
        <v>5.7</v>
      </c>
      <c r="BC53" s="12">
        <f t="array" ref="BC53">INDEX(BB:BB,MIN(IF(ISNUMBER(BB53:BB249),ROW(BB53:BB249),"")))</f>
        <v>5.7</v>
      </c>
      <c r="BD53" s="12">
        <f>IF('Données projet'!$A$88&gt;35,BD52+BC53-BL52,IF(A53&lt;'Données projet'!$A$88,$BA$205^A53,IF(A53='Données projet'!$A$88,'Données projet'!$B$88,BD52+BC53-BL52)))</f>
        <v>231</v>
      </c>
      <c r="BE53" s="13">
        <f>BD53*VLOOKUP('Données projet'!$B$11,Paramètres!$A$1:$I$89,3,0)*VLOOKUP('Données projet'!$B$11,Paramètres!$A$1:$I$89,5,0)</f>
        <v>201.80160000000004</v>
      </c>
      <c r="BF53" s="13">
        <f t="shared" si="37"/>
        <v>50.139897992681668</v>
      </c>
      <c r="BG53" s="20">
        <f t="shared" si="7"/>
        <v>438.79810900392067</v>
      </c>
      <c r="BH53" s="59">
        <f t="shared" si="8"/>
        <v>732.13144233725393</v>
      </c>
      <c r="BI53" s="59">
        <f ca="1">AVERAGE(OFFSET($BH$3,0,0,'Données projet'!$E$11+1,1))-AVERAGE(OFFSET($H$3,0,0,'Données projet'!$E$11+1,1))</f>
        <v>310.44153296396854</v>
      </c>
      <c r="BJ53" s="59">
        <f t="shared" si="38"/>
        <v>388.05195847800502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33</v>
      </c>
      <c r="BM53" s="16">
        <f>IF(ISNA(VLOOKUP(A53,'Données projet'!$A$87:$I$107,5,0)),0%,VLOOKUP(A53,'Données projet'!$A$87:$I$107,5,0)*VLOOKUP('Données projet'!$B$11,Paramètres!$A$1:$I$89,7,0))</f>
        <v>0.129</v>
      </c>
      <c r="BN53" s="16">
        <f>IF(ISNA(VLOOKUP(A53,'Données projet'!$A$87:$I$107,6,0)),0%,VLOOKUP(A53,'Données projet'!$A$87:$I$107,6,0)*VLOOKUP('Données projet'!$B$11,Paramètres!$A$1:$I$89,7,0))</f>
        <v>8.6000000000000007E-2</v>
      </c>
      <c r="BO53" s="16">
        <f>IF(ISNA(VLOOKUP(A53,'Données projet'!$A$87:$I$107,7,0)),0%,VLOOKUP(A53,'Données projet'!$A$87:$I$107,7,0))</f>
        <v>0.3</v>
      </c>
      <c r="BP53" s="21">
        <f>EXP(-LN(2)/35)*BP52+(1-EXP(-LN(2)/35))/(LN(2)/35)*BL53*BM53*VLOOKUP('Données projet'!$B$11,Paramètres!$A$1:$I$89,3,0)*0.475*44/12</f>
        <v>6.7682892920207287</v>
      </c>
      <c r="BQ53" s="21">
        <f>EXP(-LN(2)/25)*BQ52+(1-EXP(-LN(2)/25))/(LN(2)/25)*Calculateur!BL53*Calculateur!BN53*VLOOKUP('Données projet'!$B$11,Paramètres!$A$1:$I$89,3,0)*0.475*44/12</f>
        <v>6.3976324778787745</v>
      </c>
      <c r="BR53" s="21">
        <f>EXP(-LN(2)/2)*BR52+(1-EXP(-LN(2)/2))/(LN(2)/2)*BL53*BO53*VLOOKUP('Données projet'!$B$11,Paramètres!$A$1:$I$89,3,0)*0.475*44/12</f>
        <v>8.4615965465268541</v>
      </c>
      <c r="BS53" s="22">
        <f t="shared" si="9"/>
        <v>21.627518316426357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629</v>
      </c>
      <c r="BW53" s="12">
        <f>VLOOKUP(A53,'Données projet'!$A$113:$I$133,9,0)</f>
        <v>17.8</v>
      </c>
      <c r="BX53" s="12">
        <f t="array" ref="BX53">INDEX(BW:BW,MIN(IF(ISNUMBER(BW53:BW249),ROW(BW53:BW249),"")))</f>
        <v>17.8</v>
      </c>
      <c r="BY53" s="12">
        <f>IF('Données projet'!$A$114&gt;35,BY52+BX53-CG52,IF(A53&lt;'Données projet'!$A$114,$BV$205^A53,IF(A53='Données projet'!$A$114,'Données projet'!$B$114,BY52+BX53-CG52)))</f>
        <v>628.99999999999977</v>
      </c>
      <c r="BZ53" s="13">
        <f>BY53*VLOOKUP('Données projet'!$B$12,Paramètres!$A$1:$I$89,3,0)*VLOOKUP('Données projet'!$B$12,Paramètres!$A$1:$I$89,5,0)</f>
        <v>351.61099999999988</v>
      </c>
      <c r="CA53" s="13">
        <f t="shared" si="39"/>
        <v>81.89414415728541</v>
      </c>
      <c r="CB53" s="20">
        <f t="shared" si="10"/>
        <v>755.02145940727178</v>
      </c>
      <c r="CC53" s="59">
        <f t="shared" si="11"/>
        <v>1048.354792740605</v>
      </c>
      <c r="CD53" s="59">
        <f ca="1">AVERAGE(OFFSET($CC$3,0,0,'Données projet'!$E$12+1,1))-AVERAGE(OFFSET($H$3,0,0,'Données projet'!$E$12+1,1))</f>
        <v>443.34220761968419</v>
      </c>
      <c r="CE53" s="59">
        <f t="shared" si="40"/>
        <v>546.58234447298014</v>
      </c>
      <c r="CF53" s="15">
        <f>IF(ISNA(VLOOKUP(A53,'Données projet'!$A$113:$I$133,3,0)),0,VLOOKUP(A53,'Données projet'!$A$113:$I$133,3,0))</f>
        <v>6</v>
      </c>
      <c r="CG53" s="15">
        <f>IF(ISNA(VLOOKUP(A53,'Données projet'!$A$113:$I$133,4,0)),0,VLOOKUP(A53,'Données projet'!$A$113:$I$133,4,0))</f>
        <v>48</v>
      </c>
      <c r="CH53" s="16">
        <f>IF(ISNA(VLOOKUP(A53,'Données projet'!$A$113:$I$133,5,0)),0%,VLOOKUP(A53,'Données projet'!$A$113:$I$133,5,0)*VLOOKUP('Données projet'!$B$12,Paramètres!$A$1:$I$89,7,0))</f>
        <v>0.27500000000000002</v>
      </c>
      <c r="CI53" s="16">
        <f>IF(ISNA(VLOOKUP(A53,'Données projet'!$A$113:$I$133,6,0)),0%,VLOOKUP(A53,'Données projet'!$A$113:$I$133,6,0)*VLOOKUP('Données projet'!$B$12,Paramètres!$A$1:$I$89,7,0))</f>
        <v>0.16500000000000001</v>
      </c>
      <c r="CJ53" s="16">
        <f>IF(ISNA(VLOOKUP(A53,'Données projet'!$A$113:$I$133,7,0)),0%,VLOOKUP(A53,'Données projet'!$A$113:$I$133,7,0))</f>
        <v>0.2</v>
      </c>
      <c r="CK53" s="21">
        <f>EXP(-LN(2)/35)*CK52+(1-EXP(-LN(2)/35))/(LN(2)/35)*CG53*CH53*VLOOKUP('Données projet'!$B$12,Paramètres!$A$1:$I$89,3,0)*0.475*44/12</f>
        <v>35.796334680956349</v>
      </c>
      <c r="CL53" s="21">
        <f>EXP(-LN(2)/25)*CL52+(1-EXP(-LN(2)/25))/(LN(2)/25)*Calculateur!CG53*Calculateur!CI53*VLOOKUP('Données projet'!$B$12,Paramètres!$A$1:$I$89,3,0)*0.475*44/12</f>
        <v>41.040943299475643</v>
      </c>
      <c r="CM53" s="21">
        <f>EXP(-LN(2)/2)*CM52+(1-EXP(-LN(2)/2))/(LN(2)/2)*CG53*CJ53*VLOOKUP('Données projet'!$B$12,Paramètres!$A$1:$I$89,3,0)*0.475*44/12</f>
        <v>8.0923262349344451</v>
      </c>
      <c r="CN53" s="22">
        <f t="shared" si="12"/>
        <v>84.929604215366439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9.75</v>
      </c>
      <c r="CT53" s="12">
        <f>IF('Données projet'!$A$140&gt;35,CT52+CS53-DB52,IF(A53&lt;'Données projet'!$A$140,$CQ$205^A53,IF(A53='Données projet'!$A$140,'Données projet'!$B$140,CT52+CS53-DB52)))</f>
        <v>206.5</v>
      </c>
      <c r="CU53" s="17">
        <f>CT53*VLOOKUP('Données projet'!$B$13,Paramètres!$A$1:$I$89,3,0)*VLOOKUP('Données projet'!$B$13,Paramètres!$A$1:$I$89,5,0)</f>
        <v>112.749</v>
      </c>
      <c r="CV53" s="13">
        <f t="shared" si="41"/>
        <v>29.977737020610768</v>
      </c>
      <c r="CW53" s="20">
        <f t="shared" si="13"/>
        <v>248.58240031089704</v>
      </c>
      <c r="CX53" s="59">
        <f t="shared" si="14"/>
        <v>541.91573364423039</v>
      </c>
      <c r="CY53" s="59">
        <f ca="1">AVERAGE(OFFSET($CX$3,0,0,'Données projet'!$E$13+1,1))-AVERAGE(OFFSET($H$3,0,0,'Données projet'!$E$13+1,1))</f>
        <v>214.22606988805535</v>
      </c>
      <c r="CZ53" s="59">
        <f t="shared" si="42"/>
        <v>305.78163836959078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45.184012545042656</v>
      </c>
      <c r="DG53" s="21">
        <f>EXP(-LN(2)/25)*DG52+(1-EXP(-LN(2)/25))/(LN(2)/25)*Calculateur!DB53*Calculateur!DD53*VLOOKUP('Données projet'!$B$13,Paramètres!$A$1:$I$89,3,0)*0.475*44/12</f>
        <v>29.526395434292926</v>
      </c>
      <c r="DH53" s="21">
        <f>EXP(-LN(2)/2)*DH52+(1-EXP(-LN(2)/2))/(LN(2)/2)*DB53*DE53*VLOOKUP('Données projet'!$B$13,Paramètres!$A$1:$I$89,3,0)*0.475*44/12</f>
        <v>2.6307467213617768</v>
      </c>
      <c r="DI53" s="22">
        <f t="shared" si="15"/>
        <v>77.341154700697359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219</v>
      </c>
      <c r="DM53" s="12">
        <f>VLOOKUP(A53,'Données projet'!$A$165:$I$185,9,0)</f>
        <v>7.2</v>
      </c>
      <c r="DN53" s="12">
        <f t="array" ref="DN53">INDEX(DM:DM,MIN(IF(ISNUMBER(DM53:DM249),ROW(DM53:DM249),"")))</f>
        <v>7.2</v>
      </c>
      <c r="DO53" s="12">
        <f>IF('Données projet'!$A$166&gt;35,DO52+DN53-DW52,IF(A53&lt;'Données projet'!$A$166,$DL$205^A53,IF(A53='Données projet'!$A$166,'Données projet'!$B$166,DO52+DN53-DW52)))</f>
        <v>218.99999999999989</v>
      </c>
      <c r="DP53" s="17">
        <f>DO53*VLOOKUP('Données projet'!$B$14,Paramètres!$A$1:$I$89,3,0)*VLOOKUP('Données projet'!$B$14,Paramètres!$A$1:$I$89,5,0)</f>
        <v>177.6527999999999</v>
      </c>
      <c r="DQ53" s="13">
        <f t="shared" si="43"/>
        <v>44.799579155749704</v>
      </c>
      <c r="DR53" s="20">
        <f t="shared" si="16"/>
        <v>387.43789369626387</v>
      </c>
      <c r="DS53" s="59">
        <f t="shared" si="17"/>
        <v>680.77122702959718</v>
      </c>
      <c r="DT53" s="59">
        <f ca="1">AVERAGE(OFFSET($DS$3,0,0,'Données projet'!$E$14+1,1))-AVERAGE(OFFSET($H$3,0,0,'Données projet'!$E$14+1,1))</f>
        <v>304.26232113495314</v>
      </c>
      <c r="DU53" s="59">
        <f t="shared" si="44"/>
        <v>297.47246687305056</v>
      </c>
      <c r="DV53" s="15">
        <f>IF(ISNA(VLOOKUP(A53,'Données projet'!$A$165:$I$185,3,0)),0,VLOOKUP(A53,'Données projet'!$A$165:$I$185,3,0))</f>
        <v>8</v>
      </c>
      <c r="DW53" s="15">
        <f>IF(ISNA(VLOOKUP(A53,'Données projet'!$A$165:$I$185,4,0)),0,VLOOKUP(A53,'Données projet'!$A$165:$I$185,4,0))</f>
        <v>17</v>
      </c>
      <c r="DX53" s="16">
        <f>IF(ISNA(VLOOKUP(A53,'Données projet'!$A$165:$I$185,5,0)),0%,VLOOKUP(A53,'Données projet'!$A$165:$I$185,5,0)*VLOOKUP('Données projet'!$B$14,Paramètres!$A$1:$I$89,7,0))</f>
        <v>0.159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0.4</v>
      </c>
      <c r="EA53" s="21">
        <f>EXP(-LN(2)/35)*EA52+(1-EXP(-LN(2)/35))/(LN(2)/35)*DW53*DX53*VLOOKUP('Données projet'!$B$14,Paramètres!$A$1:$I$89,3,0)*0.475*44/12</f>
        <v>6.3567548684212163</v>
      </c>
      <c r="EB53" s="21">
        <f>EXP(-LN(2)/25)*EB52+(1-EXP(-LN(2)/25))/(LN(2)/25)*Calculateur!DW53*Calculateur!DY53*VLOOKUP('Données projet'!$B$14,Paramètres!$A$1:$I$89,3,0)*0.475*44/12</f>
        <v>6.6419188207648245</v>
      </c>
      <c r="EC53" s="21">
        <f>EXP(-LN(2)/2)*EC52+(1-EXP(-LN(2)/2))/(LN(2)/2)*DW53*DZ53*VLOOKUP('Données projet'!$B$14,Paramètres!$A$1:$I$89,3,0)*0.475*44/12</f>
        <v>6.6435819830833553</v>
      </c>
      <c r="ED53" s="22">
        <f t="shared" si="18"/>
        <v>19.642255672269396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219</v>
      </c>
      <c r="EH53" s="12">
        <f>VLOOKUP(A53,'Données projet'!$A$191:$I$211,9,0)</f>
        <v>7.2</v>
      </c>
      <c r="EI53" s="12">
        <f t="array" ref="EI53">INDEX(EH:EH,MIN(IF(ISNUMBER(EH53:EH249),ROW(EH53:EH249),"")))</f>
        <v>7.2</v>
      </c>
      <c r="EJ53" s="12">
        <f>IF('Données projet'!$A$192&gt;35,EJ52+EI53-ER52,IF(A53&lt;'Données projet'!$A$192,$EG$205^A53,IF(A53='Données projet'!$A$192,'Données projet'!$B$192,EJ52+EI53-ER52)))</f>
        <v>218.99999999999989</v>
      </c>
      <c r="EK53" s="17">
        <f>EJ53*VLOOKUP('Données projet'!$B$15,Paramètres!$A$1:$I$89,3,0)*VLOOKUP('Données projet'!$B$15,Paramètres!$A$1:$I$89,5,0)</f>
        <v>211.81679999999989</v>
      </c>
      <c r="EL53" s="13">
        <f t="shared" si="45"/>
        <v>52.332402945946782</v>
      </c>
      <c r="EM53" s="20">
        <f t="shared" si="19"/>
        <v>460.05986179752381</v>
      </c>
      <c r="EN53" s="59">
        <f t="shared" si="20"/>
        <v>753.39319513085707</v>
      </c>
      <c r="EO53" s="59">
        <f ca="1">AVERAGE(OFFSET($EN$3,0,0,'Données projet'!$E$15+1,1))-AVERAGE(OFFSET($H$3,0,0,'Données projet'!$E$15+1,1))</f>
        <v>355.72173590705142</v>
      </c>
      <c r="EP53" s="59">
        <f t="shared" si="46"/>
        <v>346.30980704469363</v>
      </c>
      <c r="EQ53" s="15">
        <f>IF(ISNA(VLOOKUP(A53,'Données projet'!$A$191:$I$211,3,0)),0,VLOOKUP(A53,'Données projet'!$A$191:$I$211,3,0))</f>
        <v>8</v>
      </c>
      <c r="ER53" s="15">
        <f>IF(ISNA(VLOOKUP(A53,'Données projet'!$A$191:$I$211,4,0)),0,VLOOKUP(A53,'Données projet'!$A$191:$I$211,4,0))</f>
        <v>17</v>
      </c>
      <c r="ES53" s="16">
        <f>IF(ISNA(VLOOKUP(A53,'Données projet'!$A$191:$I$211,5,0)),0%,VLOOKUP(A53,'Données projet'!$A$191:$I$211,5,0)*VLOOKUP('Données projet'!$B$15,Paramètres!$A$1:$I$89,7,0))</f>
        <v>0.129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0.4</v>
      </c>
      <c r="EV53" s="21">
        <f>EXP(-LN(2)/35)*EV52+(1-EXP(-LN(2)/35))/(LN(2)/35)*ER53*ES53*VLOOKUP('Données projet'!$B$15,Paramètres!$A$1:$I$89,3,0)*0.475*44/12</f>
        <v>6.1491685338211033</v>
      </c>
      <c r="EW53" s="21">
        <f>EXP(-LN(2)/25)*EW52+(1-EXP(-LN(2)/25))/(LN(2)/25)*Calculateur!ER53*Calculateur!ET53*VLOOKUP('Données projet'!$B$15,Paramètres!$A$1:$I$89,3,0)*0.475*44/12</f>
        <v>6.4250201655148826</v>
      </c>
      <c r="EX53" s="21">
        <f>EXP(-LN(2)/2)*EX52+(1-EXP(-LN(2)/2))/(LN(2)/2)*ER53*EU53*VLOOKUP('Données projet'!$B$15,Paramètres!$A$1:$I$89,3,0)*0.475*44/12</f>
        <v>7.9211939029070777</v>
      </c>
      <c r="EY53" s="22">
        <f t="shared" si="21"/>
        <v>20.495382602243062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219</v>
      </c>
      <c r="FC53" s="12">
        <f>VLOOKUP(A53,'Données projet'!$A$217:$I$237,9,0)</f>
        <v>7.2</v>
      </c>
      <c r="FD53" s="12">
        <f t="array" ref="FD53">INDEX(FC:FC,MIN(IF(ISNUMBER(FC53:FC249),ROW(FC53:FC249),"")))</f>
        <v>7.2</v>
      </c>
      <c r="FE53" s="12">
        <f>IF('Données projet'!$A$218&gt;35,FE52+FD53-FM52,IF(A53&lt;'Données projet'!$A$218,$FB$205^A53,IF(A53='Données projet'!$A$218,'Données projet'!$B$218,FE52+FD53-FM52)))</f>
        <v>218.99999999999989</v>
      </c>
      <c r="FF53" s="17">
        <f>FE53*VLOOKUP('Données projet'!$B$16,Paramètres!$A$1:$I$89,3,0)*VLOOKUP('Données projet'!$B$16,Paramètres!$A$1:$I$89,5,0)</f>
        <v>160.57079999999991</v>
      </c>
      <c r="FG53" s="13">
        <f t="shared" si="47"/>
        <v>40.97123424416818</v>
      </c>
      <c r="FH53" s="20">
        <f t="shared" si="22"/>
        <v>351.01904297525942</v>
      </c>
      <c r="FI53" s="59">
        <f t="shared" si="23"/>
        <v>644.35237630859274</v>
      </c>
      <c r="FJ53" s="59">
        <f ca="1">AVERAGE(OFFSET($FI$3,0,0,'Données projet'!$E$16+1,1))-AVERAGE(OFFSET($H$3,0,0,'Données projet'!$E$16+1,1))</f>
        <v>278.45534008146865</v>
      </c>
      <c r="FK53" s="59">
        <f t="shared" si="48"/>
        <v>272.97841038165217</v>
      </c>
      <c r="FL53" s="15">
        <f>IF(ISNA(VLOOKUP(A53,'Données projet'!$A$217:$I$237,3,0)),0,VLOOKUP(A53,'Données projet'!$A$217:$I$237,3,0))</f>
        <v>8</v>
      </c>
      <c r="FM53" s="15">
        <f>IF(ISNA(VLOOKUP(A53,'Données projet'!$A$217:$I$237,4,0)),0,VLOOKUP(A53,'Données projet'!$A$217:$I$237,4,0))</f>
        <v>17</v>
      </c>
      <c r="FN53" s="16">
        <f>IF(ISNA(VLOOKUP(A53,'Données projet'!$A$217:$I$237,5,0)),0%,VLOOKUP(A53,'Données projet'!$A$217:$I$237,5,0)*VLOOKUP('Données projet'!$B$16,Paramètres!$A$1:$I$89,7,0))</f>
        <v>0.129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0.4</v>
      </c>
      <c r="FQ53" s="21">
        <f>EXP(-LN(2)/35)*FQ52+(1-EXP(-LN(2)/35))/(LN(2)/35)*FM53*FN53*VLOOKUP('Données projet'!$B$16,Paramètres!$A$1:$I$89,3,0)*0.475*44/12</f>
        <v>4.6614664691869647</v>
      </c>
      <c r="FR53" s="21">
        <f>EXP(-LN(2)/25)*FR52+(1-EXP(-LN(2)/25))/(LN(2)/25)*Calculateur!FM53*Calculateur!FO53*VLOOKUP('Données projet'!$B$16,Paramètres!$A$1:$I$89,3,0)*0.475*44/12</f>
        <v>4.8705798028903144</v>
      </c>
      <c r="FS53" s="21">
        <f>EXP(-LN(2)/2)*FS52+(1-EXP(-LN(2)/2))/(LN(2)/2)*FM53*FP53*VLOOKUP('Données projet'!$B$16,Paramètres!$A$1:$I$89,3,0)*0.475*44/12</f>
        <v>6.0047760231714946</v>
      </c>
      <c r="FT53" s="22">
        <f t="shared" si="24"/>
        <v>15.536822295248774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7.875</v>
      </c>
      <c r="N54" s="13">
        <f>IF('Données projet'!$A$36&gt;35,N53+M54-V53,IF(A54&lt;'Données projet'!$A$36,$K$205^A54,IF(A54='Données projet'!$A$36,'Données projet'!$B$36,N53+M54-V53)))</f>
        <v>123.875</v>
      </c>
      <c r="O54" s="13">
        <f>N54*VLOOKUP('Données projet'!$B$9,Paramètres!$A$1:$I$89,3,0)*VLOOKUP('Données projet'!$B$9,Paramètres!$A$1:$I$89,5,0)</f>
        <v>112.0821</v>
      </c>
      <c r="P54" s="13">
        <f t="shared" si="33"/>
        <v>29.821006931508371</v>
      </c>
      <c r="Q54" s="20">
        <f t="shared" si="53"/>
        <v>247.14791123904374</v>
      </c>
      <c r="R54" s="59">
        <f t="shared" si="0"/>
        <v>540.48124457237702</v>
      </c>
      <c r="S54" s="59">
        <f ca="1">AVERAGE(OFFSET($R$3,0,0,'Données projet'!$E$9+1,1))-AVERAGE(OFFSET($H$3,0,0,'Données projet'!$E$9+1,1))</f>
        <v>436.03161778768742</v>
      </c>
      <c r="T54" s="59">
        <f t="shared" si="34"/>
        <v>217.65884352525285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7.292083761656162</v>
      </c>
      <c r="AB54" s="21">
        <f>EXP(-LN(2)/2)*AB53+(1-EXP(-LN(2)/2))/(LN(2)/2)*V54*Y54*VLOOKUP('Données projet'!$B$9,Paramètres!$A$1:$I$89,3,0)*0.475*44/12</f>
        <v>0</v>
      </c>
      <c r="AC54" s="22">
        <f t="shared" si="3"/>
        <v>7.292083761656162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7.875</v>
      </c>
      <c r="AI54" s="13">
        <f>IF('Données projet'!$A$62&gt;35,AI53+AH54-AQ53,IF(A54&lt;'Données projet'!$A$62,$AF$205^A54,IF(A54='Données projet'!$A$62,'Données projet'!$B$62,AI53+AH54-AQ53)))</f>
        <v>123.875</v>
      </c>
      <c r="AJ54" s="13">
        <f>AI54*VLOOKUP('Données projet'!$B$10,Paramètres!$A$1:$I$89,3,0)*VLOOKUP('Données projet'!$B$10,Paramètres!$A$1:$I$89,5,0)</f>
        <v>125.60925</v>
      </c>
      <c r="AK54" s="13">
        <f t="shared" si="35"/>
        <v>32.979766046697087</v>
      </c>
      <c r="AL54" s="20">
        <f t="shared" si="4"/>
        <v>276.20920294799743</v>
      </c>
      <c r="AM54" s="59">
        <f t="shared" si="5"/>
        <v>569.54253628133074</v>
      </c>
      <c r="AN54" s="59">
        <f ca="1">AVERAGE(OFFSET($AM$3,0,0,'Données projet'!$E$10+1,1))-AVERAGE(OFFSET($H$3,0,0,'Données projet'!$E$10+1,1))</f>
        <v>483.45320081988984</v>
      </c>
      <c r="AO54" s="59">
        <f t="shared" si="36"/>
        <v>238.92443174298893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8.1721628363388028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8.1721628363388028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4.4000000000000004</v>
      </c>
      <c r="BD54" s="12">
        <f>IF('Données projet'!$A$88&gt;35,BD53+BC54-BL53,IF(A54&lt;'Données projet'!$A$88,$BA$205^A54,IF(A54='Données projet'!$A$88,'Données projet'!$B$88,BD53+BC54-BL53)))</f>
        <v>202.4</v>
      </c>
      <c r="BE54" s="13">
        <f>BD54*VLOOKUP('Données projet'!$B$11,Paramètres!$A$1:$I$89,3,0)*VLOOKUP('Données projet'!$B$11,Paramètres!$A$1:$I$89,5,0)</f>
        <v>176.81664000000001</v>
      </c>
      <c r="BF54" s="13">
        <f t="shared" si="37"/>
        <v>44.613213392736419</v>
      </c>
      <c r="BG54" s="20">
        <f t="shared" si="7"/>
        <v>385.65699465901594</v>
      </c>
      <c r="BH54" s="59">
        <f t="shared" si="8"/>
        <v>678.99032799234919</v>
      </c>
      <c r="BI54" s="59">
        <f ca="1">AVERAGE(OFFSET($BH$3,0,0,'Données projet'!$E$11+1,1))-AVERAGE(OFFSET($H$3,0,0,'Données projet'!$E$11+1,1))</f>
        <v>310.44153296396854</v>
      </c>
      <c r="BJ54" s="59">
        <f t="shared" si="38"/>
        <v>388.05195847800502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6.6355672672530392</v>
      </c>
      <c r="BQ54" s="21">
        <f>EXP(-LN(2)/25)*BQ53+(1-EXP(-LN(2)/25))/(LN(2)/25)*Calculateur!BL54*Calculateur!BN54*VLOOKUP('Données projet'!$B$11,Paramètres!$A$1:$I$89,3,0)*0.475*44/12</f>
        <v>6.2226888813343093</v>
      </c>
      <c r="BR54" s="21">
        <f>EXP(-LN(2)/2)*BR53+(1-EXP(-LN(2)/2))/(LN(2)/2)*BL54*BO54*VLOOKUP('Données projet'!$B$11,Paramètres!$A$1:$I$89,3,0)*0.475*44/12</f>
        <v>5.9832522977138112</v>
      </c>
      <c r="BS54" s="22">
        <f t="shared" si="9"/>
        <v>18.841508446301159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13.8</v>
      </c>
      <c r="BY54" s="12">
        <f>IF('Données projet'!$A$114&gt;35,BY53+BX54-CG53,IF(A54&lt;'Données projet'!$A$114,$BV$205^A54,IF(A54='Données projet'!$A$114,'Données projet'!$B$114,BY53+BX54-CG53)))</f>
        <v>594.79999999999973</v>
      </c>
      <c r="BZ54" s="13">
        <f>BY54*VLOOKUP('Données projet'!$B$12,Paramètres!$A$1:$I$89,3,0)*VLOOKUP('Données projet'!$B$12,Paramètres!$A$1:$I$89,5,0)</f>
        <v>332.49319999999983</v>
      </c>
      <c r="CA54" s="13">
        <f t="shared" si="39"/>
        <v>77.946984490524827</v>
      </c>
      <c r="CB54" s="20">
        <f t="shared" si="10"/>
        <v>714.84998798766367</v>
      </c>
      <c r="CC54" s="59">
        <f t="shared" si="11"/>
        <v>1008.183321320997</v>
      </c>
      <c r="CD54" s="59">
        <f ca="1">AVERAGE(OFFSET($CC$3,0,0,'Données projet'!$E$12+1,1))-AVERAGE(OFFSET($H$3,0,0,'Données projet'!$E$12+1,1))</f>
        <v>443.34220761968419</v>
      </c>
      <c r="CE54" s="59">
        <f t="shared" si="40"/>
        <v>546.58234447298014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35.094390391471059</v>
      </c>
      <c r="CL54" s="21">
        <f>EXP(-LN(2)/25)*CL53+(1-EXP(-LN(2)/25))/(LN(2)/25)*Calculateur!CG54*Calculateur!CI54*VLOOKUP('Données projet'!$B$12,Paramètres!$A$1:$I$89,3,0)*0.475*44/12</f>
        <v>39.918676546702073</v>
      </c>
      <c r="CM54" s="21">
        <f>EXP(-LN(2)/2)*CM53+(1-EXP(-LN(2)/2))/(LN(2)/2)*CG54*CJ54*VLOOKUP('Données projet'!$B$12,Paramètres!$A$1:$I$89,3,0)*0.475*44/12</f>
        <v>5.7221387562959487</v>
      </c>
      <c r="CN54" s="22">
        <f t="shared" si="12"/>
        <v>80.735205694469073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9.75</v>
      </c>
      <c r="CT54" s="12">
        <f>IF('Données projet'!$A$140&gt;35,CT53+CS54-DB53,IF(A54&lt;'Données projet'!$A$140,$CQ$205^A54,IF(A54='Données projet'!$A$140,'Données projet'!$B$140,CT53+CS54-DB53)))</f>
        <v>216.25</v>
      </c>
      <c r="CU54" s="17">
        <f>CT54*VLOOKUP('Données projet'!$B$13,Paramètres!$A$1:$I$89,3,0)*VLOOKUP('Données projet'!$B$13,Paramètres!$A$1:$I$89,5,0)</f>
        <v>118.07250000000001</v>
      </c>
      <c r="CV54" s="13">
        <f t="shared" si="41"/>
        <v>31.225018775205122</v>
      </c>
      <c r="CW54" s="20">
        <f t="shared" si="13"/>
        <v>260.02651186681561</v>
      </c>
      <c r="CX54" s="59">
        <f t="shared" si="14"/>
        <v>553.35984520014892</v>
      </c>
      <c r="CY54" s="59">
        <f ca="1">AVERAGE(OFFSET($CX$3,0,0,'Données projet'!$E$13+1,1))-AVERAGE(OFFSET($H$3,0,0,'Données projet'!$E$13+1,1))</f>
        <v>214.22606988805535</v>
      </c>
      <c r="CZ54" s="59">
        <f t="shared" si="42"/>
        <v>305.78163836959078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44.297981618560748</v>
      </c>
      <c r="DG54" s="21">
        <f>EXP(-LN(2)/25)*DG53+(1-EXP(-LN(2)/25))/(LN(2)/25)*Calculateur!DB54*Calculateur!DD54*VLOOKUP('Données projet'!$B$13,Paramètres!$A$1:$I$89,3,0)*0.475*44/12</f>
        <v>28.718994598416533</v>
      </c>
      <c r="DH54" s="21">
        <f>EXP(-LN(2)/2)*DH53+(1-EXP(-LN(2)/2))/(LN(2)/2)*DB54*DE54*VLOOKUP('Données projet'!$B$13,Paramètres!$A$1:$I$89,3,0)*0.475*44/12</f>
        <v>1.8602188462591893</v>
      </c>
      <c r="DI54" s="22">
        <f t="shared" si="15"/>
        <v>74.877195063236471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6</v>
      </c>
      <c r="DO54" s="12">
        <f>IF('Données projet'!$A$166&gt;35,DO53+DN54-DW53,IF(A54&lt;'Données projet'!$A$166,$DL$205^A54,IF(A54='Données projet'!$A$166,'Données projet'!$B$166,DO53+DN54-DW53)))</f>
        <v>207.99999999999989</v>
      </c>
      <c r="DP54" s="17">
        <f>DO54*VLOOKUP('Données projet'!$B$14,Paramètres!$A$1:$I$89,3,0)*VLOOKUP('Données projet'!$B$14,Paramètres!$A$1:$I$89,5,0)</f>
        <v>168.72959999999992</v>
      </c>
      <c r="DQ54" s="13">
        <f t="shared" si="43"/>
        <v>42.805372152385068</v>
      </c>
      <c r="DR54" s="20">
        <f t="shared" si="16"/>
        <v>368.42340983207049</v>
      </c>
      <c r="DS54" s="59">
        <f t="shared" si="17"/>
        <v>661.7567431654038</v>
      </c>
      <c r="DT54" s="59">
        <f ca="1">AVERAGE(OFFSET($DS$3,0,0,'Données projet'!$E$14+1,1))-AVERAGE(OFFSET($H$3,0,0,'Données projet'!$E$14+1,1))</f>
        <v>304.26232113495314</v>
      </c>
      <c r="DU54" s="59">
        <f t="shared" si="44"/>
        <v>297.47246687305056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6.2321027826891005</v>
      </c>
      <c r="EB54" s="21">
        <f>EXP(-LN(2)/25)*EB53+(1-EXP(-LN(2)/25))/(LN(2)/25)*Calculateur!DW54*Calculateur!DY54*VLOOKUP('Données projet'!$B$14,Paramètres!$A$1:$I$89,3,0)*0.475*44/12</f>
        <v>6.4602952013276802</v>
      </c>
      <c r="EC54" s="21">
        <f>EXP(-LN(2)/2)*EC53+(1-EXP(-LN(2)/2))/(LN(2)/2)*DW54*DZ54*VLOOKUP('Données projet'!$B$14,Paramètres!$A$1:$I$89,3,0)*0.475*44/12</f>
        <v>4.6977218716070119</v>
      </c>
      <c r="ED54" s="22">
        <f t="shared" si="18"/>
        <v>17.390119855623794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6</v>
      </c>
      <c r="EJ54" s="12">
        <f>IF('Données projet'!$A$192&gt;35,EJ53+EI54-ER53,IF(A54&lt;'Données projet'!$A$192,$EG$205^A54,IF(A54='Données projet'!$A$192,'Données projet'!$B$192,EJ53+EI54-ER53)))</f>
        <v>207.99999999999989</v>
      </c>
      <c r="EK54" s="17">
        <f>EJ54*VLOOKUP('Données projet'!$B$15,Paramètres!$A$1:$I$89,3,0)*VLOOKUP('Données projet'!$B$15,Paramètres!$A$1:$I$89,5,0)</f>
        <v>201.1775999999999</v>
      </c>
      <c r="EL54" s="13">
        <f t="shared" si="45"/>
        <v>50.002880070410683</v>
      </c>
      <c r="EM54" s="20">
        <f t="shared" si="19"/>
        <v>437.4726694559651</v>
      </c>
      <c r="EN54" s="59">
        <f t="shared" si="20"/>
        <v>730.80600278929842</v>
      </c>
      <c r="EO54" s="59">
        <f ca="1">AVERAGE(OFFSET($EN$3,0,0,'Données projet'!$E$15+1,1))-AVERAGE(OFFSET($H$3,0,0,'Données projet'!$E$15+1,1))</f>
        <v>355.72173590705142</v>
      </c>
      <c r="EP54" s="59">
        <f t="shared" si="46"/>
        <v>346.30980704469363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6.0285870894953337</v>
      </c>
      <c r="EW54" s="21">
        <f>EXP(-LN(2)/25)*EW53+(1-EXP(-LN(2)/25))/(LN(2)/25)*Calculateur!ER54*Calculateur!ET54*VLOOKUP('Données projet'!$B$15,Paramètres!$A$1:$I$89,3,0)*0.475*44/12</f>
        <v>6.2493276512117522</v>
      </c>
      <c r="EX54" s="21">
        <f>EXP(-LN(2)/2)*EX53+(1-EXP(-LN(2)/2))/(LN(2)/2)*ER54*EU54*VLOOKUP('Données projet'!$B$15,Paramètres!$A$1:$I$89,3,0)*0.475*44/12</f>
        <v>5.6011299238391299</v>
      </c>
      <c r="EY54" s="22">
        <f t="shared" si="21"/>
        <v>17.879044664546214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6</v>
      </c>
      <c r="FE54" s="12">
        <f>IF('Données projet'!$A$218&gt;35,FE53+FD54-FM53,IF(A54&lt;'Données projet'!$A$218,$FB$205^A54,IF(A54='Données projet'!$A$218,'Données projet'!$B$218,FE53+FD54-FM53)))</f>
        <v>207.99999999999989</v>
      </c>
      <c r="FF54" s="17">
        <f>FE54*VLOOKUP('Données projet'!$B$16,Paramètres!$A$1:$I$89,3,0)*VLOOKUP('Données projet'!$B$16,Paramètres!$A$1:$I$89,5,0)</f>
        <v>152.5055999999999</v>
      </c>
      <c r="FG54" s="13">
        <f t="shared" si="47"/>
        <v>39.147442061162181</v>
      </c>
      <c r="FH54" s="20">
        <f t="shared" si="22"/>
        <v>333.79571492319059</v>
      </c>
      <c r="FI54" s="59">
        <f t="shared" si="23"/>
        <v>627.1290482565239</v>
      </c>
      <c r="FJ54" s="59">
        <f ca="1">AVERAGE(OFFSET($FI$3,0,0,'Données projet'!$E$16+1,1))-AVERAGE(OFFSET($H$3,0,0,'Données projet'!$E$16+1,1))</f>
        <v>278.45534008146865</v>
      </c>
      <c r="FK54" s="59">
        <f t="shared" si="48"/>
        <v>272.97841038165217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4.5700579549400109</v>
      </c>
      <c r="FR54" s="21">
        <f>EXP(-LN(2)/25)*FR53+(1-EXP(-LN(2)/25))/(LN(2)/25)*Calculateur!FM54*Calculateur!FO54*VLOOKUP('Données projet'!$B$16,Paramètres!$A$1:$I$89,3,0)*0.475*44/12</f>
        <v>4.7373935420476192</v>
      </c>
      <c r="FS54" s="21">
        <f>EXP(-LN(2)/2)*FS53+(1-EXP(-LN(2)/2))/(LN(2)/2)*FM54*FP54*VLOOKUP('Données projet'!$B$16,Paramètres!$A$1:$I$89,3,0)*0.475*44/12</f>
        <v>4.246017845490953</v>
      </c>
      <c r="FT54" s="22">
        <f t="shared" si="24"/>
        <v>13.553469342478582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7.875</v>
      </c>
      <c r="N55" s="13">
        <f>IF('Données projet'!$A$36&gt;35,N54+M55-V54,IF(A55&lt;'Données projet'!$A$36,$K$205^A55,IF(A55='Données projet'!$A$36,'Données projet'!$B$36,N54+M55-V54)))</f>
        <v>131.75</v>
      </c>
      <c r="O55" s="13">
        <f>N55*VLOOKUP('Données projet'!$B$9,Paramètres!$A$1:$I$89,3,0)*VLOOKUP('Données projet'!$B$9,Paramètres!$A$1:$I$89,5,0)</f>
        <v>119.20739999999999</v>
      </c>
      <c r="P55" s="13">
        <f t="shared" si="33"/>
        <v>31.490067122235608</v>
      </c>
      <c r="Q55" s="20">
        <f t="shared" si="53"/>
        <v>262.46475523789366</v>
      </c>
      <c r="R55" s="59">
        <f t="shared" si="0"/>
        <v>555.79808857122703</v>
      </c>
      <c r="S55" s="59">
        <f ca="1">AVERAGE(OFFSET($R$3,0,0,'Données projet'!$E$9+1,1))-AVERAGE(OFFSET($H$3,0,0,'Données projet'!$E$9+1,1))</f>
        <v>436.03161778768742</v>
      </c>
      <c r="T55" s="59">
        <f t="shared" si="34"/>
        <v>217.65884352525285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7.0926813477196555</v>
      </c>
      <c r="AB55" s="21">
        <f>EXP(-LN(2)/2)*AB54+(1-EXP(-LN(2)/2))/(LN(2)/2)*V55*Y55*VLOOKUP('Données projet'!$B$9,Paramètres!$A$1:$I$89,3,0)*0.475*44/12</f>
        <v>0</v>
      </c>
      <c r="AC55" s="22">
        <f t="shared" si="3"/>
        <v>7.0926813477196555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7.875</v>
      </c>
      <c r="AI55" s="13">
        <f>IF('Données projet'!$A$62&gt;35,AI54+AH55-AQ54,IF(A55&lt;'Données projet'!$A$62,$AF$205^A55,IF(A55='Données projet'!$A$62,'Données projet'!$B$62,AI54+AH55-AQ54)))</f>
        <v>131.75</v>
      </c>
      <c r="AJ55" s="13">
        <f>AI55*VLOOKUP('Données projet'!$B$10,Paramètres!$A$1:$I$89,3,0)*VLOOKUP('Données projet'!$B$10,Paramètres!$A$1:$I$89,5,0)</f>
        <v>133.59450000000001</v>
      </c>
      <c r="AK55" s="13">
        <f t="shared" si="35"/>
        <v>34.825619700615128</v>
      </c>
      <c r="AL55" s="20">
        <f t="shared" si="4"/>
        <v>293.33170847857133</v>
      </c>
      <c r="AM55" s="59">
        <f t="shared" si="5"/>
        <v>586.66504181190464</v>
      </c>
      <c r="AN55" s="59">
        <f ca="1">AVERAGE(OFFSET($AM$3,0,0,'Données projet'!$E$10+1,1))-AVERAGE(OFFSET($H$3,0,0,'Données projet'!$E$10+1,1))</f>
        <v>483.45320081988984</v>
      </c>
      <c r="AO55" s="59">
        <f t="shared" si="36"/>
        <v>238.92443174298893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7.9486946138237524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7.9486946138237524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4.4000000000000004</v>
      </c>
      <c r="BD55" s="12">
        <f>IF('Données projet'!$A$88&gt;35,BD54+BC55-BL54,IF(A55&lt;'Données projet'!$A$88,$BA$205^A55,IF(A55='Données projet'!$A$88,'Données projet'!$B$88,BD54+BC55-BL54)))</f>
        <v>206.8</v>
      </c>
      <c r="BE55" s="13">
        <f>BD55*VLOOKUP('Données projet'!$B$11,Paramètres!$A$1:$I$89,3,0)*VLOOKUP('Données projet'!$B$11,Paramètres!$A$1:$I$89,5,0)</f>
        <v>180.66048000000004</v>
      </c>
      <c r="BF55" s="13">
        <f t="shared" si="37"/>
        <v>45.469099459918802</v>
      </c>
      <c r="BG55" s="20">
        <f t="shared" si="7"/>
        <v>393.84235089269191</v>
      </c>
      <c r="BH55" s="59">
        <f t="shared" si="8"/>
        <v>687.17568422602517</v>
      </c>
      <c r="BI55" s="59">
        <f ca="1">AVERAGE(OFFSET($BH$3,0,0,'Données projet'!$E$11+1,1))-AVERAGE(OFFSET($H$3,0,0,'Données projet'!$E$11+1,1))</f>
        <v>310.44153296396854</v>
      </c>
      <c r="BJ55" s="59">
        <f t="shared" si="38"/>
        <v>388.05195847800502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6.5054478404386025</v>
      </c>
      <c r="BQ55" s="21">
        <f>EXP(-LN(2)/25)*BQ54+(1-EXP(-LN(2)/25))/(LN(2)/25)*Calculateur!BL55*Calculateur!BN55*VLOOKUP('Données projet'!$B$11,Paramètres!$A$1:$I$89,3,0)*0.475*44/12</f>
        <v>6.0525291266372365</v>
      </c>
      <c r="BR55" s="21">
        <f>EXP(-LN(2)/2)*BR54+(1-EXP(-LN(2)/2))/(LN(2)/2)*BL55*BO55*VLOOKUP('Données projet'!$B$11,Paramètres!$A$1:$I$89,3,0)*0.475*44/12</f>
        <v>4.2307982732634279</v>
      </c>
      <c r="BS55" s="22">
        <f t="shared" si="9"/>
        <v>16.788775240339266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13.8</v>
      </c>
      <c r="BY55" s="12">
        <f>IF('Données projet'!$A$114&gt;35,BY54+BX55-CG54,IF(A55&lt;'Données projet'!$A$114,$BV$205^A55,IF(A55='Données projet'!$A$114,'Données projet'!$B$114,BY54+BX55-CG54)))</f>
        <v>608.59999999999968</v>
      </c>
      <c r="BZ55" s="13">
        <f>BY55*VLOOKUP('Données projet'!$B$12,Paramètres!$A$1:$I$89,3,0)*VLOOKUP('Données projet'!$B$12,Paramètres!$A$1:$I$89,5,0)</f>
        <v>340.20739999999984</v>
      </c>
      <c r="CA55" s="13">
        <f t="shared" si="39"/>
        <v>79.542795053996059</v>
      </c>
      <c r="CB55" s="20">
        <f t="shared" si="10"/>
        <v>731.06492305237623</v>
      </c>
      <c r="CC55" s="59">
        <f t="shared" si="11"/>
        <v>1024.3982563857096</v>
      </c>
      <c r="CD55" s="59">
        <f ca="1">AVERAGE(OFFSET($CC$3,0,0,'Données projet'!$E$12+1,1))-AVERAGE(OFFSET($H$3,0,0,'Données projet'!$E$12+1,1))</f>
        <v>443.34220761968419</v>
      </c>
      <c r="CE55" s="59">
        <f t="shared" si="40"/>
        <v>546.58234447298014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34.406210801358839</v>
      </c>
      <c r="CL55" s="21">
        <f>EXP(-LN(2)/25)*CL54+(1-EXP(-LN(2)/25))/(LN(2)/25)*Calculateur!CG55*Calculateur!CI55*VLOOKUP('Données projet'!$B$12,Paramètres!$A$1:$I$89,3,0)*0.475*44/12</f>
        <v>38.82709823730054</v>
      </c>
      <c r="CM55" s="21">
        <f>EXP(-LN(2)/2)*CM54+(1-EXP(-LN(2)/2))/(LN(2)/2)*CG55*CJ55*VLOOKUP('Données projet'!$B$12,Paramètres!$A$1:$I$89,3,0)*0.475*44/12</f>
        <v>4.0461631174672226</v>
      </c>
      <c r="CN55" s="22">
        <f t="shared" si="12"/>
        <v>77.279472156126587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9.75</v>
      </c>
      <c r="CT55" s="12">
        <f>IF('Données projet'!$A$140&gt;35,CT54+CS55-DB54,IF(A55&lt;'Données projet'!$A$140,$CQ$205^A55,IF(A55='Données projet'!$A$140,'Données projet'!$B$140,CT54+CS55-DB54)))</f>
        <v>226</v>
      </c>
      <c r="CU55" s="17">
        <f>CT55*VLOOKUP('Données projet'!$B$13,Paramètres!$A$1:$I$89,3,0)*VLOOKUP('Données projet'!$B$13,Paramètres!$A$1:$I$89,5,0)</f>
        <v>123.396</v>
      </c>
      <c r="CV55" s="13">
        <f t="shared" si="41"/>
        <v>32.465769489878191</v>
      </c>
      <c r="CW55" s="20">
        <f t="shared" si="13"/>
        <v>271.45924852820451</v>
      </c>
      <c r="CX55" s="59">
        <f t="shared" si="14"/>
        <v>564.79258186153788</v>
      </c>
      <c r="CY55" s="59">
        <f ca="1">AVERAGE(OFFSET($CX$3,0,0,'Données projet'!$E$13+1,1))-AVERAGE(OFFSET($H$3,0,0,'Données projet'!$E$13+1,1))</f>
        <v>214.22606988805535</v>
      </c>
      <c r="CZ55" s="59">
        <f t="shared" si="42"/>
        <v>305.78163836959078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43.429325218121647</v>
      </c>
      <c r="DG55" s="21">
        <f>EXP(-LN(2)/25)*DG54+(1-EXP(-LN(2)/25))/(LN(2)/25)*Calculateur!DB55*Calculateur!DD55*VLOOKUP('Données projet'!$B$13,Paramètres!$A$1:$I$89,3,0)*0.475*44/12</f>
        <v>27.933672180856544</v>
      </c>
      <c r="DH55" s="21">
        <f>EXP(-LN(2)/2)*DH54+(1-EXP(-LN(2)/2))/(LN(2)/2)*DB55*DE55*VLOOKUP('Données projet'!$B$13,Paramètres!$A$1:$I$89,3,0)*0.475*44/12</f>
        <v>1.3153733606808886</v>
      </c>
      <c r="DI55" s="22">
        <f t="shared" si="15"/>
        <v>72.678370759659089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6</v>
      </c>
      <c r="DO55" s="12">
        <f>IF('Données projet'!$A$166&gt;35,DO54+DN55-DW54,IF(A55&lt;'Données projet'!$A$166,$DL$205^A55,IF(A55='Données projet'!$A$166,'Données projet'!$B$166,DO54+DN55-DW54)))</f>
        <v>213.99999999999989</v>
      </c>
      <c r="DP55" s="17">
        <f>DO55*VLOOKUP('Données projet'!$B$14,Paramètres!$A$1:$I$89,3,0)*VLOOKUP('Données projet'!$B$14,Paramètres!$A$1:$I$89,5,0)</f>
        <v>173.59679999999992</v>
      </c>
      <c r="DQ55" s="13">
        <f t="shared" si="43"/>
        <v>43.894602908365897</v>
      </c>
      <c r="DR55" s="20">
        <f t="shared" si="16"/>
        <v>378.79752673207048</v>
      </c>
      <c r="DS55" s="59">
        <f t="shared" si="17"/>
        <v>672.13086006540379</v>
      </c>
      <c r="DT55" s="59">
        <f ca="1">AVERAGE(OFFSET($DS$3,0,0,'Données projet'!$E$14+1,1))-AVERAGE(OFFSET($H$3,0,0,'Données projet'!$E$14+1,1))</f>
        <v>304.26232113495314</v>
      </c>
      <c r="DU55" s="59">
        <f t="shared" si="44"/>
        <v>297.47246687305056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6.1098950483279264</v>
      </c>
      <c r="EB55" s="21">
        <f>EXP(-LN(2)/25)*EB54+(1-EXP(-LN(2)/25))/(LN(2)/25)*Calculateur!DW55*Calculateur!DY55*VLOOKUP('Données projet'!$B$14,Paramètres!$A$1:$I$89,3,0)*0.475*44/12</f>
        <v>6.2836380893152155</v>
      </c>
      <c r="EC55" s="21">
        <f>EXP(-LN(2)/2)*EC54+(1-EXP(-LN(2)/2))/(LN(2)/2)*DW55*DZ55*VLOOKUP('Données projet'!$B$14,Paramètres!$A$1:$I$89,3,0)*0.475*44/12</f>
        <v>3.3217909915416781</v>
      </c>
      <c r="ED55" s="22">
        <f t="shared" si="18"/>
        <v>15.715324129184822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6</v>
      </c>
      <c r="EJ55" s="12">
        <f>IF('Données projet'!$A$192&gt;35,EJ54+EI55-ER54,IF(A55&lt;'Données projet'!$A$192,$EG$205^A55,IF(A55='Données projet'!$A$192,'Données projet'!$B$192,EJ54+EI55-ER54)))</f>
        <v>213.99999999999989</v>
      </c>
      <c r="EK55" s="17">
        <f>EJ55*VLOOKUP('Données projet'!$B$15,Paramètres!$A$1:$I$89,3,0)*VLOOKUP('Données projet'!$B$15,Paramètres!$A$1:$I$89,5,0)</f>
        <v>206.98079999999987</v>
      </c>
      <c r="EL55" s="13">
        <f t="shared" si="45"/>
        <v>51.275259496675744</v>
      </c>
      <c r="EM55" s="20">
        <f t="shared" si="19"/>
        <v>449.79597029004339</v>
      </c>
      <c r="EN55" s="59">
        <f t="shared" si="20"/>
        <v>743.1293036233767</v>
      </c>
      <c r="EO55" s="59">
        <f ca="1">AVERAGE(OFFSET($EN$3,0,0,'Données projet'!$E$15+1,1))-AVERAGE(OFFSET($H$3,0,0,'Données projet'!$E$15+1,1))</f>
        <v>355.72173590705142</v>
      </c>
      <c r="EP55" s="59">
        <f t="shared" si="46"/>
        <v>346.30980704469363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5.910370173745374</v>
      </c>
      <c r="EW55" s="21">
        <f>EXP(-LN(2)/25)*EW54+(1-EXP(-LN(2)/25))/(LN(2)/25)*Calculateur!ER55*Calculateur!ET55*VLOOKUP('Données projet'!$B$15,Paramètres!$A$1:$I$89,3,0)*0.475*44/12</f>
        <v>6.0784394579515091</v>
      </c>
      <c r="EX55" s="21">
        <f>EXP(-LN(2)/2)*EX54+(1-EXP(-LN(2)/2))/(LN(2)/2)*ER55*EU55*VLOOKUP('Données projet'!$B$15,Paramètres!$A$1:$I$89,3,0)*0.475*44/12</f>
        <v>3.9605969514535393</v>
      </c>
      <c r="EY55" s="22">
        <f t="shared" si="21"/>
        <v>15.949406583150422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6</v>
      </c>
      <c r="FE55" s="12">
        <f>IF('Données projet'!$A$218&gt;35,FE54+FD55-FM54,IF(A55&lt;'Données projet'!$A$218,$FB$205^A55,IF(A55='Données projet'!$A$218,'Données projet'!$B$218,FE54+FD55-FM54)))</f>
        <v>213.99999999999989</v>
      </c>
      <c r="FF55" s="17">
        <f>FE55*VLOOKUP('Données projet'!$B$16,Paramètres!$A$1:$I$89,3,0)*VLOOKUP('Données projet'!$B$16,Paramètres!$A$1:$I$89,5,0)</f>
        <v>156.90479999999991</v>
      </c>
      <c r="FG55" s="13">
        <f t="shared" si="47"/>
        <v>40.143592678874334</v>
      </c>
      <c r="FH55" s="20">
        <f t="shared" si="22"/>
        <v>343.1926172490393</v>
      </c>
      <c r="FI55" s="59">
        <f t="shared" si="23"/>
        <v>636.52595058237262</v>
      </c>
      <c r="FJ55" s="59">
        <f ca="1">AVERAGE(OFFSET($FI$3,0,0,'Données projet'!$E$16+1,1))-AVERAGE(OFFSET($H$3,0,0,'Données projet'!$E$16+1,1))</f>
        <v>278.45534008146865</v>
      </c>
      <c r="FK55" s="59">
        <f t="shared" si="48"/>
        <v>272.97841038165217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4.480441905903751</v>
      </c>
      <c r="FR55" s="21">
        <f>EXP(-LN(2)/25)*FR54+(1-EXP(-LN(2)/25))/(LN(2)/25)*Calculateur!FM55*Calculateur!FO55*VLOOKUP('Données projet'!$B$16,Paramètres!$A$1:$I$89,3,0)*0.475*44/12</f>
        <v>4.6078492665116277</v>
      </c>
      <c r="FS55" s="21">
        <f>EXP(-LN(2)/2)*FS54+(1-EXP(-LN(2)/2))/(LN(2)/2)*FM55*FP55*VLOOKUP('Données projet'!$B$16,Paramètres!$A$1:$I$89,3,0)*0.475*44/12</f>
        <v>3.0023880115857473</v>
      </c>
      <c r="FT55" s="22">
        <f t="shared" si="24"/>
        <v>12.090679184001125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7.875</v>
      </c>
      <c r="N56" s="13">
        <f>IF('Données projet'!$A$36&gt;35,N55+M56-V55,IF(A56&lt;'Données projet'!$A$36,$K$205^A56,IF(A56='Données projet'!$A$36,'Données projet'!$B$36,N55+M56-V55)))</f>
        <v>139.625</v>
      </c>
      <c r="O56" s="13">
        <f>N56*VLOOKUP('Données projet'!$B$9,Paramètres!$A$1:$I$89,3,0)*VLOOKUP('Données projet'!$B$9,Paramètres!$A$1:$I$89,5,0)</f>
        <v>126.33269999999999</v>
      </c>
      <c r="P56" s="13">
        <f t="shared" si="33"/>
        <v>33.147547860677506</v>
      </c>
      <c r="Q56" s="20">
        <f t="shared" si="53"/>
        <v>277.7614316906799</v>
      </c>
      <c r="R56" s="59">
        <f t="shared" si="0"/>
        <v>571.09476502401321</v>
      </c>
      <c r="S56" s="59">
        <f ca="1">AVERAGE(OFFSET($R$3,0,0,'Données projet'!$E$9+1,1))-AVERAGE(OFFSET($H$3,0,0,'Données projet'!$E$9+1,1))</f>
        <v>436.03161778768742</v>
      </c>
      <c r="T56" s="59">
        <f t="shared" si="34"/>
        <v>217.65884352525285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6.8987316032783603</v>
      </c>
      <c r="AB56" s="21">
        <f>EXP(-LN(2)/2)*AB55+(1-EXP(-LN(2)/2))/(LN(2)/2)*V56*Y56*VLOOKUP('Données projet'!$B$9,Paramètres!$A$1:$I$89,3,0)*0.475*44/12</f>
        <v>0</v>
      </c>
      <c r="AC56" s="22">
        <f t="shared" si="3"/>
        <v>6.8987316032783603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7.875</v>
      </c>
      <c r="AI56" s="13">
        <f>IF('Données projet'!$A$62&gt;35,AI55+AH56-AQ55,IF(A56&lt;'Données projet'!$A$62,$AF$205^A56,IF(A56='Données projet'!$A$62,'Données projet'!$B$62,AI55+AH56-AQ55)))</f>
        <v>139.625</v>
      </c>
      <c r="AJ56" s="13">
        <f>AI56*VLOOKUP('Données projet'!$B$10,Paramètres!$A$1:$I$89,3,0)*VLOOKUP('Données projet'!$B$10,Paramètres!$A$1:$I$89,5,0)</f>
        <v>141.57975000000002</v>
      </c>
      <c r="AK56" s="13">
        <f t="shared" si="35"/>
        <v>36.658667360818853</v>
      </c>
      <c r="AL56" s="20">
        <f t="shared" si="4"/>
        <v>310.43191023675951</v>
      </c>
      <c r="AM56" s="59">
        <f t="shared" si="5"/>
        <v>603.76524357009282</v>
      </c>
      <c r="AN56" s="59">
        <f ca="1">AVERAGE(OFFSET($AM$3,0,0,'Données projet'!$E$10+1,1))-AVERAGE(OFFSET($H$3,0,0,'Données projet'!$E$10+1,1))</f>
        <v>483.45320081988984</v>
      </c>
      <c r="AO56" s="59">
        <f t="shared" si="36"/>
        <v>238.92443174298893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7.7313371416050591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7.7313371416050591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4.4000000000000004</v>
      </c>
      <c r="BD56" s="12">
        <f>IF('Données projet'!$A$88&gt;35,BD55+BC56-BL55,IF(A56&lt;'Données projet'!$A$88,$BA$205^A56,IF(A56='Données projet'!$A$88,'Données projet'!$B$88,BD55+BC56-BL55)))</f>
        <v>211.20000000000002</v>
      </c>
      <c r="BE56" s="13">
        <f>BD56*VLOOKUP('Données projet'!$B$11,Paramètres!$A$1:$I$89,3,0)*VLOOKUP('Données projet'!$B$11,Paramètres!$A$1:$I$89,5,0)</f>
        <v>184.50432000000004</v>
      </c>
      <c r="BF56" s="13">
        <f t="shared" si="37"/>
        <v>46.322868297094622</v>
      </c>
      <c r="BG56" s="20">
        <f t="shared" si="7"/>
        <v>402.02401961743982</v>
      </c>
      <c r="BH56" s="59">
        <f t="shared" si="8"/>
        <v>695.35735295077313</v>
      </c>
      <c r="BI56" s="59">
        <f ca="1">AVERAGE(OFFSET($BH$3,0,0,'Données projet'!$E$11+1,1))-AVERAGE(OFFSET($H$3,0,0,'Données projet'!$E$11+1,1))</f>
        <v>310.44153296396854</v>
      </c>
      <c r="BJ56" s="59">
        <f t="shared" si="38"/>
        <v>388.05195847800502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6.3778799762189831</v>
      </c>
      <c r="BQ56" s="21">
        <f>EXP(-LN(2)/25)*BQ55+(1-EXP(-LN(2)/25))/(LN(2)/25)*Calculateur!BL56*Calculateur!BN56*VLOOKUP('Données projet'!$B$11,Paramètres!$A$1:$I$89,3,0)*0.475*44/12</f>
        <v>5.8870223993806681</v>
      </c>
      <c r="BR56" s="21">
        <f>EXP(-LN(2)/2)*BR55+(1-EXP(-LN(2)/2))/(LN(2)/2)*BL56*BO56*VLOOKUP('Données projet'!$B$11,Paramètres!$A$1:$I$89,3,0)*0.475*44/12</f>
        <v>2.991626148856906</v>
      </c>
      <c r="BS56" s="22">
        <f t="shared" si="9"/>
        <v>15.256528524456556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13.8</v>
      </c>
      <c r="BY56" s="12">
        <f>IF('Données projet'!$A$114&gt;35,BY55+BX56-CG55,IF(A56&lt;'Données projet'!$A$114,$BV$205^A56,IF(A56='Données projet'!$A$114,'Données projet'!$B$114,BY55+BX56-CG55)))</f>
        <v>622.39999999999964</v>
      </c>
      <c r="BZ56" s="13">
        <f>BY56*VLOOKUP('Données projet'!$B$12,Paramètres!$A$1:$I$89,3,0)*VLOOKUP('Données projet'!$B$12,Paramètres!$A$1:$I$89,5,0)</f>
        <v>347.92159999999978</v>
      </c>
      <c r="CA56" s="13">
        <f t="shared" si="39"/>
        <v>81.134398856989449</v>
      </c>
      <c r="CB56" s="20">
        <f t="shared" si="10"/>
        <v>747.27253134258956</v>
      </c>
      <c r="CC56" s="59">
        <f t="shared" si="11"/>
        <v>1040.6058646759229</v>
      </c>
      <c r="CD56" s="59">
        <f ca="1">AVERAGE(OFFSET($CC$3,0,0,'Données projet'!$E$12+1,1))-AVERAGE(OFFSET($H$3,0,0,'Données projet'!$E$12+1,1))</f>
        <v>443.34220761968419</v>
      </c>
      <c r="CE56" s="59">
        <f t="shared" si="40"/>
        <v>546.58234447298014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33.731525993260611</v>
      </c>
      <c r="CL56" s="21">
        <f>EXP(-LN(2)/25)*CL55+(1-EXP(-LN(2)/25))/(LN(2)/25)*Calculateur!CG56*Calculateur!CI56*VLOOKUP('Données projet'!$B$12,Paramètres!$A$1:$I$89,3,0)*0.475*44/12</f>
        <v>37.765369194173203</v>
      </c>
      <c r="CM56" s="21">
        <f>EXP(-LN(2)/2)*CM55+(1-EXP(-LN(2)/2))/(LN(2)/2)*CG56*CJ56*VLOOKUP('Données projet'!$B$12,Paramètres!$A$1:$I$89,3,0)*0.475*44/12</f>
        <v>2.8610693781479744</v>
      </c>
      <c r="CN56" s="22">
        <f t="shared" si="12"/>
        <v>74.357964565581781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9.75</v>
      </c>
      <c r="CT56" s="12">
        <f>IF('Données projet'!$A$140&gt;35,CT55+CS56-DB55,IF(A56&lt;'Données projet'!$A$140,$CQ$205^A56,IF(A56='Données projet'!$A$140,'Données projet'!$B$140,CT55+CS56-DB55)))</f>
        <v>235.75</v>
      </c>
      <c r="CU56" s="17">
        <f>CT56*VLOOKUP('Données projet'!$B$13,Paramètres!$A$1:$I$89,3,0)*VLOOKUP('Données projet'!$B$13,Paramètres!$A$1:$I$89,5,0)</f>
        <v>128.71950000000001</v>
      </c>
      <c r="CV56" s="13">
        <f t="shared" si="41"/>
        <v>33.700303131200371</v>
      </c>
      <c r="CW56" s="20">
        <f t="shared" si="13"/>
        <v>282.88115712017401</v>
      </c>
      <c r="CX56" s="59">
        <f t="shared" si="14"/>
        <v>576.21449045350732</v>
      </c>
      <c r="CY56" s="59">
        <f ca="1">AVERAGE(OFFSET($CX$3,0,0,'Données projet'!$E$13+1,1))-AVERAGE(OFFSET($H$3,0,0,'Données projet'!$E$13+1,1))</f>
        <v>214.22606988805535</v>
      </c>
      <c r="CZ56" s="59">
        <f t="shared" si="42"/>
        <v>305.78163836959078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42.57770263986707</v>
      </c>
      <c r="DG56" s="21">
        <f>EXP(-LN(2)/25)*DG55+(1-EXP(-LN(2)/25))/(LN(2)/25)*Calculateur!DB56*Calculateur!DD56*VLOOKUP('Données projet'!$B$13,Paramètres!$A$1:$I$89,3,0)*0.475*44/12</f>
        <v>27.169824446103046</v>
      </c>
      <c r="DH56" s="21">
        <f>EXP(-LN(2)/2)*DH55+(1-EXP(-LN(2)/2))/(LN(2)/2)*DB56*DE56*VLOOKUP('Données projet'!$B$13,Paramètres!$A$1:$I$89,3,0)*0.475*44/12</f>
        <v>0.93010942312959477</v>
      </c>
      <c r="DI56" s="22">
        <f t="shared" si="15"/>
        <v>70.677636509099713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6</v>
      </c>
      <c r="DO56" s="12">
        <f>IF('Données projet'!$A$166&gt;35,DO55+DN56-DW55,IF(A56&lt;'Données projet'!$A$166,$DL$205^A56,IF(A56='Données projet'!$A$166,'Données projet'!$B$166,DO55+DN56-DW55)))</f>
        <v>219.99999999999989</v>
      </c>
      <c r="DP56" s="17">
        <f>DO56*VLOOKUP('Données projet'!$B$14,Paramètres!$A$1:$I$89,3,0)*VLOOKUP('Données projet'!$B$14,Paramètres!$A$1:$I$89,5,0)</f>
        <v>178.46399999999991</v>
      </c>
      <c r="DQ56" s="13">
        <f t="shared" si="43"/>
        <v>44.980284206661821</v>
      </c>
      <c r="DR56" s="20">
        <f t="shared" si="16"/>
        <v>389.16546165993583</v>
      </c>
      <c r="DS56" s="59">
        <f t="shared" si="17"/>
        <v>682.49879499326914</v>
      </c>
      <c r="DT56" s="59">
        <f ca="1">AVERAGE(OFFSET($DS$3,0,0,'Données projet'!$E$14+1,1))-AVERAGE(OFFSET($H$3,0,0,'Données projet'!$E$14+1,1))</f>
        <v>304.26232113495314</v>
      </c>
      <c r="DU56" s="59">
        <f t="shared" si="44"/>
        <v>297.47246687305056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5.9900837330982171</v>
      </c>
      <c r="EB56" s="21">
        <f>EXP(-LN(2)/25)*EB55+(1-EXP(-LN(2)/25))/(LN(2)/25)*Calculateur!DW56*Calculateur!DY56*VLOOKUP('Données projet'!$B$14,Paramètres!$A$1:$I$89,3,0)*0.475*44/12</f>
        <v>6.111811675320725</v>
      </c>
      <c r="EC56" s="21">
        <f>EXP(-LN(2)/2)*EC55+(1-EXP(-LN(2)/2))/(LN(2)/2)*DW56*DZ56*VLOOKUP('Données projet'!$B$14,Paramètres!$A$1:$I$89,3,0)*0.475*44/12</f>
        <v>2.3488609358035064</v>
      </c>
      <c r="ED56" s="22">
        <f t="shared" si="18"/>
        <v>14.450756344222448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6</v>
      </c>
      <c r="EJ56" s="12">
        <f>IF('Données projet'!$A$192&gt;35,EJ55+EI56-ER55,IF(A56&lt;'Données projet'!$A$192,$EG$205^A56,IF(A56='Données projet'!$A$192,'Données projet'!$B$192,EJ55+EI56-ER55)))</f>
        <v>219.99999999999989</v>
      </c>
      <c r="EK56" s="17">
        <f>EJ56*VLOOKUP('Données projet'!$B$15,Paramètres!$A$1:$I$89,3,0)*VLOOKUP('Données projet'!$B$15,Paramètres!$A$1:$I$89,5,0)</f>
        <v>212.78399999999988</v>
      </c>
      <c r="EL56" s="13">
        <f t="shared" si="45"/>
        <v>52.543492641808065</v>
      </c>
      <c r="EM56" s="20">
        <f t="shared" si="19"/>
        <v>462.11204968448214</v>
      </c>
      <c r="EN56" s="59">
        <f t="shared" si="20"/>
        <v>755.4453830178154</v>
      </c>
      <c r="EO56" s="59">
        <f ca="1">AVERAGE(OFFSET($EN$3,0,0,'Données projet'!$E$15+1,1))-AVERAGE(OFFSET($H$3,0,0,'Données projet'!$E$15+1,1))</f>
        <v>355.72173590705142</v>
      </c>
      <c r="EP56" s="59">
        <f t="shared" si="46"/>
        <v>346.30980704469363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5.7944714196080715</v>
      </c>
      <c r="EW56" s="21">
        <f>EXP(-LN(2)/25)*EW55+(1-EXP(-LN(2)/25))/(LN(2)/25)*Calculateur!ER56*Calculateur!ET56*VLOOKUP('Données projet'!$B$15,Paramètres!$A$1:$I$89,3,0)*0.475*44/12</f>
        <v>5.9122242113225862</v>
      </c>
      <c r="EX56" s="21">
        <f>EXP(-LN(2)/2)*EX55+(1-EXP(-LN(2)/2))/(LN(2)/2)*ER56*EU56*VLOOKUP('Données projet'!$B$15,Paramètres!$A$1:$I$89,3,0)*0.475*44/12</f>
        <v>2.8005649619195654</v>
      </c>
      <c r="EY56" s="22">
        <f t="shared" si="21"/>
        <v>14.507260592850223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6</v>
      </c>
      <c r="FE56" s="12">
        <f>IF('Données projet'!$A$218&gt;35,FE55+FD56-FM55,IF(A56&lt;'Données projet'!$A$218,$FB$205^A56,IF(A56='Données projet'!$A$218,'Données projet'!$B$218,FE55+FD56-FM55)))</f>
        <v>219.99999999999989</v>
      </c>
      <c r="FF56" s="17">
        <f>FE56*VLOOKUP('Données projet'!$B$16,Paramètres!$A$1:$I$89,3,0)*VLOOKUP('Données projet'!$B$16,Paramètres!$A$1:$I$89,5,0)</f>
        <v>161.30399999999992</v>
      </c>
      <c r="FG56" s="13">
        <f t="shared" si="47"/>
        <v>41.136497157560363</v>
      </c>
      <c r="FH56" s="20">
        <f t="shared" si="22"/>
        <v>352.58386588275084</v>
      </c>
      <c r="FI56" s="59">
        <f t="shared" si="23"/>
        <v>645.9171992160841</v>
      </c>
      <c r="FJ56" s="59">
        <f ca="1">AVERAGE(OFFSET($FI$3,0,0,'Données projet'!$E$16+1,1))-AVERAGE(OFFSET($H$3,0,0,'Données projet'!$E$16+1,1))</f>
        <v>278.45534008146865</v>
      </c>
      <c r="FK56" s="59">
        <f t="shared" si="48"/>
        <v>272.97841038165217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4.3925831729286999</v>
      </c>
      <c r="FR56" s="21">
        <f>EXP(-LN(2)/25)*FR55+(1-EXP(-LN(2)/25))/(LN(2)/25)*Calculateur!FM56*Calculateur!FO56*VLOOKUP('Données projet'!$B$16,Paramètres!$A$1:$I$89,3,0)*0.475*44/12</f>
        <v>4.481847386002606</v>
      </c>
      <c r="FS56" s="21">
        <f>EXP(-LN(2)/2)*FS55+(1-EXP(-LN(2)/2))/(LN(2)/2)*FM56*FP56*VLOOKUP('Données projet'!$B$16,Paramètres!$A$1:$I$89,3,0)*0.475*44/12</f>
        <v>2.1230089227454765</v>
      </c>
      <c r="FT56" s="22">
        <f t="shared" si="24"/>
        <v>10.997439481676782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7.875</v>
      </c>
      <c r="N57" s="13">
        <f>IF('Données projet'!$A$36&gt;35,N56+M57-V56,IF(A57&lt;'Données projet'!$A$36,$K$205^A57,IF(A57='Données projet'!$A$36,'Données projet'!$B$36,N56+M57-V56)))</f>
        <v>147.5</v>
      </c>
      <c r="O57" s="13">
        <f>N57*VLOOKUP('Données projet'!$B$9,Paramètres!$A$1:$I$89,3,0)*VLOOKUP('Données projet'!$B$9,Paramètres!$A$1:$I$89,5,0)</f>
        <v>133.458</v>
      </c>
      <c r="P57" s="13">
        <f t="shared" si="33"/>
        <v>34.794176665003405</v>
      </c>
      <c r="Q57" s="20">
        <f t="shared" si="53"/>
        <v>293.03920769154757</v>
      </c>
      <c r="R57" s="59">
        <f t="shared" si="0"/>
        <v>586.37254102488089</v>
      </c>
      <c r="S57" s="59">
        <f ca="1">AVERAGE(OFFSET($R$3,0,0,'Données projet'!$E$9+1,1))-AVERAGE(OFFSET($H$3,0,0,'Données projet'!$E$9+1,1))</f>
        <v>436.03161778768742</v>
      </c>
      <c r="T57" s="59">
        <f t="shared" si="34"/>
        <v>217.65884352525285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6.7100854247981854</v>
      </c>
      <c r="AB57" s="21">
        <f>EXP(-LN(2)/2)*AB56+(1-EXP(-LN(2)/2))/(LN(2)/2)*V57*Y57*VLOOKUP('Données projet'!$B$9,Paramètres!$A$1:$I$89,3,0)*0.475*44/12</f>
        <v>0</v>
      </c>
      <c r="AC57" s="22">
        <f t="shared" si="3"/>
        <v>6.7100854247981854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7.875</v>
      </c>
      <c r="AI57" s="13">
        <f>IF('Données projet'!$A$62&gt;35,AI56+AH57-AQ56,IF(A57&lt;'Données projet'!$A$62,$AF$205^A57,IF(A57='Données projet'!$A$62,'Données projet'!$B$62,AI56+AH57-AQ56)))</f>
        <v>147.5</v>
      </c>
      <c r="AJ57" s="13">
        <f>AI57*VLOOKUP('Données projet'!$B$10,Paramètres!$A$1:$I$89,3,0)*VLOOKUP('Données projet'!$B$10,Paramètres!$A$1:$I$89,5,0)</f>
        <v>149.565</v>
      </c>
      <c r="AK57" s="13">
        <f t="shared" si="35"/>
        <v>38.47971360708231</v>
      </c>
      <c r="AL57" s="20">
        <f t="shared" si="4"/>
        <v>327.51120953233504</v>
      </c>
      <c r="AM57" s="59">
        <f t="shared" si="5"/>
        <v>620.84454286566836</v>
      </c>
      <c r="AN57" s="59">
        <f ca="1">AVERAGE(OFFSET($AM$3,0,0,'Données projet'!$E$10+1,1))-AVERAGE(OFFSET($H$3,0,0,'Données projet'!$E$10+1,1))</f>
        <v>483.45320081988984</v>
      </c>
      <c r="AO57" s="59">
        <f t="shared" si="36"/>
        <v>238.92443174298893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7.5199233208945184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7.5199233208945184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4.4000000000000004</v>
      </c>
      <c r="BD57" s="12">
        <f>IF('Données projet'!$A$88&gt;35,BD56+BC57-BL56,IF(A57&lt;'Données projet'!$A$88,$BA$205^A57,IF(A57='Données projet'!$A$88,'Données projet'!$B$88,BD56+BC57-BL56)))</f>
        <v>215.60000000000002</v>
      </c>
      <c r="BE57" s="13">
        <f>BD57*VLOOKUP('Données projet'!$B$11,Paramètres!$A$1:$I$89,3,0)*VLOOKUP('Données projet'!$B$11,Paramètres!$A$1:$I$89,5,0)</f>
        <v>188.34816000000004</v>
      </c>
      <c r="BF57" s="13">
        <f t="shared" si="37"/>
        <v>47.174569095030364</v>
      </c>
      <c r="BG57" s="20">
        <f t="shared" si="7"/>
        <v>410.20208650717791</v>
      </c>
      <c r="BH57" s="59">
        <f t="shared" si="8"/>
        <v>703.53541984051117</v>
      </c>
      <c r="BI57" s="59">
        <f ca="1">AVERAGE(OFFSET($BH$3,0,0,'Données projet'!$E$11+1,1))-AVERAGE(OFFSET($H$3,0,0,'Données projet'!$E$11+1,1))</f>
        <v>310.44153296396854</v>
      </c>
      <c r="BJ57" s="59">
        <f t="shared" si="38"/>
        <v>388.05195847800502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6.2528136400079966</v>
      </c>
      <c r="BQ57" s="21">
        <f>EXP(-LN(2)/25)*BQ56+(1-EXP(-LN(2)/25))/(LN(2)/25)*Calculateur!BL57*Calculateur!BN57*VLOOKUP('Données projet'!$B$11,Paramètres!$A$1:$I$89,3,0)*0.475*44/12</f>
        <v>5.7260414622845506</v>
      </c>
      <c r="BR57" s="21">
        <f>EXP(-LN(2)/2)*BR56+(1-EXP(-LN(2)/2))/(LN(2)/2)*BL57*BO57*VLOOKUP('Données projet'!$B$11,Paramètres!$A$1:$I$89,3,0)*0.475*44/12</f>
        <v>2.1153991366317144</v>
      </c>
      <c r="BS57" s="22">
        <f t="shared" si="9"/>
        <v>14.094254238924261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13.8</v>
      </c>
      <c r="BY57" s="12">
        <f>IF('Données projet'!$A$114&gt;35,BY56+BX57-CG56,IF(A57&lt;'Données projet'!$A$114,$BV$205^A57,IF(A57='Données projet'!$A$114,'Données projet'!$B$114,BY56+BX57-CG56)))</f>
        <v>636.19999999999959</v>
      </c>
      <c r="BZ57" s="13">
        <f>BY57*VLOOKUP('Données projet'!$B$12,Paramètres!$A$1:$I$89,3,0)*VLOOKUP('Données projet'!$B$12,Paramètres!$A$1:$I$89,5,0)</f>
        <v>355.63579999999973</v>
      </c>
      <c r="CA57" s="13">
        <f t="shared" si="39"/>
        <v>82.721899912765039</v>
      </c>
      <c r="CB57" s="20">
        <f t="shared" si="10"/>
        <v>763.47299401473185</v>
      </c>
      <c r="CC57" s="59">
        <f t="shared" si="11"/>
        <v>1056.8063273480652</v>
      </c>
      <c r="CD57" s="59">
        <f ca="1">AVERAGE(OFFSET($CC$3,0,0,'Données projet'!$E$12+1,1))-AVERAGE(OFFSET($H$3,0,0,'Données projet'!$E$12+1,1))</f>
        <v>443.34220761968419</v>
      </c>
      <c r="CE57" s="59">
        <f t="shared" si="40"/>
        <v>546.58234447298014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33.070071342732092</v>
      </c>
      <c r="CL57" s="21">
        <f>EXP(-LN(2)/25)*CL56+(1-EXP(-LN(2)/25))/(LN(2)/25)*Calculateur!CG57*Calculateur!CI57*VLOOKUP('Données projet'!$B$12,Paramètres!$A$1:$I$89,3,0)*0.475*44/12</f>
        <v>36.732673187564082</v>
      </c>
      <c r="CM57" s="21">
        <f>EXP(-LN(2)/2)*CM56+(1-EXP(-LN(2)/2))/(LN(2)/2)*CG57*CJ57*VLOOKUP('Données projet'!$B$12,Paramètres!$A$1:$I$89,3,0)*0.475*44/12</f>
        <v>2.0230815587336113</v>
      </c>
      <c r="CN57" s="22">
        <f t="shared" si="12"/>
        <v>71.825826089029775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9.75</v>
      </c>
      <c r="CT57" s="12">
        <f>IF('Données projet'!$A$140&gt;35,CT56+CS57-DB56,IF(A57&lt;'Données projet'!$A$140,$CQ$205^A57,IF(A57='Données projet'!$A$140,'Données projet'!$B$140,CT56+CS57-DB56)))</f>
        <v>245.5</v>
      </c>
      <c r="CU57" s="17">
        <f>CT57*VLOOKUP('Données projet'!$B$13,Paramètres!$A$1:$I$89,3,0)*VLOOKUP('Données projet'!$B$13,Paramètres!$A$1:$I$89,5,0)</f>
        <v>134.04300000000001</v>
      </c>
      <c r="CV57" s="13">
        <f t="shared" si="41"/>
        <v>34.928906226695894</v>
      </c>
      <c r="CW57" s="20">
        <f t="shared" si="13"/>
        <v>294.29273667816204</v>
      </c>
      <c r="CX57" s="59">
        <f t="shared" si="14"/>
        <v>587.62607001149536</v>
      </c>
      <c r="CY57" s="59">
        <f ca="1">AVERAGE(OFFSET($CX$3,0,0,'Données projet'!$E$13+1,1))-AVERAGE(OFFSET($H$3,0,0,'Données projet'!$E$13+1,1))</f>
        <v>214.22606988805535</v>
      </c>
      <c r="CZ57" s="59">
        <f t="shared" si="42"/>
        <v>305.78163836959078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41.742779860933581</v>
      </c>
      <c r="DG57" s="21">
        <f>EXP(-LN(2)/25)*DG56+(1-EXP(-LN(2)/25))/(LN(2)/25)*Calculateur!DB57*Calculateur!DD57*VLOOKUP('Données projet'!$B$13,Paramètres!$A$1:$I$89,3,0)*0.475*44/12</f>
        <v>26.426864167825389</v>
      </c>
      <c r="DH57" s="21">
        <f>EXP(-LN(2)/2)*DH56+(1-EXP(-LN(2)/2))/(LN(2)/2)*DB57*DE57*VLOOKUP('Données projet'!$B$13,Paramètres!$A$1:$I$89,3,0)*0.475*44/12</f>
        <v>0.65768668034044431</v>
      </c>
      <c r="DI57" s="22">
        <f t="shared" si="15"/>
        <v>68.827330709099414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6</v>
      </c>
      <c r="DO57" s="12">
        <f>IF('Données projet'!$A$166&gt;35,DO56+DN57-DW56,IF(A57&lt;'Données projet'!$A$166,$DL$205^A57,IF(A57='Données projet'!$A$166,'Données projet'!$B$166,DO56+DN57-DW56)))</f>
        <v>225.99999999999989</v>
      </c>
      <c r="DP57" s="17">
        <f>DO57*VLOOKUP('Données projet'!$B$14,Paramètres!$A$1:$I$89,3,0)*VLOOKUP('Données projet'!$B$14,Paramètres!$A$1:$I$89,5,0)</f>
        <v>183.33119999999991</v>
      </c>
      <c r="DQ57" s="13">
        <f t="shared" si="43"/>
        <v>46.062523974317784</v>
      </c>
      <c r="DR57" s="20">
        <f t="shared" si="16"/>
        <v>399.52740258860331</v>
      </c>
      <c r="DS57" s="59">
        <f t="shared" si="17"/>
        <v>692.86073592193657</v>
      </c>
      <c r="DT57" s="59">
        <f ca="1">AVERAGE(OFFSET($DS$3,0,0,'Données projet'!$E$14+1,1))-AVERAGE(OFFSET($H$3,0,0,'Données projet'!$E$14+1,1))</f>
        <v>304.26232113495314</v>
      </c>
      <c r="DU57" s="59">
        <f t="shared" si="44"/>
        <v>297.47246687305056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5.8726218446824765</v>
      </c>
      <c r="EB57" s="21">
        <f>EXP(-LN(2)/25)*EB56+(1-EXP(-LN(2)/25))/(LN(2)/25)*Calculateur!DW57*Calculateur!DY57*VLOOKUP('Données projet'!$B$14,Paramètres!$A$1:$I$89,3,0)*0.475*44/12</f>
        <v>5.9446838636528723</v>
      </c>
      <c r="EC57" s="21">
        <f>EXP(-LN(2)/2)*EC56+(1-EXP(-LN(2)/2))/(LN(2)/2)*DW57*DZ57*VLOOKUP('Données projet'!$B$14,Paramètres!$A$1:$I$89,3,0)*0.475*44/12</f>
        <v>1.6608954957708393</v>
      </c>
      <c r="ED57" s="22">
        <f t="shared" si="18"/>
        <v>13.478201204106188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6</v>
      </c>
      <c r="EJ57" s="12">
        <f>IF('Données projet'!$A$192&gt;35,EJ56+EI57-ER56,IF(A57&lt;'Données projet'!$A$192,$EG$205^A57,IF(A57='Données projet'!$A$192,'Données projet'!$B$192,EJ56+EI57-ER56)))</f>
        <v>225.99999999999989</v>
      </c>
      <c r="EK57" s="17">
        <f>EJ57*VLOOKUP('Données projet'!$B$15,Paramètres!$A$1:$I$89,3,0)*VLOOKUP('Données projet'!$B$15,Paramètres!$A$1:$I$89,5,0)</f>
        <v>218.58719999999988</v>
      </c>
      <c r="EL57" s="13">
        <f t="shared" si="45"/>
        <v>53.807705580242128</v>
      </c>
      <c r="EM57" s="20">
        <f t="shared" si="19"/>
        <v>474.42112721892153</v>
      </c>
      <c r="EN57" s="59">
        <f t="shared" si="20"/>
        <v>767.75446055225484</v>
      </c>
      <c r="EO57" s="59">
        <f ca="1">AVERAGE(OFFSET($EN$3,0,0,'Données projet'!$E$15+1,1))-AVERAGE(OFFSET($H$3,0,0,'Données projet'!$E$15+1,1))</f>
        <v>355.72173590705142</v>
      </c>
      <c r="EP57" s="59">
        <f t="shared" si="46"/>
        <v>346.30980704469363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5.680845369348142</v>
      </c>
      <c r="EW57" s="21">
        <f>EXP(-LN(2)/25)*EW56+(1-EXP(-LN(2)/25))/(LN(2)/25)*Calculateur!ER57*Calculateur!ET57*VLOOKUP('Données projet'!$B$15,Paramètres!$A$1:$I$89,3,0)*0.475*44/12</f>
        <v>5.7505541293536115</v>
      </c>
      <c r="EX57" s="21">
        <f>EXP(-LN(2)/2)*EX56+(1-EXP(-LN(2)/2))/(LN(2)/2)*ER57*EU57*VLOOKUP('Données projet'!$B$15,Paramètres!$A$1:$I$89,3,0)*0.475*44/12</f>
        <v>1.9802984757267701</v>
      </c>
      <c r="EY57" s="22">
        <f t="shared" si="21"/>
        <v>13.411697974428524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6</v>
      </c>
      <c r="FE57" s="12">
        <f>IF('Données projet'!$A$218&gt;35,FE56+FD57-FM56,IF(A57&lt;'Données projet'!$A$218,$FB$205^A57,IF(A57='Données projet'!$A$218,'Données projet'!$B$218,FE56+FD57-FM56)))</f>
        <v>225.99999999999989</v>
      </c>
      <c r="FF57" s="17">
        <f>FE57*VLOOKUP('Données projet'!$B$16,Paramètres!$A$1:$I$89,3,0)*VLOOKUP('Données projet'!$B$16,Paramètres!$A$1:$I$89,5,0)</f>
        <v>165.70319999999992</v>
      </c>
      <c r="FG57" s="13">
        <f t="shared" si="47"/>
        <v>42.126254201367267</v>
      </c>
      <c r="FH57" s="20">
        <f t="shared" si="22"/>
        <v>361.96963273404782</v>
      </c>
      <c r="FI57" s="59">
        <f t="shared" si="23"/>
        <v>655.30296606738113</v>
      </c>
      <c r="FJ57" s="59">
        <f ca="1">AVERAGE(OFFSET($FI$3,0,0,'Données projet'!$E$16+1,1))-AVERAGE(OFFSET($H$3,0,0,'Données projet'!$E$16+1,1))</f>
        <v>278.45534008146865</v>
      </c>
      <c r="FK57" s="59">
        <f t="shared" si="48"/>
        <v>272.97841038165217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4.3064472961187539</v>
      </c>
      <c r="FR57" s="21">
        <f>EXP(-LN(2)/25)*FR56+(1-EXP(-LN(2)/25))/(LN(2)/25)*Calculateur!FM57*Calculateur!FO57*VLOOKUP('Données projet'!$B$16,Paramètres!$A$1:$I$89,3,0)*0.475*44/12</f>
        <v>4.3592910335422541</v>
      </c>
      <c r="FS57" s="21">
        <f>EXP(-LN(2)/2)*FS56+(1-EXP(-LN(2)/2))/(LN(2)/2)*FM57*FP57*VLOOKUP('Données projet'!$B$16,Paramètres!$A$1:$I$89,3,0)*0.475*44/12</f>
        <v>1.5011940057928737</v>
      </c>
      <c r="FT57" s="22">
        <f t="shared" si="24"/>
        <v>10.166932335453881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7.875</v>
      </c>
      <c r="N58" s="13">
        <f>IF('Données projet'!$A$36&gt;35,N57+M58-V57,IF(A58&lt;'Données projet'!$A$36,$K$205^A58,IF(A58='Données projet'!$A$36,'Données projet'!$B$36,N57+M58-V57)))</f>
        <v>155.375</v>
      </c>
      <c r="O58" s="13">
        <f>N58*VLOOKUP('Données projet'!$B$9,Paramètres!$A$1:$I$89,3,0)*VLOOKUP('Données projet'!$B$9,Paramètres!$A$1:$I$89,5,0)</f>
        <v>140.58329999999998</v>
      </c>
      <c r="P58" s="13">
        <f t="shared" si="33"/>
        <v>36.430598981754322</v>
      </c>
      <c r="Q58" s="20">
        <f t="shared" si="53"/>
        <v>308.29920739322205</v>
      </c>
      <c r="R58" s="59">
        <f t="shared" si="0"/>
        <v>601.63254072655536</v>
      </c>
      <c r="S58" s="59">
        <f ca="1">AVERAGE(OFFSET($R$3,0,0,'Données projet'!$E$9+1,1))-AVERAGE(OFFSET($H$3,0,0,'Données projet'!$E$9+1,1))</f>
        <v>436.03161778768742</v>
      </c>
      <c r="T58" s="59">
        <f t="shared" si="34"/>
        <v>217.65884352525285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6.526597785989023</v>
      </c>
      <c r="AB58" s="21">
        <f>EXP(-LN(2)/2)*AB57+(1-EXP(-LN(2)/2))/(LN(2)/2)*V58*Y58*VLOOKUP('Données projet'!$B$9,Paramètres!$A$1:$I$89,3,0)*0.475*44/12</f>
        <v>0</v>
      </c>
      <c r="AC58" s="22">
        <f t="shared" si="3"/>
        <v>6.526597785989023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7.875</v>
      </c>
      <c r="AI58" s="13">
        <f>IF('Données projet'!$A$62&gt;35,AI57+AH58-AQ57,IF(A58&lt;'Données projet'!$A$62,$AF$205^A58,IF(A58='Données projet'!$A$62,'Données projet'!$B$62,AI57+AH58-AQ57)))</f>
        <v>155.375</v>
      </c>
      <c r="AJ58" s="13">
        <f>AI58*VLOOKUP('Données projet'!$B$10,Paramètres!$A$1:$I$89,3,0)*VLOOKUP('Données projet'!$B$10,Paramètres!$A$1:$I$89,5,0)</f>
        <v>157.55025000000001</v>
      </c>
      <c r="AK58" s="13">
        <f t="shared" si="35"/>
        <v>40.289472254199509</v>
      </c>
      <c r="AL58" s="20">
        <f t="shared" si="4"/>
        <v>344.57084959273078</v>
      </c>
      <c r="AM58" s="59">
        <f t="shared" si="5"/>
        <v>637.9041829260641</v>
      </c>
      <c r="AN58" s="59">
        <f ca="1">AVERAGE(OFFSET($AM$3,0,0,'Données projet'!$E$10+1,1))-AVERAGE(OFFSET($H$3,0,0,'Données projet'!$E$10+1,1))</f>
        <v>483.45320081988984</v>
      </c>
      <c r="AO58" s="59">
        <f t="shared" si="36"/>
        <v>238.92443174298893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7.3142906222290778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7.3142906222290778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4.4000000000000004</v>
      </c>
      <c r="BD58" s="12">
        <f>IF('Données projet'!$A$88&gt;35,BD57+BC58-BL57,IF(A58&lt;'Données projet'!$A$88,$BA$205^A58,IF(A58='Données projet'!$A$88,'Données projet'!$B$88,BD57+BC58-BL57)))</f>
        <v>220.00000000000003</v>
      </c>
      <c r="BE58" s="13">
        <f>BD58*VLOOKUP('Données projet'!$B$11,Paramètres!$A$1:$I$89,3,0)*VLOOKUP('Données projet'!$B$11,Paramètres!$A$1:$I$89,5,0)</f>
        <v>192.19200000000006</v>
      </c>
      <c r="BF58" s="13">
        <f t="shared" si="37"/>
        <v>48.02424892193244</v>
      </c>
      <c r="BG58" s="20">
        <f t="shared" si="7"/>
        <v>418.37663353903241</v>
      </c>
      <c r="BH58" s="59">
        <f t="shared" si="8"/>
        <v>711.70996687236573</v>
      </c>
      <c r="BI58" s="59">
        <f ca="1">AVERAGE(OFFSET($BH$3,0,0,'Données projet'!$E$11+1,1))-AVERAGE(OFFSET($H$3,0,0,'Données projet'!$E$11+1,1))</f>
        <v>310.44153296396854</v>
      </c>
      <c r="BJ58" s="59">
        <f t="shared" si="38"/>
        <v>388.05195847800502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6.1301997783671744</v>
      </c>
      <c r="BQ58" s="21">
        <f>EXP(-LN(2)/25)*BQ57+(1-EXP(-LN(2)/25))/(LN(2)/25)*Calculateur!BL58*Calculateur!BN58*VLOOKUP('Données projet'!$B$11,Paramètres!$A$1:$I$89,3,0)*0.475*44/12</f>
        <v>5.5694625573789462</v>
      </c>
      <c r="BR58" s="21">
        <f>EXP(-LN(2)/2)*BR57+(1-EXP(-LN(2)/2))/(LN(2)/2)*BL58*BO58*VLOOKUP('Données projet'!$B$11,Paramètres!$A$1:$I$89,3,0)*0.475*44/12</f>
        <v>1.4958130744284532</v>
      </c>
      <c r="BS58" s="22">
        <f t="shared" si="9"/>
        <v>13.195475410174573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650</v>
      </c>
      <c r="BW58" s="12">
        <f>VLOOKUP(A58,'Données projet'!$A$113:$I$133,9,0)</f>
        <v>13.8</v>
      </c>
      <c r="BX58" s="12">
        <f t="array" ref="BX58">INDEX(BW:BW,MIN(IF(ISNUMBER(BW58:BW254),ROW(BW58:BW254),"")))</f>
        <v>13.8</v>
      </c>
      <c r="BY58" s="12">
        <f>IF('Données projet'!$A$114&gt;35,BY57+BX58-CG57,IF(A58&lt;'Données projet'!$A$114,$BV$205^A58,IF(A58='Données projet'!$A$114,'Données projet'!$B$114,BY57+BX58-CG57)))</f>
        <v>649.99999999999955</v>
      </c>
      <c r="BZ58" s="13">
        <f>BY58*VLOOKUP('Données projet'!$B$12,Paramètres!$A$1:$I$89,3,0)*VLOOKUP('Données projet'!$B$12,Paramètres!$A$1:$I$89,5,0)</f>
        <v>363.34999999999974</v>
      </c>
      <c r="CA58" s="13">
        <f t="shared" si="39"/>
        <v>84.305397464498199</v>
      </c>
      <c r="CB58" s="20">
        <f t="shared" si="10"/>
        <v>779.66648391733395</v>
      </c>
      <c r="CC58" s="59">
        <f t="shared" si="11"/>
        <v>1072.9998172506673</v>
      </c>
      <c r="CD58" s="59">
        <f ca="1">AVERAGE(OFFSET($CC$3,0,0,'Données projet'!$E$12+1,1))-AVERAGE(OFFSET($H$3,0,0,'Données projet'!$E$12+1,1))</f>
        <v>443.34220761968419</v>
      </c>
      <c r="CE58" s="59">
        <f t="shared" si="40"/>
        <v>546.58234447298014</v>
      </c>
      <c r="CF58" s="15">
        <f>IF(ISNA(VLOOKUP(A58,'Données projet'!$A$113:$I$133,3,0)),0,VLOOKUP(A58,'Données projet'!$A$113:$I$133,3,0))</f>
        <v>7</v>
      </c>
      <c r="CG58" s="15">
        <f>IF(ISNA(VLOOKUP(A58,'Données projet'!$A$113:$I$133,4,0)),0,VLOOKUP(A58,'Données projet'!$A$113:$I$133,4,0))</f>
        <v>35</v>
      </c>
      <c r="CH58" s="16">
        <f>IF(ISNA(VLOOKUP(A58,'Données projet'!$A$113:$I$133,5,0)),0%,VLOOKUP(A58,'Données projet'!$A$113:$I$133,5,0)*VLOOKUP('Données projet'!$B$12,Paramètres!$A$1:$I$89,7,0))</f>
        <v>0.33</v>
      </c>
      <c r="CI58" s="16">
        <f>IF(ISNA(VLOOKUP(A58,'Données projet'!$A$113:$I$133,6,0)),0%,VLOOKUP(A58,'Données projet'!$A$113:$I$133,6,0)*VLOOKUP('Données projet'!$B$12,Paramètres!$A$1:$I$89,7,0))</f>
        <v>0.11000000000000001</v>
      </c>
      <c r="CJ58" s="16">
        <f>IF(ISNA(VLOOKUP(A58,'Données projet'!$A$113:$I$133,7,0)),0%,VLOOKUP(A58,'Données projet'!$A$113:$I$133,7,0))</f>
        <v>0.2</v>
      </c>
      <c r="CK58" s="21">
        <f>EXP(-LN(2)/35)*CK57+(1-EXP(-LN(2)/35))/(LN(2)/35)*CG58*CH58*VLOOKUP('Données projet'!$B$12,Paramètres!$A$1:$I$89,3,0)*0.475*44/12</f>
        <v>40.98648449277556</v>
      </c>
      <c r="CL58" s="21">
        <f>EXP(-LN(2)/25)*CL57+(1-EXP(-LN(2)/25))/(LN(2)/25)*Calculateur!CG58*Calculateur!CI58*VLOOKUP('Données projet'!$B$12,Paramètres!$A$1:$I$89,3,0)*0.475*44/12</f>
        <v>38.571940912577354</v>
      </c>
      <c r="CM58" s="21">
        <f>EXP(-LN(2)/2)*CM57+(1-EXP(-LN(2)/2))/(LN(2)/2)*CG58*CJ58*VLOOKUP('Données projet'!$B$12,Paramètres!$A$1:$I$89,3,0)*0.475*44/12</f>
        <v>5.8609596692950481</v>
      </c>
      <c r="CN58" s="22">
        <f t="shared" si="12"/>
        <v>85.419385074647963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9.75</v>
      </c>
      <c r="CT58" s="12">
        <f>IF('Données projet'!$A$140&gt;35,CT57+CS58-DB57,IF(A58&lt;'Données projet'!$A$140,$CQ$205^A58,IF(A58='Données projet'!$A$140,'Données projet'!$B$140,CT57+CS58-DB57)))</f>
        <v>255.25</v>
      </c>
      <c r="CU58" s="17">
        <f>CT58*VLOOKUP('Données projet'!$B$13,Paramètres!$A$1:$I$89,3,0)*VLOOKUP('Données projet'!$B$13,Paramètres!$A$1:$I$89,5,0)</f>
        <v>139.3665</v>
      </c>
      <c r="CV58" s="13">
        <f t="shared" si="41"/>
        <v>36.151841256749016</v>
      </c>
      <c r="CW58" s="20">
        <f t="shared" si="13"/>
        <v>305.69444435550452</v>
      </c>
      <c r="CX58" s="59">
        <f t="shared" si="14"/>
        <v>599.02777768883789</v>
      </c>
      <c r="CY58" s="59">
        <f ca="1">AVERAGE(OFFSET($CX$3,0,0,'Données projet'!$E$13+1,1))-AVERAGE(OFFSET($H$3,0,0,'Données projet'!$E$13+1,1))</f>
        <v>214.22606988805535</v>
      </c>
      <c r="CZ58" s="59">
        <f t="shared" si="42"/>
        <v>305.78163836959078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40.924229408442365</v>
      </c>
      <c r="DG58" s="21">
        <f>EXP(-LN(2)/25)*DG57+(1-EXP(-LN(2)/25))/(LN(2)/25)*Calculateur!DB58*Calculateur!DD58*VLOOKUP('Données projet'!$B$13,Paramètres!$A$1:$I$89,3,0)*0.475*44/12</f>
        <v>25.704220177427818</v>
      </c>
      <c r="DH58" s="21">
        <f>EXP(-LN(2)/2)*DH57+(1-EXP(-LN(2)/2))/(LN(2)/2)*DB58*DE58*VLOOKUP('Données projet'!$B$13,Paramètres!$A$1:$I$89,3,0)*0.475*44/12</f>
        <v>0.46505471156479739</v>
      </c>
      <c r="DI58" s="22">
        <f t="shared" si="15"/>
        <v>67.09350429743499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232</v>
      </c>
      <c r="DM58" s="12">
        <f>VLOOKUP(A58,'Données projet'!$A$165:$I$185,9,0)</f>
        <v>6</v>
      </c>
      <c r="DN58" s="12">
        <f t="array" ref="DN58">INDEX(DM:DM,MIN(IF(ISNUMBER(DM58:DM254),ROW(DM58:DM254),"")))</f>
        <v>6</v>
      </c>
      <c r="DO58" s="12">
        <f>IF('Données projet'!$A$166&gt;35,DO57+DN58-DW57,IF(A58&lt;'Données projet'!$A$166,$DL$205^A58,IF(A58='Données projet'!$A$166,'Données projet'!$B$166,DO57+DN58-DW57)))</f>
        <v>231.99999999999989</v>
      </c>
      <c r="DP58" s="17">
        <f>DO58*VLOOKUP('Données projet'!$B$14,Paramètres!$A$1:$I$89,3,0)*VLOOKUP('Données projet'!$B$14,Paramètres!$A$1:$I$89,5,0)</f>
        <v>188.19839999999991</v>
      </c>
      <c r="DQ58" s="13">
        <f t="shared" si="43"/>
        <v>47.141424081428013</v>
      </c>
      <c r="DR58" s="20">
        <f t="shared" si="16"/>
        <v>409.88352694182026</v>
      </c>
      <c r="DS58" s="59">
        <f t="shared" si="17"/>
        <v>703.21686027515352</v>
      </c>
      <c r="DT58" s="59">
        <f ca="1">AVERAGE(OFFSET($DS$3,0,0,'Données projet'!$E$14+1,1))-AVERAGE(OFFSET($H$3,0,0,'Données projet'!$E$14+1,1))</f>
        <v>304.26232113495314</v>
      </c>
      <c r="DU58" s="59">
        <f t="shared" si="44"/>
        <v>297.47246687305056</v>
      </c>
      <c r="DV58" s="15">
        <f>IF(ISNA(VLOOKUP(A58,'Données projet'!$A$165:$I$185,3,0)),0,VLOOKUP(A58,'Données projet'!$A$165:$I$185,3,0))</f>
        <v>9</v>
      </c>
      <c r="DW58" s="15">
        <f>IF(ISNA(VLOOKUP(A58,'Données projet'!$A$165:$I$185,4,0)),0,VLOOKUP(A58,'Données projet'!$A$165:$I$185,4,0))</f>
        <v>13</v>
      </c>
      <c r="DX58" s="16">
        <f>IF(ISNA(VLOOKUP(A58,'Données projet'!$A$165:$I$185,5,0)),0%,VLOOKUP(A58,'Données projet'!$A$165:$I$185,5,0)*VLOOKUP('Données projet'!$B$14,Paramètres!$A$1:$I$89,7,0))</f>
        <v>0.26500000000000001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0.3</v>
      </c>
      <c r="EA58" s="21">
        <f>EXP(-LN(2)/35)*EA57+(1-EXP(-LN(2)/35))/(LN(2)/35)*DW58*DX58*VLOOKUP('Données projet'!$B$14,Paramètres!$A$1:$I$89,3,0)*0.475*44/12</f>
        <v>8.846793147370601</v>
      </c>
      <c r="EB58" s="21">
        <f>EXP(-LN(2)/25)*EB57+(1-EXP(-LN(2)/25))/(LN(2)/25)*Calculateur!DW58*Calculateur!DY58*VLOOKUP('Données projet'!$B$14,Paramètres!$A$1:$I$89,3,0)*0.475*44/12</f>
        <v>5.7821261707839469</v>
      </c>
      <c r="EC58" s="21">
        <f>EXP(-LN(2)/2)*EC57+(1-EXP(-LN(2)/2))/(LN(2)/2)*DW58*DZ58*VLOOKUP('Données projet'!$B$14,Paramètres!$A$1:$I$89,3,0)*0.475*44/12</f>
        <v>4.1594476971005276</v>
      </c>
      <c r="ED58" s="22">
        <f t="shared" si="18"/>
        <v>18.788367015255076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232</v>
      </c>
      <c r="EH58" s="12">
        <f>VLOOKUP(A58,'Données projet'!$A$191:$I$211,9,0)</f>
        <v>6</v>
      </c>
      <c r="EI58" s="12">
        <f t="array" ref="EI58">INDEX(EH:EH,MIN(IF(ISNUMBER(EH58:EH254),ROW(EH58:EH254),"")))</f>
        <v>6</v>
      </c>
      <c r="EJ58" s="12">
        <f>IF('Données projet'!$A$192&gt;35,EJ57+EI58-ER57,IF(A58&lt;'Données projet'!$A$192,$EG$205^A58,IF(A58='Données projet'!$A$192,'Données projet'!$B$192,EJ57+EI58-ER57)))</f>
        <v>231.99999999999989</v>
      </c>
      <c r="EK58" s="17">
        <f>EJ58*VLOOKUP('Données projet'!$B$15,Paramètres!$A$1:$I$89,3,0)*VLOOKUP('Données projet'!$B$15,Paramètres!$A$1:$I$89,5,0)</f>
        <v>224.39039999999989</v>
      </c>
      <c r="EL58" s="13">
        <f t="shared" si="45"/>
        <v>55.068017311015808</v>
      </c>
      <c r="EM58" s="20">
        <f t="shared" si="19"/>
        <v>486.72341015001894</v>
      </c>
      <c r="EN58" s="59">
        <f t="shared" si="20"/>
        <v>780.05674348335219</v>
      </c>
      <c r="EO58" s="59">
        <f ca="1">AVERAGE(OFFSET($EN$3,0,0,'Données projet'!$E$15+1,1))-AVERAGE(OFFSET($H$3,0,0,'Données projet'!$E$15+1,1))</f>
        <v>355.72173590705142</v>
      </c>
      <c r="EP58" s="59">
        <f t="shared" si="46"/>
        <v>346.30980704469363</v>
      </c>
      <c r="EQ58" s="15">
        <f>IF(ISNA(VLOOKUP(A58,'Données projet'!$A$191:$I$211,3,0)),0,VLOOKUP(A58,'Données projet'!$A$191:$I$211,3,0))</f>
        <v>9</v>
      </c>
      <c r="ER58" s="15">
        <f>IF(ISNA(VLOOKUP(A58,'Données projet'!$A$191:$I$211,4,0)),0,VLOOKUP(A58,'Données projet'!$A$191:$I$211,4,0))</f>
        <v>13</v>
      </c>
      <c r="ES58" s="16">
        <f>IF(ISNA(VLOOKUP(A58,'Données projet'!$A$191:$I$211,5,0)),0%,VLOOKUP(A58,'Données projet'!$A$191:$I$211,5,0)*VLOOKUP('Données projet'!$B$15,Paramètres!$A$1:$I$89,7,0))</f>
        <v>0.215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0.3</v>
      </c>
      <c r="EV58" s="21">
        <f>EXP(-LN(2)/35)*EV57+(1-EXP(-LN(2)/35))/(LN(2)/35)*ER58*ES58*VLOOKUP('Données projet'!$B$15,Paramètres!$A$1:$I$89,3,0)*0.475*44/12</f>
        <v>8.5578920649092964</v>
      </c>
      <c r="EW58" s="21">
        <f>EXP(-LN(2)/25)*EW57+(1-EXP(-LN(2)/25))/(LN(2)/25)*Calculateur!ER58*Calculateur!ET58*VLOOKUP('Données projet'!$B$15,Paramètres!$A$1:$I$89,3,0)*0.475*44/12</f>
        <v>5.5933049242779385</v>
      </c>
      <c r="EX58" s="21">
        <f>EXP(-LN(2)/2)*EX57+(1-EXP(-LN(2)/2))/(LN(2)/2)*ER58*EU58*VLOOKUP('Données projet'!$B$15,Paramètres!$A$1:$I$89,3,0)*0.475*44/12</f>
        <v>4.9593414850044759</v>
      </c>
      <c r="EY58" s="22">
        <f t="shared" si="21"/>
        <v>19.11053847419171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232</v>
      </c>
      <c r="FC58" s="12">
        <f>VLOOKUP(A58,'Données projet'!$A$217:$I$237,9,0)</f>
        <v>6</v>
      </c>
      <c r="FD58" s="12">
        <f t="array" ref="FD58">INDEX(FC:FC,MIN(IF(ISNUMBER(FC58:FC254),ROW(FC58:FC254),"")))</f>
        <v>6</v>
      </c>
      <c r="FE58" s="12">
        <f>IF('Données projet'!$A$218&gt;35,FE57+FD58-FM57,IF(A58&lt;'Données projet'!$A$218,$FB$205^A58,IF(A58='Données projet'!$A$218,'Données projet'!$B$218,FE57+FD58-FM57)))</f>
        <v>231.99999999999989</v>
      </c>
      <c r="FF58" s="17">
        <f>FE58*VLOOKUP('Données projet'!$B$16,Paramètres!$A$1:$I$89,3,0)*VLOOKUP('Données projet'!$B$16,Paramètres!$A$1:$I$89,5,0)</f>
        <v>170.1023999999999</v>
      </c>
      <c r="FG58" s="13">
        <f t="shared" si="47"/>
        <v>43.112956975087329</v>
      </c>
      <c r="FH58" s="20">
        <f t="shared" si="22"/>
        <v>371.35008006494354</v>
      </c>
      <c r="FI58" s="59">
        <f t="shared" si="23"/>
        <v>664.6834133982768</v>
      </c>
      <c r="FJ58" s="59">
        <f ca="1">AVERAGE(OFFSET($FI$3,0,0,'Données projet'!$E$16+1,1))-AVERAGE(OFFSET($H$3,0,0,'Données projet'!$E$16+1,1))</f>
        <v>278.45534008146865</v>
      </c>
      <c r="FK58" s="59">
        <f t="shared" si="48"/>
        <v>272.97841038165217</v>
      </c>
      <c r="FL58" s="15">
        <f>IF(ISNA(VLOOKUP(A58,'Données projet'!$A$217:$I$237,3,0)),0,VLOOKUP(A58,'Données projet'!$A$217:$I$237,3,0))</f>
        <v>9</v>
      </c>
      <c r="FM58" s="15">
        <f>IF(ISNA(VLOOKUP(A58,'Données projet'!$A$217:$I$237,4,0)),0,VLOOKUP(A58,'Données projet'!$A$217:$I$237,4,0))</f>
        <v>13</v>
      </c>
      <c r="FN58" s="16">
        <f>IF(ISNA(VLOOKUP(A58,'Données projet'!$A$217:$I$237,5,0)),0%,VLOOKUP(A58,'Données projet'!$A$217:$I$237,5,0)*VLOOKUP('Données projet'!$B$16,Paramètres!$A$1:$I$89,7,0))</f>
        <v>0.215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0.3</v>
      </c>
      <c r="FQ58" s="21">
        <f>EXP(-LN(2)/35)*FQ57+(1-EXP(-LN(2)/35))/(LN(2)/35)*FM58*FN58*VLOOKUP('Données projet'!$B$16,Paramètres!$A$1:$I$89,3,0)*0.475*44/12</f>
        <v>6.4874343072699503</v>
      </c>
      <c r="FR58" s="21">
        <f>EXP(-LN(2)/25)*FR57+(1-EXP(-LN(2)/25))/(LN(2)/25)*Calculateur!FM58*Calculateur!FO58*VLOOKUP('Données projet'!$B$16,Paramètres!$A$1:$I$89,3,0)*0.475*44/12</f>
        <v>4.2400859909848894</v>
      </c>
      <c r="FS58" s="21">
        <f>EXP(-LN(2)/2)*FS57+(1-EXP(-LN(2)/2))/(LN(2)/2)*FM58*FP58*VLOOKUP('Données projet'!$B$16,Paramètres!$A$1:$I$89,3,0)*0.475*44/12</f>
        <v>3.7595008031485531</v>
      </c>
      <c r="FT58" s="22">
        <f t="shared" si="24"/>
        <v>14.487021101403393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7.875</v>
      </c>
      <c r="N59" s="13">
        <f>IF('Données projet'!$A$36&gt;35,N58+M59-V58,IF(A59&lt;'Données projet'!$A$36,$K$205^A59,IF(A59='Données projet'!$A$36,'Données projet'!$B$36,N58+M59-V58)))</f>
        <v>163.25</v>
      </c>
      <c r="O59" s="13">
        <f>N59*VLOOKUP('Données projet'!$B$9,Paramètres!$A$1:$I$89,3,0)*VLOOKUP('Données projet'!$B$9,Paramètres!$A$1:$I$89,5,0)</f>
        <v>147.70859999999999</v>
      </c>
      <c r="P59" s="13">
        <f t="shared" si="33"/>
        <v>38.057391134324966</v>
      </c>
      <c r="Q59" s="20">
        <f t="shared" si="53"/>
        <v>323.54243455894931</v>
      </c>
      <c r="R59" s="59">
        <f t="shared" si="0"/>
        <v>616.87576789228262</v>
      </c>
      <c r="S59" s="59">
        <f ca="1">AVERAGE(OFFSET($R$3,0,0,'Données projet'!$E$9+1,1))-AVERAGE(OFFSET($H$3,0,0,'Données projet'!$E$9+1,1))</f>
        <v>436.03161778768742</v>
      </c>
      <c r="T59" s="59">
        <f t="shared" si="34"/>
        <v>217.65884352525285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6.3481276263122925</v>
      </c>
      <c r="AB59" s="21">
        <f>EXP(-LN(2)/2)*AB58+(1-EXP(-LN(2)/2))/(LN(2)/2)*V59*Y59*VLOOKUP('Données projet'!$B$9,Paramètres!$A$1:$I$89,3,0)*0.475*44/12</f>
        <v>0</v>
      </c>
      <c r="AC59" s="22">
        <f t="shared" si="3"/>
        <v>6.3481276263122925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7.875</v>
      </c>
      <c r="AI59" s="13">
        <f>IF('Données projet'!$A$62&gt;35,AI58+AH59-AQ58,IF(A59&lt;'Données projet'!$A$62,$AF$205^A59,IF(A59='Données projet'!$A$62,'Données projet'!$B$62,AI58+AH59-AQ58)))</f>
        <v>163.25</v>
      </c>
      <c r="AJ59" s="13">
        <f>AI59*VLOOKUP('Données projet'!$B$10,Paramètres!$A$1:$I$89,3,0)*VLOOKUP('Données projet'!$B$10,Paramètres!$A$1:$I$89,5,0)</f>
        <v>165.53550000000001</v>
      </c>
      <c r="AK59" s="13">
        <f t="shared" si="35"/>
        <v>42.08858067202079</v>
      </c>
      <c r="AL59" s="20">
        <f t="shared" si="4"/>
        <v>361.61194050376952</v>
      </c>
      <c r="AM59" s="59">
        <f t="shared" si="5"/>
        <v>654.94527383710283</v>
      </c>
      <c r="AN59" s="59">
        <f ca="1">AVERAGE(OFFSET($AM$3,0,0,'Données projet'!$E$10+1,1))-AVERAGE(OFFSET($H$3,0,0,'Données projet'!$E$10+1,1))</f>
        <v>483.45320081988984</v>
      </c>
      <c r="AO59" s="59">
        <f t="shared" si="36"/>
        <v>238.92443174298893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7.1142809605223967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7.1142809605223967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4.4000000000000004</v>
      </c>
      <c r="BD59" s="12">
        <f>IF('Données projet'!$A$88&gt;35,BD58+BC59-BL58,IF(A59&lt;'Données projet'!$A$88,$BA$205^A59,IF(A59='Données projet'!$A$88,'Données projet'!$B$88,BD58+BC59-BL58)))</f>
        <v>224.40000000000003</v>
      </c>
      <c r="BE59" s="13">
        <f>BD59*VLOOKUP('Données projet'!$B$11,Paramètres!$A$1:$I$89,3,0)*VLOOKUP('Données projet'!$B$11,Paramètres!$A$1:$I$89,5,0)</f>
        <v>196.03584000000006</v>
      </c>
      <c r="BF59" s="13">
        <f t="shared" si="37"/>
        <v>48.871952855623455</v>
      </c>
      <c r="BG59" s="20">
        <f t="shared" si="7"/>
        <v>426.54773922354428</v>
      </c>
      <c r="BH59" s="59">
        <f t="shared" si="8"/>
        <v>719.8810725568776</v>
      </c>
      <c r="BI59" s="59">
        <f ca="1">AVERAGE(OFFSET($BH$3,0,0,'Données projet'!$E$11+1,1))-AVERAGE(OFFSET($H$3,0,0,'Données projet'!$E$11+1,1))</f>
        <v>310.44153296396854</v>
      </c>
      <c r="BJ59" s="59">
        <f t="shared" si="38"/>
        <v>388.05195847800502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6.0099902997660584</v>
      </c>
      <c r="BQ59" s="21">
        <f>EXP(-LN(2)/25)*BQ58+(1-EXP(-LN(2)/25))/(LN(2)/25)*Calculateur!BL59*Calculateur!BN59*VLOOKUP('Données projet'!$B$11,Paramètres!$A$1:$I$89,3,0)*0.475*44/12</f>
        <v>5.4171653108621118</v>
      </c>
      <c r="BR59" s="21">
        <f>EXP(-LN(2)/2)*BR58+(1-EXP(-LN(2)/2))/(LN(2)/2)*BL59*BO59*VLOOKUP('Données projet'!$B$11,Paramètres!$A$1:$I$89,3,0)*0.475*44/12</f>
        <v>1.0576995683158572</v>
      </c>
      <c r="BS59" s="22">
        <f t="shared" si="9"/>
        <v>12.484855178944027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10.199999999999999</v>
      </c>
      <c r="BY59" s="12">
        <f>IF('Données projet'!$A$114&gt;35,BY58+BX59-CG58,IF(A59&lt;'Données projet'!$A$114,$BV$205^A59,IF(A59='Données projet'!$A$114,'Données projet'!$B$114,BY58+BX59-CG58)))</f>
        <v>625.19999999999959</v>
      </c>
      <c r="BZ59" s="13">
        <f>BY59*VLOOKUP('Données projet'!$B$12,Paramètres!$A$1:$I$89,3,0)*VLOOKUP('Données projet'!$B$12,Paramètres!$A$1:$I$89,5,0)</f>
        <v>349.48679999999979</v>
      </c>
      <c r="CA59" s="13">
        <f t="shared" si="39"/>
        <v>81.45682900536228</v>
      </c>
      <c r="CB59" s="20">
        <f t="shared" si="10"/>
        <v>750.56015385100557</v>
      </c>
      <c r="CC59" s="59">
        <f t="shared" si="11"/>
        <v>1043.8934871843389</v>
      </c>
      <c r="CD59" s="59">
        <f ca="1">AVERAGE(OFFSET($CC$3,0,0,'Données projet'!$E$12+1,1))-AVERAGE(OFFSET($H$3,0,0,'Données projet'!$E$12+1,1))</f>
        <v>443.34220761968419</v>
      </c>
      <c r="CE59" s="59">
        <f t="shared" si="40"/>
        <v>546.58234447298014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40.1827645311593</v>
      </c>
      <c r="CL59" s="21">
        <f>EXP(-LN(2)/25)*CL58+(1-EXP(-LN(2)/25))/(LN(2)/25)*Calculateur!CG59*Calculateur!CI59*VLOOKUP('Données projet'!$B$12,Paramètres!$A$1:$I$89,3,0)*0.475*44/12</f>
        <v>37.517189159912711</v>
      </c>
      <c r="CM59" s="21">
        <f>EXP(-LN(2)/2)*CM58+(1-EXP(-LN(2)/2))/(LN(2)/2)*CG59*CJ59*VLOOKUP('Données projet'!$B$12,Paramètres!$A$1:$I$89,3,0)*0.475*44/12</f>
        <v>4.1443243264193939</v>
      </c>
      <c r="CN59" s="22">
        <f t="shared" si="12"/>
        <v>81.844278017491405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9.75</v>
      </c>
      <c r="CT59" s="12">
        <f>IF('Données projet'!$A$140&gt;35,CT58+CS59-DB58,IF(A59&lt;'Données projet'!$A$140,$CQ$205^A59,IF(A59='Données projet'!$A$140,'Données projet'!$B$140,CT58+CS59-DB58)))</f>
        <v>265</v>
      </c>
      <c r="CU59" s="17">
        <f>CT59*VLOOKUP('Données projet'!$B$13,Paramètres!$A$1:$I$89,3,0)*VLOOKUP('Données projet'!$B$13,Paramètres!$A$1:$I$89,5,0)</f>
        <v>144.69</v>
      </c>
      <c r="CV59" s="13">
        <f t="shared" si="41"/>
        <v>37.369349513680568</v>
      </c>
      <c r="CW59" s="20">
        <f t="shared" si="13"/>
        <v>317.08670040299359</v>
      </c>
      <c r="CX59" s="59">
        <f t="shared" si="14"/>
        <v>610.4200337363269</v>
      </c>
      <c r="CY59" s="59">
        <f ca="1">AVERAGE(OFFSET($CX$3,0,0,'Données projet'!$E$13+1,1))-AVERAGE(OFFSET($H$3,0,0,'Données projet'!$E$13+1,1))</f>
        <v>214.22606988805535</v>
      </c>
      <c r="CZ59" s="59">
        <f t="shared" si="42"/>
        <v>305.78163836959078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40.121730231058024</v>
      </c>
      <c r="DG59" s="21">
        <f>EXP(-LN(2)/25)*DG58+(1-EXP(-LN(2)/25))/(LN(2)/25)*Calculateur!DB59*Calculateur!DD59*VLOOKUP('Données projet'!$B$13,Paramètres!$A$1:$I$89,3,0)*0.475*44/12</f>
        <v>25.001336924949861</v>
      </c>
      <c r="DH59" s="21">
        <f>EXP(-LN(2)/2)*DH58+(1-EXP(-LN(2)/2))/(LN(2)/2)*DB59*DE59*VLOOKUP('Données projet'!$B$13,Paramètres!$A$1:$I$89,3,0)*0.475*44/12</f>
        <v>0.32884334017022215</v>
      </c>
      <c r="DI59" s="22">
        <f t="shared" si="15"/>
        <v>65.451910496178115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5.2</v>
      </c>
      <c r="DO59" s="12">
        <f>IF('Données projet'!$A$166&gt;35,DO58+DN59-DW58,IF(A59&lt;'Données projet'!$A$166,$DL$205^A59,IF(A59='Données projet'!$A$166,'Données projet'!$B$166,DO58+DN59-DW58)))</f>
        <v>224.19999999999987</v>
      </c>
      <c r="DP59" s="17">
        <f>DO59*VLOOKUP('Données projet'!$B$14,Paramètres!$A$1:$I$89,3,0)*VLOOKUP('Données projet'!$B$14,Paramètres!$A$1:$I$89,5,0)</f>
        <v>181.87103999999991</v>
      </c>
      <c r="DQ59" s="13">
        <f t="shared" si="43"/>
        <v>45.738207231648985</v>
      </c>
      <c r="DR59" s="20">
        <f t="shared" si="16"/>
        <v>396.41943892845512</v>
      </c>
      <c r="DS59" s="59">
        <f t="shared" si="17"/>
        <v>689.75277226178844</v>
      </c>
      <c r="DT59" s="59">
        <f ca="1">AVERAGE(OFFSET($DS$3,0,0,'Données projet'!$E$14+1,1))-AVERAGE(OFFSET($H$3,0,0,'Données projet'!$E$14+1,1))</f>
        <v>304.26232113495314</v>
      </c>
      <c r="DU59" s="59">
        <f t="shared" si="44"/>
        <v>297.47246687305056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8.6733129297616713</v>
      </c>
      <c r="EB59" s="21">
        <f>EXP(-LN(2)/25)*EB58+(1-EXP(-LN(2)/25))/(LN(2)/25)*Calculateur!DW59*Calculateur!DY59*VLOOKUP('Données projet'!$B$14,Paramètres!$A$1:$I$89,3,0)*0.475*44/12</f>
        <v>5.62401362657506</v>
      </c>
      <c r="EC59" s="21">
        <f>EXP(-LN(2)/2)*EC58+(1-EXP(-LN(2)/2))/(LN(2)/2)*DW59*DZ59*VLOOKUP('Données projet'!$B$14,Paramètres!$A$1:$I$89,3,0)*0.475*44/12</f>
        <v>2.9411736726105522</v>
      </c>
      <c r="ED59" s="22">
        <f t="shared" si="18"/>
        <v>17.238500228947284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5.2</v>
      </c>
      <c r="EJ59" s="12">
        <f>IF('Données projet'!$A$192&gt;35,EJ58+EI59-ER58,IF(A59&lt;'Données projet'!$A$192,$EG$205^A59,IF(A59='Données projet'!$A$192,'Données projet'!$B$192,EJ58+EI59-ER58)))</f>
        <v>224.19999999999987</v>
      </c>
      <c r="EK59" s="17">
        <f>EJ59*VLOOKUP('Données projet'!$B$15,Paramètres!$A$1:$I$89,3,0)*VLOOKUP('Données projet'!$B$15,Paramètres!$A$1:$I$89,5,0)</f>
        <v>216.84623999999991</v>
      </c>
      <c r="EL59" s="13">
        <f t="shared" si="45"/>
        <v>53.428856609352088</v>
      </c>
      <c r="EM59" s="20">
        <f t="shared" si="19"/>
        <v>470.72912659462128</v>
      </c>
      <c r="EN59" s="59">
        <f t="shared" si="20"/>
        <v>764.06245992795459</v>
      </c>
      <c r="EO59" s="59">
        <f ca="1">AVERAGE(OFFSET($EN$3,0,0,'Données projet'!$E$15+1,1))-AVERAGE(OFFSET($H$3,0,0,'Données projet'!$E$15+1,1))</f>
        <v>355.72173590705142</v>
      </c>
      <c r="EP59" s="59">
        <f t="shared" si="46"/>
        <v>346.30980704469363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8.3900770213151716</v>
      </c>
      <c r="EW59" s="21">
        <f>EXP(-LN(2)/25)*EW58+(1-EXP(-LN(2)/25))/(LN(2)/25)*Calculateur!ER59*Calculateur!ET59*VLOOKUP('Données projet'!$B$15,Paramètres!$A$1:$I$89,3,0)*0.475*44/12</f>
        <v>5.4403557069844357</v>
      </c>
      <c r="EX59" s="21">
        <f>EXP(-LN(2)/2)*EX58+(1-EXP(-LN(2)/2))/(LN(2)/2)*ER59*EU59*VLOOKUP('Données projet'!$B$15,Paramètres!$A$1:$I$89,3,0)*0.475*44/12</f>
        <v>3.5067839942664278</v>
      </c>
      <c r="EY59" s="22">
        <f t="shared" si="21"/>
        <v>17.337216722566033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5.2</v>
      </c>
      <c r="FE59" s="12">
        <f>IF('Données projet'!$A$218&gt;35,FE58+FD59-FM58,IF(A59&lt;'Données projet'!$A$218,$FB$205^A59,IF(A59='Données projet'!$A$218,'Données projet'!$B$218,FE58+FD59-FM58)))</f>
        <v>224.19999999999987</v>
      </c>
      <c r="FF59" s="17">
        <f>FE59*VLOOKUP('Données projet'!$B$16,Paramètres!$A$1:$I$89,3,0)*VLOOKUP('Données projet'!$B$16,Paramètres!$A$1:$I$89,5,0)</f>
        <v>164.38343999999992</v>
      </c>
      <c r="FG59" s="13">
        <f t="shared" si="47"/>
        <v>41.82965192331919</v>
      </c>
      <c r="FH59" s="20">
        <f t="shared" si="22"/>
        <v>359.15446843311406</v>
      </c>
      <c r="FI59" s="59">
        <f t="shared" si="23"/>
        <v>652.48780176644732</v>
      </c>
      <c r="FJ59" s="59">
        <f ca="1">AVERAGE(OFFSET($FI$3,0,0,'Données projet'!$E$16+1,1))-AVERAGE(OFFSET($H$3,0,0,'Données projet'!$E$16+1,1))</f>
        <v>278.45534008146865</v>
      </c>
      <c r="FK59" s="59">
        <f t="shared" si="48"/>
        <v>272.97841038165217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6.3602196774485984</v>
      </c>
      <c r="FR59" s="21">
        <f>EXP(-LN(2)/25)*FR58+(1-EXP(-LN(2)/25))/(LN(2)/25)*Calculateur!FM59*Calculateur!FO59*VLOOKUP('Données projet'!$B$16,Paramètres!$A$1:$I$89,3,0)*0.475*44/12</f>
        <v>4.1241406165849765</v>
      </c>
      <c r="FS59" s="21">
        <f>EXP(-LN(2)/2)*FS58+(1-EXP(-LN(2)/2))/(LN(2)/2)*FM59*FP59*VLOOKUP('Données projet'!$B$16,Paramètres!$A$1:$I$89,3,0)*0.475*44/12</f>
        <v>2.6583685117826139</v>
      </c>
      <c r="FT59" s="22">
        <f t="shared" si="24"/>
        <v>13.142728805816189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7.875</v>
      </c>
      <c r="N60" s="13">
        <f>IF('Données projet'!$A$36&gt;35,N59+M60-V59,IF(A60&lt;'Données projet'!$A$36,$K$205^A60,IF(A60='Données projet'!$A$36,'Données projet'!$B$36,N59+M60-V59)))</f>
        <v>171.125</v>
      </c>
      <c r="O60" s="13">
        <f>N60*VLOOKUP('Données projet'!$B$9,Paramètres!$A$1:$I$89,3,0)*VLOOKUP('Données projet'!$B$9,Paramètres!$A$1:$I$89,5,0)</f>
        <v>154.8339</v>
      </c>
      <c r="P60" s="13">
        <f t="shared" si="33"/>
        <v>39.675070702121111</v>
      </c>
      <c r="Q60" s="20">
        <f t="shared" si="53"/>
        <v>338.76979063952757</v>
      </c>
      <c r="R60" s="59">
        <f t="shared" si="0"/>
        <v>632.10312397286089</v>
      </c>
      <c r="S60" s="59">
        <f ca="1">AVERAGE(OFFSET($R$3,0,0,'Données projet'!$E$9+1,1))-AVERAGE(OFFSET($H$3,0,0,'Données projet'!$E$9+1,1))</f>
        <v>436.03161778768742</v>
      </c>
      <c r="T60" s="59">
        <f t="shared" si="34"/>
        <v>217.65884352525285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6.1745377425372601</v>
      </c>
      <c r="AB60" s="21">
        <f>EXP(-LN(2)/2)*AB59+(1-EXP(-LN(2)/2))/(LN(2)/2)*V60*Y60*VLOOKUP('Données projet'!$B$9,Paramètres!$A$1:$I$89,3,0)*0.475*44/12</f>
        <v>0</v>
      </c>
      <c r="AC60" s="22">
        <f t="shared" si="3"/>
        <v>6.1745377425372601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7.875</v>
      </c>
      <c r="AI60" s="13">
        <f>IF('Données projet'!$A$62&gt;35,AI59+AH60-AQ59,IF(A60&lt;'Données projet'!$A$62,$AF$205^A60,IF(A60='Données projet'!$A$62,'Données projet'!$B$62,AI59+AH60-AQ59)))</f>
        <v>171.125</v>
      </c>
      <c r="AJ60" s="13">
        <f>AI60*VLOOKUP('Données projet'!$B$10,Paramètres!$A$1:$I$89,3,0)*VLOOKUP('Données projet'!$B$10,Paramètres!$A$1:$I$89,5,0)</f>
        <v>173.52075000000002</v>
      </c>
      <c r="AK60" s="13">
        <f t="shared" si="35"/>
        <v>43.877611264011577</v>
      </c>
      <c r="AL60" s="20">
        <f t="shared" si="4"/>
        <v>378.63547920148682</v>
      </c>
      <c r="AM60" s="59">
        <f t="shared" si="5"/>
        <v>671.96881253482013</v>
      </c>
      <c r="AN60" s="59">
        <f ca="1">AVERAGE(OFFSET($AM$3,0,0,'Données projet'!$E$10+1,1))-AVERAGE(OFFSET($H$3,0,0,'Données projet'!$E$10+1,1))</f>
        <v>483.45320081988984</v>
      </c>
      <c r="AO60" s="59">
        <f t="shared" si="36"/>
        <v>238.92443174298893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6.9197405735331357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6.9197405735331357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4.4000000000000004</v>
      </c>
      <c r="BD60" s="12">
        <f>IF('Données projet'!$A$88&gt;35,BD59+BC60-BL59,IF(A60&lt;'Données projet'!$A$88,$BA$205^A60,IF(A60='Données projet'!$A$88,'Données projet'!$B$88,BD59+BC60-BL59)))</f>
        <v>228.80000000000004</v>
      </c>
      <c r="BE60" s="13">
        <f>BD60*VLOOKUP('Données projet'!$B$11,Paramètres!$A$1:$I$89,3,0)*VLOOKUP('Données projet'!$B$11,Paramètres!$A$1:$I$89,5,0)</f>
        <v>199.87968000000006</v>
      </c>
      <c r="BF60" s="13">
        <f t="shared" si="37"/>
        <v>49.717724105058785</v>
      </c>
      <c r="BG60" s="20">
        <f t="shared" si="7"/>
        <v>434.71547881631085</v>
      </c>
      <c r="BH60" s="59">
        <f t="shared" si="8"/>
        <v>728.04881214964416</v>
      </c>
      <c r="BI60" s="59">
        <f ca="1">AVERAGE(OFFSET($BH$3,0,0,'Données projet'!$E$11+1,1))-AVERAGE(OFFSET($H$3,0,0,'Données projet'!$E$11+1,1))</f>
        <v>310.44153296396854</v>
      </c>
      <c r="BJ60" s="59">
        <f t="shared" si="38"/>
        <v>388.05195847800502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5.8921380557197676</v>
      </c>
      <c r="BQ60" s="21">
        <f>EXP(-LN(2)/25)*BQ59+(1-EXP(-LN(2)/25))/(LN(2)/25)*Calculateur!BL60*Calculateur!BN60*VLOOKUP('Données projet'!$B$11,Paramètres!$A$1:$I$89,3,0)*0.475*44/12</f>
        <v>5.269032640560245</v>
      </c>
      <c r="BR60" s="21">
        <f>EXP(-LN(2)/2)*BR59+(1-EXP(-LN(2)/2))/(LN(2)/2)*BL60*BO60*VLOOKUP('Données projet'!$B$11,Paramètres!$A$1:$I$89,3,0)*0.475*44/12</f>
        <v>0.74790653721422662</v>
      </c>
      <c r="BS60" s="22">
        <f t="shared" si="9"/>
        <v>11.909077233494241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10.199999999999999</v>
      </c>
      <c r="BY60" s="12">
        <f>IF('Données projet'!$A$114&gt;35,BY59+BX60-CG59,IF(A60&lt;'Données projet'!$A$114,$BV$205^A60,IF(A60='Données projet'!$A$114,'Données projet'!$B$114,BY59+BX60-CG59)))</f>
        <v>635.39999999999964</v>
      </c>
      <c r="BZ60" s="13">
        <f>BY60*VLOOKUP('Données projet'!$B$12,Paramètres!$A$1:$I$89,3,0)*VLOOKUP('Données projet'!$B$12,Paramètres!$A$1:$I$89,5,0)</f>
        <v>355.18859999999984</v>
      </c>
      <c r="CA60" s="13">
        <f t="shared" si="39"/>
        <v>82.629981116726043</v>
      </c>
      <c r="CB60" s="20">
        <f t="shared" si="10"/>
        <v>762.53402877829774</v>
      </c>
      <c r="CC60" s="59">
        <f t="shared" si="11"/>
        <v>1055.8673621116311</v>
      </c>
      <c r="CD60" s="59">
        <f ca="1">AVERAGE(OFFSET($CC$3,0,0,'Données projet'!$E$12+1,1))-AVERAGE(OFFSET($H$3,0,0,'Données projet'!$E$12+1,1))</f>
        <v>443.34220761968419</v>
      </c>
      <c r="CE60" s="59">
        <f t="shared" si="40"/>
        <v>546.58234447298014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39.394805027769564</v>
      </c>
      <c r="CL60" s="21">
        <f>EXP(-LN(2)/25)*CL59+(1-EXP(-LN(2)/25))/(LN(2)/25)*Calculateur!CG60*Calculateur!CI60*VLOOKUP('Données projet'!$B$12,Paramètres!$A$1:$I$89,3,0)*0.475*44/12</f>
        <v>36.491279649391664</v>
      </c>
      <c r="CM60" s="21">
        <f>EXP(-LN(2)/2)*CM59+(1-EXP(-LN(2)/2))/(LN(2)/2)*CG60*CJ60*VLOOKUP('Données projet'!$B$12,Paramètres!$A$1:$I$89,3,0)*0.475*44/12</f>
        <v>2.9304798346475245</v>
      </c>
      <c r="CN60" s="22">
        <f t="shared" si="12"/>
        <v>78.81656451180875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9.75</v>
      </c>
      <c r="CT60" s="12">
        <f>IF('Données projet'!$A$140&gt;35,CT59+CS60-DB59,IF(A60&lt;'Données projet'!$A$140,$CQ$205^A60,IF(A60='Données projet'!$A$140,'Données projet'!$B$140,CT59+CS60-DB59)))</f>
        <v>274.75</v>
      </c>
      <c r="CU60" s="17">
        <f>CT60*VLOOKUP('Données projet'!$B$13,Paramètres!$A$1:$I$89,3,0)*VLOOKUP('Données projet'!$B$13,Paramètres!$A$1:$I$89,5,0)</f>
        <v>150.01349999999999</v>
      </c>
      <c r="CV60" s="13">
        <f t="shared" si="41"/>
        <v>38.581653528227356</v>
      </c>
      <c r="CW60" s="20">
        <f t="shared" si="13"/>
        <v>328.46989239499595</v>
      </c>
      <c r="CX60" s="59">
        <f t="shared" si="14"/>
        <v>621.80322572832927</v>
      </c>
      <c r="CY60" s="59">
        <f ca="1">AVERAGE(OFFSET($CX$3,0,0,'Données projet'!$E$13+1,1))-AVERAGE(OFFSET($H$3,0,0,'Données projet'!$E$13+1,1))</f>
        <v>214.22606988805535</v>
      </c>
      <c r="CZ60" s="59">
        <f t="shared" si="42"/>
        <v>305.78163836959078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39.334967573066024</v>
      </c>
      <c r="DG60" s="21">
        <f>EXP(-LN(2)/25)*DG59+(1-EXP(-LN(2)/25))/(LN(2)/25)*Calculateur!DB60*Calculateur!DD60*VLOOKUP('Données projet'!$B$13,Paramètres!$A$1:$I$89,3,0)*0.475*44/12</f>
        <v>24.317674051973938</v>
      </c>
      <c r="DH60" s="21">
        <f>EXP(-LN(2)/2)*DH59+(1-EXP(-LN(2)/2))/(LN(2)/2)*DB60*DE60*VLOOKUP('Données projet'!$B$13,Paramètres!$A$1:$I$89,3,0)*0.475*44/12</f>
        <v>0.23252735578239869</v>
      </c>
      <c r="DI60" s="22">
        <f t="shared" si="15"/>
        <v>63.885168980822364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5.2</v>
      </c>
      <c r="DO60" s="12">
        <f>IF('Données projet'!$A$166&gt;35,DO59+DN60-DW59,IF(A60&lt;'Données projet'!$A$166,$DL$205^A60,IF(A60='Données projet'!$A$166,'Données projet'!$B$166,DO59+DN60-DW59)))</f>
        <v>229.39999999999986</v>
      </c>
      <c r="DP60" s="17">
        <f>DO60*VLOOKUP('Données projet'!$B$14,Paramètres!$A$1:$I$89,3,0)*VLOOKUP('Données projet'!$B$14,Paramètres!$A$1:$I$89,5,0)</f>
        <v>186.08927999999992</v>
      </c>
      <c r="DQ60" s="13">
        <f t="shared" si="43"/>
        <v>46.674304440658766</v>
      </c>
      <c r="DR60" s="20">
        <f t="shared" si="16"/>
        <v>405.39657623414723</v>
      </c>
      <c r="DS60" s="59">
        <f t="shared" si="17"/>
        <v>698.72990956748049</v>
      </c>
      <c r="DT60" s="59">
        <f ca="1">AVERAGE(OFFSET($DS$3,0,0,'Données projet'!$E$14+1,1))-AVERAGE(OFFSET($H$3,0,0,'Données projet'!$E$14+1,1))</f>
        <v>304.26232113495314</v>
      </c>
      <c r="DU60" s="59">
        <f t="shared" si="44"/>
        <v>297.47246687305056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8.5032345534075677</v>
      </c>
      <c r="EB60" s="21">
        <f>EXP(-LN(2)/25)*EB59+(1-EXP(-LN(2)/25))/(LN(2)/25)*Calculateur!DW60*Calculateur!DY60*VLOOKUP('Données projet'!$B$14,Paramètres!$A$1:$I$89,3,0)*0.475*44/12</f>
        <v>5.4702246782023423</v>
      </c>
      <c r="EC60" s="21">
        <f>EXP(-LN(2)/2)*EC59+(1-EXP(-LN(2)/2))/(LN(2)/2)*DW60*DZ60*VLOOKUP('Données projet'!$B$14,Paramètres!$A$1:$I$89,3,0)*0.475*44/12</f>
        <v>2.0797238485502643</v>
      </c>
      <c r="ED60" s="22">
        <f t="shared" si="18"/>
        <v>16.053183080160174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5.2</v>
      </c>
      <c r="EJ60" s="12">
        <f>IF('Données projet'!$A$192&gt;35,EJ59+EI60-ER59,IF(A60&lt;'Données projet'!$A$192,$EG$205^A60,IF(A60='Données projet'!$A$192,'Données projet'!$B$192,EJ59+EI60-ER59)))</f>
        <v>229.39999999999986</v>
      </c>
      <c r="EK60" s="17">
        <f>EJ60*VLOOKUP('Données projet'!$B$15,Paramètres!$A$1:$I$89,3,0)*VLOOKUP('Données projet'!$B$15,Paramètres!$A$1:$I$89,5,0)</f>
        <v>221.87567999999987</v>
      </c>
      <c r="EL60" s="13">
        <f t="shared" si="45"/>
        <v>54.522353853336597</v>
      </c>
      <c r="EM60" s="20">
        <f t="shared" si="19"/>
        <v>481.39324229456093</v>
      </c>
      <c r="EN60" s="59">
        <f t="shared" si="20"/>
        <v>774.72657562789425</v>
      </c>
      <c r="EO60" s="59">
        <f ca="1">AVERAGE(OFFSET($EN$3,0,0,'Données projet'!$E$15+1,1))-AVERAGE(OFFSET($H$3,0,0,'Données projet'!$E$15+1,1))</f>
        <v>355.72173590705142</v>
      </c>
      <c r="EP60" s="59">
        <f t="shared" si="46"/>
        <v>346.30980704469363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8.225552728368859</v>
      </c>
      <c r="EW60" s="21">
        <f>EXP(-LN(2)/25)*EW59+(1-EXP(-LN(2)/25))/(LN(2)/25)*Calculateur!ER60*Calculateur!ET60*VLOOKUP('Données projet'!$B$15,Paramètres!$A$1:$I$89,3,0)*0.475*44/12</f>
        <v>5.291588894081074</v>
      </c>
      <c r="EX60" s="21">
        <f>EXP(-LN(2)/2)*EX59+(1-EXP(-LN(2)/2))/(LN(2)/2)*ER60*EU60*VLOOKUP('Données projet'!$B$15,Paramètres!$A$1:$I$89,3,0)*0.475*44/12</f>
        <v>2.4796707425022384</v>
      </c>
      <c r="EY60" s="22">
        <f t="shared" si="21"/>
        <v>15.996812364952172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5.2</v>
      </c>
      <c r="FE60" s="12">
        <f>IF('Données projet'!$A$218&gt;35,FE59+FD60-FM59,IF(A60&lt;'Données projet'!$A$218,$FB$205^A60,IF(A60='Données projet'!$A$218,'Données projet'!$B$218,FE59+FD60-FM59)))</f>
        <v>229.39999999999986</v>
      </c>
      <c r="FF60" s="17">
        <f>FE60*VLOOKUP('Données projet'!$B$16,Paramètres!$A$1:$I$89,3,0)*VLOOKUP('Données projet'!$B$16,Paramètres!$A$1:$I$89,5,0)</f>
        <v>168.19607999999988</v>
      </c>
      <c r="FG60" s="13">
        <f t="shared" si="47"/>
        <v>42.685755010634267</v>
      </c>
      <c r="FH60" s="20">
        <f t="shared" si="22"/>
        <v>367.28586264352111</v>
      </c>
      <c r="FI60" s="59">
        <f t="shared" si="23"/>
        <v>660.61919597685437</v>
      </c>
      <c r="FJ60" s="59">
        <f ca="1">AVERAGE(OFFSET($FI$3,0,0,'Données projet'!$E$16+1,1))-AVERAGE(OFFSET($H$3,0,0,'Données projet'!$E$16+1,1))</f>
        <v>278.45534008146865</v>
      </c>
      <c r="FK60" s="59">
        <f t="shared" si="48"/>
        <v>272.97841038165217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6.2354996489247805</v>
      </c>
      <c r="FR60" s="21">
        <f>EXP(-LN(2)/25)*FR59+(1-EXP(-LN(2)/25))/(LN(2)/25)*Calculateur!FM60*Calculateur!FO60*VLOOKUP('Données projet'!$B$16,Paramètres!$A$1:$I$89,3,0)*0.475*44/12</f>
        <v>4.0113657745453315</v>
      </c>
      <c r="FS60" s="21">
        <f>EXP(-LN(2)/2)*FS59+(1-EXP(-LN(2)/2))/(LN(2)/2)*FM60*FP60*VLOOKUP('Données projet'!$B$16,Paramètres!$A$1:$I$89,3,0)*0.475*44/12</f>
        <v>1.879750401574277</v>
      </c>
      <c r="FT60" s="22">
        <f t="shared" si="24"/>
        <v>12.126615825044389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179</v>
      </c>
      <c r="L61" s="12">
        <f>VLOOKUP(A61,'Données projet'!$A$35:$I$55,9,0)</f>
        <v>7.875</v>
      </c>
      <c r="M61" s="12">
        <f t="array" ref="M61">INDEX(L:L,MIN(IF(ISNUMBER(L61:L257),ROW(L61:L257),"")))</f>
        <v>7.875</v>
      </c>
      <c r="N61" s="13">
        <f>IF('Données projet'!$A$36&gt;35,N60+M61-V60,IF(A61&lt;'Données projet'!$A$36,$K$205^A61,IF(A61='Données projet'!$A$36,'Données projet'!$B$36,N60+M61-V60)))</f>
        <v>179</v>
      </c>
      <c r="O61" s="13">
        <f>N61*VLOOKUP('Données projet'!$B$9,Paramètres!$A$1:$I$89,3,0)*VLOOKUP('Données projet'!$B$9,Paramètres!$A$1:$I$89,5,0)</f>
        <v>161.95919999999998</v>
      </c>
      <c r="P61" s="13">
        <f t="shared" si="33"/>
        <v>41.284104935125683</v>
      </c>
      <c r="Q61" s="20">
        <f t="shared" si="53"/>
        <v>353.98208942867717</v>
      </c>
      <c r="R61" s="59">
        <f t="shared" si="0"/>
        <v>647.31542276201048</v>
      </c>
      <c r="S61" s="59">
        <f ca="1">AVERAGE(OFFSET($R$3,0,0,'Données projet'!$E$9+1,1))-AVERAGE(OFFSET($H$3,0,0,'Données projet'!$E$9+1,1))</f>
        <v>436.03161778768742</v>
      </c>
      <c r="T61" s="59">
        <f t="shared" si="34"/>
        <v>217.65884352525285</v>
      </c>
      <c r="U61" s="15">
        <f>IF(ISNA(VLOOKUP(A61,'Données projet'!$A$35:$I$55,3,0)),0,VLOOKUP(A61,'Données projet'!$A$35:$I$55,3,0))</f>
        <v>3</v>
      </c>
      <c r="V61" s="15">
        <f>IF(ISNA(VLOOKUP(A61,'Données projet'!$A$35:$I$55,4,0)),0,VLOOKUP(A61,'Données projet'!$A$35:$I$55,4,0))</f>
        <v>44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0.215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15.430610517025229</v>
      </c>
      <c r="AB61" s="21">
        <f>EXP(-LN(2)/2)*AB60+(1-EXP(-LN(2)/2))/(LN(2)/2)*V61*Y61*VLOOKUP('Données projet'!$B$9,Paramètres!$A$1:$I$89,3,0)*0.475*44/12</f>
        <v>0</v>
      </c>
      <c r="AC61" s="22">
        <f t="shared" si="3"/>
        <v>15.430610517025229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179</v>
      </c>
      <c r="AG61" s="12">
        <f>VLOOKUP(A61,'Données projet'!$A$61:$I$81,9,0)</f>
        <v>7.875</v>
      </c>
      <c r="AH61" s="12">
        <f t="array" ref="AH61">INDEX(AG:AG,MIN(IF(ISNUMBER(AG61:AG257),ROW(AG61:AG257),"")))</f>
        <v>7.875</v>
      </c>
      <c r="AI61" s="13">
        <f>IF('Données projet'!$A$62&gt;35,AI60+AH61-AQ60,IF(A61&lt;'Données projet'!$A$62,$AF$205^A61,IF(A61='Données projet'!$A$62,'Données projet'!$B$62,AI60+AH61-AQ60)))</f>
        <v>179</v>
      </c>
      <c r="AJ61" s="13">
        <f>AI61*VLOOKUP('Données projet'!$B$10,Paramètres!$A$1:$I$89,3,0)*VLOOKUP('Données projet'!$B$10,Paramètres!$A$1:$I$89,5,0)</f>
        <v>181.50600000000003</v>
      </c>
      <c r="AK61" s="13">
        <f t="shared" si="35"/>
        <v>45.657080773122978</v>
      </c>
      <c r="AL61" s="20">
        <f t="shared" si="4"/>
        <v>395.64236567985586</v>
      </c>
      <c r="AM61" s="59">
        <f t="shared" si="5"/>
        <v>688.97569901318911</v>
      </c>
      <c r="AN61" s="59">
        <f ca="1">AVERAGE(OFFSET($AM$3,0,0,'Données projet'!$E$10+1,1))-AVERAGE(OFFSET($H$3,0,0,'Données projet'!$E$10+1,1))</f>
        <v>483.45320081988984</v>
      </c>
      <c r="AO61" s="59">
        <f t="shared" si="36"/>
        <v>238.92443174298893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44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0.215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17.292925579424828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17.292925579424828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4.4000000000000004</v>
      </c>
      <c r="BD61" s="12">
        <f>IF('Données projet'!$A$88&gt;35,BD60+BC61-BL60,IF(A61&lt;'Données projet'!$A$88,$BA$205^A61,IF(A61='Données projet'!$A$88,'Données projet'!$B$88,BD60+BC61-BL60)))</f>
        <v>233.20000000000005</v>
      </c>
      <c r="BE61" s="13">
        <f>BD61*VLOOKUP('Données projet'!$B$11,Paramètres!$A$1:$I$89,3,0)*VLOOKUP('Données projet'!$B$11,Paramètres!$A$1:$I$89,5,0)</f>
        <v>203.72352000000006</v>
      </c>
      <c r="BF61" s="13">
        <f t="shared" si="37"/>
        <v>50.561604122231515</v>
      </c>
      <c r="BG61" s="20">
        <f t="shared" si="7"/>
        <v>442.87992451288665</v>
      </c>
      <c r="BH61" s="59">
        <f t="shared" si="8"/>
        <v>736.2132578462199</v>
      </c>
      <c r="BI61" s="59">
        <f ca="1">AVERAGE(OFFSET($BH$3,0,0,'Données projet'!$E$11+1,1))-AVERAGE(OFFSET($H$3,0,0,'Données projet'!$E$11+1,1))</f>
        <v>310.44153296396854</v>
      </c>
      <c r="BJ61" s="59">
        <f t="shared" si="38"/>
        <v>388.05195847800502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5.7765968222964537</v>
      </c>
      <c r="BQ61" s="21">
        <f>EXP(-LN(2)/25)*BQ60+(1-EXP(-LN(2)/25))/(LN(2)/25)*Calculateur!BL61*Calculateur!BN61*VLOOKUP('Données projet'!$B$11,Paramètres!$A$1:$I$89,3,0)*0.475*44/12</f>
        <v>5.1249506659177415</v>
      </c>
      <c r="BR61" s="21">
        <f>EXP(-LN(2)/2)*BR60+(1-EXP(-LN(2)/2))/(LN(2)/2)*BL61*BO61*VLOOKUP('Données projet'!$B$11,Paramètres!$A$1:$I$89,3,0)*0.475*44/12</f>
        <v>0.5288497841579286</v>
      </c>
      <c r="BS61" s="22">
        <f t="shared" si="9"/>
        <v>11.430397272372124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10.199999999999999</v>
      </c>
      <c r="BY61" s="12">
        <f>IF('Données projet'!$A$114&gt;35,BY60+BX61-CG60,IF(A61&lt;'Données projet'!$A$114,$BV$205^A61,IF(A61='Données projet'!$A$114,'Données projet'!$B$114,BY60+BX61-CG60)))</f>
        <v>645.59999999999968</v>
      </c>
      <c r="BZ61" s="13">
        <f>BY61*VLOOKUP('Données projet'!$B$12,Paramètres!$A$1:$I$89,3,0)*VLOOKUP('Données projet'!$B$12,Paramètres!$A$1:$I$89,5,0)</f>
        <v>360.89039999999977</v>
      </c>
      <c r="CA61" s="13">
        <f t="shared" si="39"/>
        <v>83.800943075865291</v>
      </c>
      <c r="CB61" s="20">
        <f t="shared" si="10"/>
        <v>774.50408919046504</v>
      </c>
      <c r="CC61" s="59">
        <f t="shared" si="11"/>
        <v>1067.8374225237983</v>
      </c>
      <c r="CD61" s="59">
        <f ca="1">AVERAGE(OFFSET($CC$3,0,0,'Données projet'!$E$12+1,1))-AVERAGE(OFFSET($H$3,0,0,'Données projet'!$E$12+1,1))</f>
        <v>443.34220761968419</v>
      </c>
      <c r="CE61" s="59">
        <f t="shared" si="40"/>
        <v>546.58234447298014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38.622296929633457</v>
      </c>
      <c r="CL61" s="21">
        <f>EXP(-LN(2)/25)*CL60+(1-EXP(-LN(2)/25))/(LN(2)/25)*Calculateur!CG61*Calculateur!CI61*VLOOKUP('Données projet'!$B$12,Paramètres!$A$1:$I$89,3,0)*0.475*44/12</f>
        <v>35.493423688386052</v>
      </c>
      <c r="CM61" s="21">
        <f>EXP(-LN(2)/2)*CM60+(1-EXP(-LN(2)/2))/(LN(2)/2)*CG61*CJ61*VLOOKUP('Données projet'!$B$12,Paramètres!$A$1:$I$89,3,0)*0.475*44/12</f>
        <v>2.0721621632096974</v>
      </c>
      <c r="CN61" s="22">
        <f t="shared" si="12"/>
        <v>76.187882781229206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9.75</v>
      </c>
      <c r="CT61" s="12">
        <f>IF('Données projet'!$A$140&gt;35,CT60+CS61-DB60,IF(A61&lt;'Données projet'!$A$140,$CQ$205^A61,IF(A61='Données projet'!$A$140,'Données projet'!$B$140,CT60+CS61-DB60)))</f>
        <v>284.5</v>
      </c>
      <c r="CU61" s="17">
        <f>CT61*VLOOKUP('Données projet'!$B$13,Paramètres!$A$1:$I$89,3,0)*VLOOKUP('Données projet'!$B$13,Paramètres!$A$1:$I$89,5,0)</f>
        <v>155.33699999999999</v>
      </c>
      <c r="CV61" s="13">
        <f t="shared" si="41"/>
        <v>39.788959141911022</v>
      </c>
      <c r="CW61" s="20">
        <f t="shared" si="13"/>
        <v>339.84437883882828</v>
      </c>
      <c r="CX61" s="59">
        <f t="shared" si="14"/>
        <v>633.17771217216159</v>
      </c>
      <c r="CY61" s="59">
        <f ca="1">AVERAGE(OFFSET($CX$3,0,0,'Données projet'!$E$13+1,1))-AVERAGE(OFFSET($H$3,0,0,'Données projet'!$E$13+1,1))</f>
        <v>214.22606988805535</v>
      </c>
      <c r="CZ61" s="59">
        <f t="shared" si="42"/>
        <v>305.78163836959078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38.563632850919412</v>
      </c>
      <c r="DG61" s="21">
        <f>EXP(-LN(2)/25)*DG60+(1-EXP(-LN(2)/25))/(LN(2)/25)*Calculateur!DB61*Calculateur!DD61*VLOOKUP('Données projet'!$B$13,Paramètres!$A$1:$I$89,3,0)*0.475*44/12</f>
        <v>23.652705976211813</v>
      </c>
      <c r="DH61" s="21">
        <f>EXP(-LN(2)/2)*DH60+(1-EXP(-LN(2)/2))/(LN(2)/2)*DB61*DE61*VLOOKUP('Données projet'!$B$13,Paramètres!$A$1:$I$89,3,0)*0.475*44/12</f>
        <v>0.16442167008511108</v>
      </c>
      <c r="DI61" s="22">
        <f t="shared" si="15"/>
        <v>62.380760497216336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5.2</v>
      </c>
      <c r="DO61" s="12">
        <f>IF('Données projet'!$A$166&gt;35,DO60+DN61-DW60,IF(A61&lt;'Données projet'!$A$166,$DL$205^A61,IF(A61='Données projet'!$A$166,'Données projet'!$B$166,DO60+DN61-DW60)))</f>
        <v>234.59999999999985</v>
      </c>
      <c r="DP61" s="17">
        <f>DO61*VLOOKUP('Données projet'!$B$14,Paramètres!$A$1:$I$89,3,0)*VLOOKUP('Données projet'!$B$14,Paramètres!$A$1:$I$89,5,0)</f>
        <v>190.3075199999999</v>
      </c>
      <c r="DQ61" s="13">
        <f t="shared" si="43"/>
        <v>47.607934756469184</v>
      </c>
      <c r="DR61" s="20">
        <f t="shared" si="16"/>
        <v>414.36941703418364</v>
      </c>
      <c r="DS61" s="59">
        <f t="shared" si="17"/>
        <v>707.70275036751696</v>
      </c>
      <c r="DT61" s="59">
        <f ca="1">AVERAGE(OFFSET($DS$3,0,0,'Données projet'!$E$14+1,1))-AVERAGE(OFFSET($H$3,0,0,'Données projet'!$E$14+1,1))</f>
        <v>304.26232113495314</v>
      </c>
      <c r="DU61" s="59">
        <f t="shared" si="44"/>
        <v>297.47246687305056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8.3364913102762017</v>
      </c>
      <c r="EB61" s="21">
        <f>EXP(-LN(2)/25)*EB60+(1-EXP(-LN(2)/25))/(LN(2)/25)*Calculateur!DW61*Calculateur!DY61*VLOOKUP('Données projet'!$B$14,Paramètres!$A$1:$I$89,3,0)*0.475*44/12</f>
        <v>5.3206410967102862</v>
      </c>
      <c r="EC61" s="21">
        <f>EXP(-LN(2)/2)*EC60+(1-EXP(-LN(2)/2))/(LN(2)/2)*DW61*DZ61*VLOOKUP('Données projet'!$B$14,Paramètres!$A$1:$I$89,3,0)*0.475*44/12</f>
        <v>1.4705868363052763</v>
      </c>
      <c r="ED61" s="22">
        <f t="shared" si="18"/>
        <v>15.127719243291764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5.2</v>
      </c>
      <c r="EJ61" s="12">
        <f>IF('Données projet'!$A$192&gt;35,EJ60+EI61-ER60,IF(A61&lt;'Données projet'!$A$192,$EG$205^A61,IF(A61='Données projet'!$A$192,'Données projet'!$B$192,EJ60+EI61-ER60)))</f>
        <v>234.59999999999985</v>
      </c>
      <c r="EK61" s="17">
        <f>EJ61*VLOOKUP('Données projet'!$B$15,Paramètres!$A$1:$I$89,3,0)*VLOOKUP('Données projet'!$B$15,Paramètres!$A$1:$I$89,5,0)</f>
        <v>226.90511999999987</v>
      </c>
      <c r="EL61" s="13">
        <f t="shared" si="45"/>
        <v>55.612969408444364</v>
      </c>
      <c r="EM61" s="20">
        <f t="shared" si="19"/>
        <v>492.05233905304038</v>
      </c>
      <c r="EN61" s="59">
        <f t="shared" si="20"/>
        <v>785.3856723863737</v>
      </c>
      <c r="EO61" s="59">
        <f ca="1">AVERAGE(OFFSET($EN$3,0,0,'Données projet'!$E$15+1,1))-AVERAGE(OFFSET($H$3,0,0,'Données projet'!$E$15+1,1))</f>
        <v>355.72173590705142</v>
      </c>
      <c r="EP61" s="59">
        <f t="shared" si="46"/>
        <v>346.30980704469363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8.0642546564573134</v>
      </c>
      <c r="EW61" s="21">
        <f>EXP(-LN(2)/25)*EW60+(1-EXP(-LN(2)/25))/(LN(2)/25)*Calculateur!ER61*Calculateur!ET61*VLOOKUP('Données projet'!$B$15,Paramètres!$A$1:$I$89,3,0)*0.475*44/12</f>
        <v>5.1468901174998614</v>
      </c>
      <c r="EX61" s="21">
        <f>EXP(-LN(2)/2)*EX60+(1-EXP(-LN(2)/2))/(LN(2)/2)*ER61*EU61*VLOOKUP('Données projet'!$B$15,Paramètres!$A$1:$I$89,3,0)*0.475*44/12</f>
        <v>1.7533919971332141</v>
      </c>
      <c r="EY61" s="22">
        <f t="shared" si="21"/>
        <v>14.964536771090389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5.2</v>
      </c>
      <c r="FE61" s="12">
        <f>IF('Données projet'!$A$218&gt;35,FE60+FD61-FM60,IF(A61&lt;'Données projet'!$A$218,$FB$205^A61,IF(A61='Données projet'!$A$218,'Données projet'!$B$218,FE60+FD61-FM60)))</f>
        <v>234.59999999999985</v>
      </c>
      <c r="FF61" s="17">
        <f>FE61*VLOOKUP('Données projet'!$B$16,Paramètres!$A$1:$I$89,3,0)*VLOOKUP('Données projet'!$B$16,Paramètres!$A$1:$I$89,5,0)</f>
        <v>172.0087199999999</v>
      </c>
      <c r="FG61" s="13">
        <f t="shared" si="47"/>
        <v>43.539602012936164</v>
      </c>
      <c r="FH61" s="20">
        <f t="shared" si="22"/>
        <v>375.41332750586366</v>
      </c>
      <c r="FI61" s="59">
        <f t="shared" si="23"/>
        <v>668.74666083919692</v>
      </c>
      <c r="FJ61" s="59">
        <f ca="1">AVERAGE(OFFSET($FI$3,0,0,'Données projet'!$E$16+1,1))-AVERAGE(OFFSET($H$3,0,0,'Données projet'!$E$16+1,1))</f>
        <v>278.45534008146865</v>
      </c>
      <c r="FK61" s="59">
        <f t="shared" si="48"/>
        <v>272.97841038165217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6.1132253040886084</v>
      </c>
      <c r="FR61" s="21">
        <f>EXP(-LN(2)/25)*FR60+(1-EXP(-LN(2)/25))/(LN(2)/25)*Calculateur!FM61*Calculateur!FO61*VLOOKUP('Données projet'!$B$16,Paramètres!$A$1:$I$89,3,0)*0.475*44/12</f>
        <v>3.9016747664918312</v>
      </c>
      <c r="FS61" s="21">
        <f>EXP(-LN(2)/2)*FS60+(1-EXP(-LN(2)/2))/(LN(2)/2)*FM61*FP61*VLOOKUP('Données projet'!$B$16,Paramètres!$A$1:$I$89,3,0)*0.475*44/12</f>
        <v>1.3291842558913072</v>
      </c>
      <c r="FT61" s="22">
        <f t="shared" si="24"/>
        <v>11.344084326471748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6.875</v>
      </c>
      <c r="N62" s="13">
        <f>IF('Données projet'!$A$36&gt;35,N61+M62-V61,IF(A62&lt;'Données projet'!$A$36,$K$205^A62,IF(A62='Données projet'!$A$36,'Données projet'!$B$36,N61+M62-V61)))</f>
        <v>141.875</v>
      </c>
      <c r="O62" s="13">
        <f>N62*VLOOKUP('Données projet'!$B$9,Paramètres!$A$1:$I$89,3,0)*VLOOKUP('Données projet'!$B$9,Paramètres!$A$1:$I$89,5,0)</f>
        <v>128.36849999999998</v>
      </c>
      <c r="P62" s="13">
        <f t="shared" si="33"/>
        <v>33.619090931219688</v>
      </c>
      <c r="Q62" s="20">
        <f t="shared" si="53"/>
        <v>282.12838753854095</v>
      </c>
      <c r="R62" s="59">
        <f t="shared" si="0"/>
        <v>575.46172087187426</v>
      </c>
      <c r="S62" s="59">
        <f ca="1">AVERAGE(OFFSET($R$3,0,0,'Données projet'!$E$9+1,1))-AVERAGE(OFFSET($H$3,0,0,'Données projet'!$E$9+1,1))</f>
        <v>436.03161778768742</v>
      </c>
      <c r="T62" s="59">
        <f t="shared" si="34"/>
        <v>217.65884352525285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15.008659660976635</v>
      </c>
      <c r="AB62" s="21">
        <f>EXP(-LN(2)/2)*AB61+(1-EXP(-LN(2)/2))/(LN(2)/2)*V62*Y62*VLOOKUP('Données projet'!$B$9,Paramètres!$A$1:$I$89,3,0)*0.475*44/12</f>
        <v>0</v>
      </c>
      <c r="AC62" s="22">
        <f t="shared" si="3"/>
        <v>15.008659660976635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6.875</v>
      </c>
      <c r="AI62" s="13">
        <f>IF('Données projet'!$A$62&gt;35,AI61+AH62-AQ61,IF(A62&lt;'Données projet'!$A$62,$AF$205^A62,IF(A62='Données projet'!$A$62,'Données projet'!$B$62,AI61+AH62-AQ61)))</f>
        <v>141.875</v>
      </c>
      <c r="AJ62" s="13">
        <f>AI62*VLOOKUP('Données projet'!$B$10,Paramètres!$A$1:$I$89,3,0)*VLOOKUP('Données projet'!$B$10,Paramètres!$A$1:$I$89,5,0)</f>
        <v>143.86125000000001</v>
      </c>
      <c r="AK62" s="13">
        <f t="shared" si="35"/>
        <v>37.180158140226112</v>
      </c>
      <c r="AL62" s="20">
        <f t="shared" si="4"/>
        <v>315.31378584422714</v>
      </c>
      <c r="AM62" s="59">
        <f t="shared" si="5"/>
        <v>608.6471191775604</v>
      </c>
      <c r="AN62" s="59">
        <f ca="1">AVERAGE(OFFSET($AM$3,0,0,'Données projet'!$E$10+1,1))-AVERAGE(OFFSET($H$3,0,0,'Données projet'!$E$10+1,1))</f>
        <v>483.45320081988984</v>
      </c>
      <c r="AO62" s="59">
        <f t="shared" si="36"/>
        <v>238.92443174298893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16.820049620060026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16.820049620060026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4.4000000000000004</v>
      </c>
      <c r="BD62" s="12">
        <f>IF('Données projet'!$A$88&gt;35,BD61+BC62-BL61,IF(A62&lt;'Données projet'!$A$88,$BA$205^A62,IF(A62='Données projet'!$A$88,'Données projet'!$B$88,BD61+BC62-BL61)))</f>
        <v>237.60000000000005</v>
      </c>
      <c r="BE62" s="13">
        <f>BD62*VLOOKUP('Données projet'!$B$11,Paramètres!$A$1:$I$89,3,0)*VLOOKUP('Données projet'!$B$11,Paramètres!$A$1:$I$89,5,0)</f>
        <v>207.56736000000006</v>
      </c>
      <c r="BF62" s="13">
        <f t="shared" si="37"/>
        <v>51.403632705393022</v>
      </c>
      <c r="BG62" s="20">
        <f t="shared" si="7"/>
        <v>451.0411456285596</v>
      </c>
      <c r="BH62" s="59">
        <f t="shared" si="8"/>
        <v>744.37447896189292</v>
      </c>
      <c r="BI62" s="59">
        <f ca="1">AVERAGE(OFFSET($BH$3,0,0,'Données projet'!$E$11+1,1))-AVERAGE(OFFSET($H$3,0,0,'Données projet'!$E$11+1,1))</f>
        <v>310.44153296396854</v>
      </c>
      <c r="BJ62" s="59">
        <f t="shared" si="38"/>
        <v>388.05195847800502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5.6633212819873773</v>
      </c>
      <c r="BQ62" s="21">
        <f>EXP(-LN(2)/25)*BQ61+(1-EXP(-LN(2)/25))/(LN(2)/25)*Calculateur!BL62*Calculateur!BN62*VLOOKUP('Données projet'!$B$11,Paramètres!$A$1:$I$89,3,0)*0.475*44/12</f>
        <v>4.9848086204487787</v>
      </c>
      <c r="BR62" s="21">
        <f>EXP(-LN(2)/2)*BR61+(1-EXP(-LN(2)/2))/(LN(2)/2)*BL62*BO62*VLOOKUP('Données projet'!$B$11,Paramètres!$A$1:$I$89,3,0)*0.475*44/12</f>
        <v>0.37395326860711331</v>
      </c>
      <c r="BS62" s="22">
        <f t="shared" si="9"/>
        <v>11.022083171043271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10.199999999999999</v>
      </c>
      <c r="BY62" s="12">
        <f>IF('Données projet'!$A$114&gt;35,BY61+BX62-CG61,IF(A62&lt;'Données projet'!$A$114,$BV$205^A62,IF(A62='Données projet'!$A$114,'Données projet'!$B$114,BY61+BX62-CG61)))</f>
        <v>655.79999999999973</v>
      </c>
      <c r="BZ62" s="13">
        <f>BY62*VLOOKUP('Données projet'!$B$12,Paramètres!$A$1:$I$89,3,0)*VLOOKUP('Données projet'!$B$12,Paramètres!$A$1:$I$89,5,0)</f>
        <v>366.59219999999982</v>
      </c>
      <c r="CA62" s="13">
        <f t="shared" si="39"/>
        <v>84.969753481055022</v>
      </c>
      <c r="CB62" s="20">
        <f t="shared" si="10"/>
        <v>786.47040231283711</v>
      </c>
      <c r="CC62" s="59">
        <f t="shared" si="11"/>
        <v>1079.8037356461705</v>
      </c>
      <c r="CD62" s="59">
        <f ca="1">AVERAGE(OFFSET($CC$3,0,0,'Données projet'!$E$12+1,1))-AVERAGE(OFFSET($H$3,0,0,'Données projet'!$E$12+1,1))</f>
        <v>443.34220761968419</v>
      </c>
      <c r="CE62" s="59">
        <f t="shared" si="40"/>
        <v>546.58234447298014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37.864937244118387</v>
      </c>
      <c r="CL62" s="21">
        <f>EXP(-LN(2)/25)*CL61+(1-EXP(-LN(2)/25))/(LN(2)/25)*Calculateur!CG62*Calculateur!CI62*VLOOKUP('Données projet'!$B$12,Paramètres!$A$1:$I$89,3,0)*0.475*44/12</f>
        <v>34.522854151109108</v>
      </c>
      <c r="CM62" s="21">
        <f>EXP(-LN(2)/2)*CM61+(1-EXP(-LN(2)/2))/(LN(2)/2)*CG62*CJ62*VLOOKUP('Données projet'!$B$12,Paramètres!$A$1:$I$89,3,0)*0.475*44/12</f>
        <v>1.4652399173237625</v>
      </c>
      <c r="CN62" s="22">
        <f t="shared" si="12"/>
        <v>73.853031312551252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9.75</v>
      </c>
      <c r="CT62" s="12">
        <f>IF('Données projet'!$A$140&gt;35,CT61+CS62-DB61,IF(A62&lt;'Données projet'!$A$140,$CQ$205^A62,IF(A62='Données projet'!$A$140,'Données projet'!$B$140,CT61+CS62-DB61)))</f>
        <v>294.25</v>
      </c>
      <c r="CU62" s="17">
        <f>CT62*VLOOKUP('Données projet'!$B$13,Paramètres!$A$1:$I$89,3,0)*VLOOKUP('Données projet'!$B$13,Paramètres!$A$1:$I$89,5,0)</f>
        <v>160.66049999999998</v>
      </c>
      <c r="CV62" s="13">
        <f t="shared" si="41"/>
        <v>40.991457287340218</v>
      </c>
      <c r="CW62" s="20">
        <f t="shared" si="13"/>
        <v>351.21049227545086</v>
      </c>
      <c r="CX62" s="59">
        <f t="shared" si="14"/>
        <v>644.54382560878412</v>
      </c>
      <c r="CY62" s="59">
        <f ca="1">AVERAGE(OFFSET($CX$3,0,0,'Données projet'!$E$13+1,1))-AVERAGE(OFFSET($H$3,0,0,'Données projet'!$E$13+1,1))</f>
        <v>214.22606988805535</v>
      </c>
      <c r="CZ62" s="59">
        <f t="shared" si="42"/>
        <v>305.78163836959078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37.807423532206364</v>
      </c>
      <c r="DG62" s="21">
        <f>EXP(-LN(2)/25)*DG61+(1-EXP(-LN(2)/25))/(LN(2)/25)*Calculateur!DB62*Calculateur!DD62*VLOOKUP('Données projet'!$B$13,Paramètres!$A$1:$I$89,3,0)*0.475*44/12</f>
        <v>23.005921487450554</v>
      </c>
      <c r="DH62" s="21">
        <f>EXP(-LN(2)/2)*DH61+(1-EXP(-LN(2)/2))/(LN(2)/2)*DB62*DE62*VLOOKUP('Données projet'!$B$13,Paramètres!$A$1:$I$89,3,0)*0.475*44/12</f>
        <v>0.11626367789119935</v>
      </c>
      <c r="DI62" s="22">
        <f t="shared" si="15"/>
        <v>60.929608697548119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5.2</v>
      </c>
      <c r="DO62" s="12">
        <f>IF('Données projet'!$A$166&gt;35,DO61+DN62-DW61,IF(A62&lt;'Données projet'!$A$166,$DL$205^A62,IF(A62='Données projet'!$A$166,'Données projet'!$B$166,DO61+DN62-DW61)))</f>
        <v>239.79999999999984</v>
      </c>
      <c r="DP62" s="17">
        <f>DO62*VLOOKUP('Données projet'!$B$14,Paramètres!$A$1:$I$89,3,0)*VLOOKUP('Données projet'!$B$14,Paramètres!$A$1:$I$89,5,0)</f>
        <v>194.52575999999991</v>
      </c>
      <c r="DQ62" s="13">
        <f t="shared" si="43"/>
        <v>48.539159154841606</v>
      </c>
      <c r="DR62" s="20">
        <f t="shared" si="16"/>
        <v>423.33806752801564</v>
      </c>
      <c r="DS62" s="59">
        <f t="shared" si="17"/>
        <v>716.67140086134896</v>
      </c>
      <c r="DT62" s="59">
        <f ca="1">AVERAGE(OFFSET($DS$3,0,0,'Données projet'!$E$14+1,1))-AVERAGE(OFFSET($H$3,0,0,'Données projet'!$E$14+1,1))</f>
        <v>304.26232113495314</v>
      </c>
      <c r="DU62" s="59">
        <f t="shared" si="44"/>
        <v>297.47246687305056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8.1730178004393057</v>
      </c>
      <c r="EB62" s="21">
        <f>EXP(-LN(2)/25)*EB61+(1-EXP(-LN(2)/25))/(LN(2)/25)*Calculateur!DW62*Calculateur!DY62*VLOOKUP('Données projet'!$B$14,Paramètres!$A$1:$I$89,3,0)*0.475*44/12</f>
        <v>5.1751478861203886</v>
      </c>
      <c r="EC62" s="21">
        <f>EXP(-LN(2)/2)*EC61+(1-EXP(-LN(2)/2))/(LN(2)/2)*DW62*DZ62*VLOOKUP('Données projet'!$B$14,Paramètres!$A$1:$I$89,3,0)*0.475*44/12</f>
        <v>1.0398619242751324</v>
      </c>
      <c r="ED62" s="22">
        <f t="shared" si="18"/>
        <v>14.388027610834827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5.2</v>
      </c>
      <c r="EJ62" s="12">
        <f>IF('Données projet'!$A$192&gt;35,EJ61+EI62-ER61,IF(A62&lt;'Données projet'!$A$192,$EG$205^A62,IF(A62='Données projet'!$A$192,'Données projet'!$B$192,EJ61+EI62-ER61)))</f>
        <v>239.79999999999984</v>
      </c>
      <c r="EK62" s="17">
        <f>EJ62*VLOOKUP('Données projet'!$B$15,Paramètres!$A$1:$I$89,3,0)*VLOOKUP('Données projet'!$B$15,Paramètres!$A$1:$I$89,5,0)</f>
        <v>231.93455999999986</v>
      </c>
      <c r="EL62" s="13">
        <f t="shared" si="45"/>
        <v>56.700774503204229</v>
      </c>
      <c r="EM62" s="20">
        <f t="shared" si="19"/>
        <v>502.70654092641371</v>
      </c>
      <c r="EN62" s="59">
        <f t="shared" si="20"/>
        <v>796.03987425974697</v>
      </c>
      <c r="EO62" s="59">
        <f ca="1">AVERAGE(OFFSET($EN$3,0,0,'Données projet'!$E$15+1,1))-AVERAGE(OFFSET($H$3,0,0,'Données projet'!$E$15+1,1))</f>
        <v>355.72173590705142</v>
      </c>
      <c r="EP62" s="59">
        <f t="shared" si="46"/>
        <v>346.30980704469363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7.9061195413538439</v>
      </c>
      <c r="EW62" s="21">
        <f>EXP(-LN(2)/25)*EW61+(1-EXP(-LN(2)/25))/(LN(2)/25)*Calculateur!ER62*Calculateur!ET62*VLOOKUP('Données projet'!$B$15,Paramètres!$A$1:$I$89,3,0)*0.475*44/12</f>
        <v>5.00614813657364</v>
      </c>
      <c r="EX62" s="21">
        <f>EXP(-LN(2)/2)*EX61+(1-EXP(-LN(2)/2))/(LN(2)/2)*ER62*EU62*VLOOKUP('Données projet'!$B$15,Paramètres!$A$1:$I$89,3,0)*0.475*44/12</f>
        <v>1.2398353712511192</v>
      </c>
      <c r="EY62" s="22">
        <f t="shared" si="21"/>
        <v>14.152103049178605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5.2</v>
      </c>
      <c r="FE62" s="12">
        <f>IF('Données projet'!$A$218&gt;35,FE61+FD62-FM61,IF(A62&lt;'Données projet'!$A$218,$FB$205^A62,IF(A62='Données projet'!$A$218,'Données projet'!$B$218,FE61+FD62-FM61)))</f>
        <v>239.79999999999984</v>
      </c>
      <c r="FF62" s="17">
        <f>FE62*VLOOKUP('Données projet'!$B$16,Paramètres!$A$1:$I$89,3,0)*VLOOKUP('Données projet'!$B$16,Paramètres!$A$1:$I$89,5,0)</f>
        <v>175.82135999999988</v>
      </c>
      <c r="FG62" s="13">
        <f t="shared" si="47"/>
        <v>44.391248695306977</v>
      </c>
      <c r="FH62" s="20">
        <f t="shared" si="22"/>
        <v>383.53696014432609</v>
      </c>
      <c r="FI62" s="59">
        <f t="shared" si="23"/>
        <v>676.8702934776594</v>
      </c>
      <c r="FJ62" s="59">
        <f ca="1">AVERAGE(OFFSET($FI$3,0,0,'Données projet'!$E$16+1,1))-AVERAGE(OFFSET($H$3,0,0,'Données projet'!$E$16+1,1))</f>
        <v>278.45534008146865</v>
      </c>
      <c r="FK62" s="59">
        <f t="shared" si="48"/>
        <v>272.97841038165217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5.9933486845746877</v>
      </c>
      <c r="FR62" s="21">
        <f>EXP(-LN(2)/25)*FR61+(1-EXP(-LN(2)/25))/(LN(2)/25)*Calculateur!FM62*Calculateur!FO62*VLOOKUP('Données projet'!$B$16,Paramètres!$A$1:$I$89,3,0)*0.475*44/12</f>
        <v>3.7949832648219535</v>
      </c>
      <c r="FS62" s="21">
        <f>EXP(-LN(2)/2)*FS61+(1-EXP(-LN(2)/2))/(LN(2)/2)*FM62*FP62*VLOOKUP('Données projet'!$B$16,Paramètres!$A$1:$I$89,3,0)*0.475*44/12</f>
        <v>0.9398752007871386</v>
      </c>
      <c r="FT62" s="22">
        <f t="shared" si="24"/>
        <v>10.728207150183779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6.875</v>
      </c>
      <c r="N63" s="13">
        <f>IF('Données projet'!$A$36&gt;35,N62+M63-V62,IF(A63&lt;'Données projet'!$A$36,$K$205^A63,IF(A63='Données projet'!$A$36,'Données projet'!$B$36,N62+M63-V62)))</f>
        <v>148.75</v>
      </c>
      <c r="O63" s="13">
        <f>N63*VLOOKUP('Données projet'!$B$9,Paramètres!$A$1:$I$89,3,0)*VLOOKUP('Données projet'!$B$9,Paramètres!$A$1:$I$89,5,0)</f>
        <v>134.589</v>
      </c>
      <c r="P63" s="13">
        <f t="shared" si="33"/>
        <v>35.054592075821937</v>
      </c>
      <c r="Q63" s="20">
        <f t="shared" si="53"/>
        <v>295.46258953205654</v>
      </c>
      <c r="R63" s="59">
        <f t="shared" si="0"/>
        <v>588.79592286538991</v>
      </c>
      <c r="S63" s="59">
        <f ca="1">AVERAGE(OFFSET($R$3,0,0,'Données projet'!$E$9+1,1))-AVERAGE(OFFSET($H$3,0,0,'Données projet'!$E$9+1,1))</f>
        <v>436.03161778768742</v>
      </c>
      <c r="T63" s="59">
        <f t="shared" si="34"/>
        <v>217.65884352525285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14.59824707327612</v>
      </c>
      <c r="AB63" s="21">
        <f>EXP(-LN(2)/2)*AB62+(1-EXP(-LN(2)/2))/(LN(2)/2)*V63*Y63*VLOOKUP('Données projet'!$B$9,Paramètres!$A$1:$I$89,3,0)*0.475*44/12</f>
        <v>0</v>
      </c>
      <c r="AC63" s="22">
        <f t="shared" si="3"/>
        <v>14.59824707327612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6.875</v>
      </c>
      <c r="AI63" s="13">
        <f>IF('Données projet'!$A$62&gt;35,AI62+AH63-AQ62,IF(A63&lt;'Données projet'!$A$62,$AF$205^A63,IF(A63='Données projet'!$A$62,'Données projet'!$B$62,AI62+AH63-AQ62)))</f>
        <v>148.75</v>
      </c>
      <c r="AJ63" s="13">
        <f>AI63*VLOOKUP('Données projet'!$B$10,Paramètres!$A$1:$I$89,3,0)*VLOOKUP('Données projet'!$B$10,Paramètres!$A$1:$I$89,5,0)</f>
        <v>150.83250000000001</v>
      </c>
      <c r="AK63" s="13">
        <f t="shared" si="35"/>
        <v>38.767713249196177</v>
      </c>
      <c r="AL63" s="20">
        <f t="shared" si="4"/>
        <v>330.22037140901671</v>
      </c>
      <c r="AM63" s="59">
        <f t="shared" si="5"/>
        <v>623.55370474234996</v>
      </c>
      <c r="AN63" s="59">
        <f ca="1">AVERAGE(OFFSET($AM$3,0,0,'Données projet'!$E$10+1,1))-AVERAGE(OFFSET($H$3,0,0,'Données projet'!$E$10+1,1))</f>
        <v>483.45320081988984</v>
      </c>
      <c r="AO63" s="59">
        <f t="shared" si="36"/>
        <v>238.92443174298893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16.360104478671516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16.360104478671516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242</v>
      </c>
      <c r="BB63" s="12">
        <f>VLOOKUP(A63,'Données projet'!$A$87:$I$107,9,0)</f>
        <v>4.4000000000000004</v>
      </c>
      <c r="BC63" s="12">
        <f t="array" ref="BC63">INDEX(BB:BB,MIN(IF(ISNUMBER(BB63:BB259),ROW(BB63:BB259),"")))</f>
        <v>4.4000000000000004</v>
      </c>
      <c r="BD63" s="12">
        <f>IF('Données projet'!$A$88&gt;35,BD62+BC63-BL62,IF(A63&lt;'Données projet'!$A$88,$BA$205^A63,IF(A63='Données projet'!$A$88,'Données projet'!$B$88,BD62+BC63-BL62)))</f>
        <v>242.00000000000006</v>
      </c>
      <c r="BE63" s="13">
        <f>BD63*VLOOKUP('Données projet'!$B$11,Paramètres!$A$1:$I$89,3,0)*VLOOKUP('Données projet'!$B$11,Paramètres!$A$1:$I$89,5,0)</f>
        <v>211.41120000000006</v>
      </c>
      <c r="BF63" s="13">
        <f t="shared" si="37"/>
        <v>52.243848094411156</v>
      </c>
      <c r="BG63" s="20">
        <f t="shared" si="7"/>
        <v>459.19920876443285</v>
      </c>
      <c r="BH63" s="59">
        <f t="shared" si="8"/>
        <v>752.53254209776617</v>
      </c>
      <c r="BI63" s="59">
        <f ca="1">AVERAGE(OFFSET($BH$3,0,0,'Données projet'!$E$11+1,1))-AVERAGE(OFFSET($H$3,0,0,'Données projet'!$E$11+1,1))</f>
        <v>310.44153296396854</v>
      </c>
      <c r="BJ63" s="59">
        <f t="shared" si="38"/>
        <v>388.05195847800502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26</v>
      </c>
      <c r="BM63" s="16">
        <f>IF(ISNA(VLOOKUP(A63,'Données projet'!$A$87:$I$107,5,0)),0%,VLOOKUP(A63,'Données projet'!$A$87:$I$107,5,0)*VLOOKUP('Données projet'!$B$11,Paramètres!$A$1:$I$89,7,0))</f>
        <v>0.215</v>
      </c>
      <c r="BN63" s="16">
        <f>IF(ISNA(VLOOKUP(A63,'Données projet'!$A$87:$I$107,6,0)),0%,VLOOKUP(A63,'Données projet'!$A$87:$I$107,6,0)*VLOOKUP('Données projet'!$B$11,Paramètres!$A$1:$I$89,7,0))</f>
        <v>8.6000000000000007E-2</v>
      </c>
      <c r="BO63" s="16">
        <f>IF(ISNA(VLOOKUP(A63,'Données projet'!$A$87:$I$107,7,0)),0%,VLOOKUP(A63,'Données projet'!$A$87:$I$107,7,0))</f>
        <v>0.2</v>
      </c>
      <c r="BP63" s="21">
        <f>EXP(-LN(2)/35)*BP62+(1-EXP(-LN(2)/35))/(LN(2)/35)*BL63*BM63*VLOOKUP('Données projet'!$B$11,Paramètres!$A$1:$I$89,3,0)*0.475*44/12</f>
        <v>10.950747588632822</v>
      </c>
      <c r="BQ63" s="21">
        <f>EXP(-LN(2)/25)*BQ62+(1-EXP(-LN(2)/25))/(LN(2)/25)*Calculateur!BL63*Calculateur!BN63*VLOOKUP('Données projet'!$B$11,Paramètres!$A$1:$I$89,3,0)*0.475*44/12</f>
        <v>6.9993886496484592</v>
      </c>
      <c r="BR63" s="21">
        <f>EXP(-LN(2)/2)*BR62+(1-EXP(-LN(2)/2))/(LN(2)/2)*BL63*BO63*VLOOKUP('Données projet'!$B$11,Paramètres!$A$1:$I$89,3,0)*0.475*44/12</f>
        <v>4.5506034775951534</v>
      </c>
      <c r="BS63" s="22">
        <f t="shared" si="9"/>
        <v>22.500739715876435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666</v>
      </c>
      <c r="BW63" s="12">
        <f>VLOOKUP(A63,'Données projet'!$A$113:$I$133,9,0)</f>
        <v>10.199999999999999</v>
      </c>
      <c r="BX63" s="12">
        <f t="array" ref="BX63">INDEX(BW:BW,MIN(IF(ISNUMBER(BW63:BW259),ROW(BW63:BW259),"")))</f>
        <v>10.199999999999999</v>
      </c>
      <c r="BY63" s="12">
        <f>IF('Données projet'!$A$114&gt;35,BY62+BX63-CG62,IF(A63&lt;'Données projet'!$A$114,$BV$205^A63,IF(A63='Données projet'!$A$114,'Données projet'!$B$114,BY62+BX63-CG62)))</f>
        <v>665.99999999999977</v>
      </c>
      <c r="BZ63" s="13">
        <f>BY63*VLOOKUP('Données projet'!$B$12,Paramètres!$A$1:$I$89,3,0)*VLOOKUP('Données projet'!$B$12,Paramètres!$A$1:$I$89,5,0)</f>
        <v>372.29399999999987</v>
      </c>
      <c r="CA63" s="13">
        <f t="shared" si="39"/>
        <v>86.136449661008839</v>
      </c>
      <c r="CB63" s="20">
        <f t="shared" si="10"/>
        <v>798.43303315959008</v>
      </c>
      <c r="CC63" s="59">
        <f t="shared" si="11"/>
        <v>1091.7663664929235</v>
      </c>
      <c r="CD63" s="59">
        <f ca="1">AVERAGE(OFFSET($CC$3,0,0,'Données projet'!$E$12+1,1))-AVERAGE(OFFSET($H$3,0,0,'Données projet'!$E$12+1,1))</f>
        <v>443.34220761968419</v>
      </c>
      <c r="CE63" s="59">
        <f t="shared" si="40"/>
        <v>546.58234447298014</v>
      </c>
      <c r="CF63" s="15" t="str">
        <f>IF(ISNA(VLOOKUP(A63,'Données projet'!$A$113:$I$133,3,0)),0,VLOOKUP(A63,'Données projet'!$A$113:$I$133,3,0))</f>
        <v>CR</v>
      </c>
      <c r="CG63" s="15">
        <f>IF(ISNA(VLOOKUP(A63,'Données projet'!$A$113:$I$133,4,0)),0,VLOOKUP(A63,'Données projet'!$A$113:$I$133,4,0))</f>
        <v>666</v>
      </c>
      <c r="CH63" s="16">
        <f>IF(ISNA(VLOOKUP(A63,'Données projet'!$A$113:$I$133,5,0)),0%,VLOOKUP(A63,'Données projet'!$A$113:$I$133,5,0)*VLOOKUP('Données projet'!$B$12,Paramètres!$A$1:$I$89,7,0))</f>
        <v>0.44000000000000006</v>
      </c>
      <c r="CI63" s="16">
        <f>IF(ISNA(VLOOKUP(A63,'Données projet'!$A$113:$I$133,6,0)),0%,VLOOKUP(A63,'Données projet'!$A$113:$I$133,6,0)*VLOOKUP('Données projet'!$B$12,Paramètres!$A$1:$I$89,7,0))</f>
        <v>5.5000000000000007E-2</v>
      </c>
      <c r="CJ63" s="16">
        <f>IF(ISNA(VLOOKUP(A63,'Données projet'!$A$113:$I$133,7,0)),0%,VLOOKUP(A63,'Données projet'!$A$113:$I$133,7,0))</f>
        <v>0.1</v>
      </c>
      <c r="CK63" s="21">
        <f>EXP(-LN(2)/35)*CK62+(1-EXP(-LN(2)/35))/(LN(2)/35)*CG63*CH63*VLOOKUP('Données projet'!$B$12,Paramètres!$A$1:$I$89,3,0)*0.475*44/12</f>
        <v>254.42610336439211</v>
      </c>
      <c r="CL63" s="21">
        <f>EXP(-LN(2)/25)*CL62+(1-EXP(-LN(2)/25))/(LN(2)/25)*Calculateur!CG63*Calculateur!CI63*VLOOKUP('Données projet'!$B$12,Paramètres!$A$1:$I$89,3,0)*0.475*44/12</f>
        <v>60.634833273721668</v>
      </c>
      <c r="CM63" s="21">
        <f>EXP(-LN(2)/2)*CM62+(1-EXP(-LN(2)/2))/(LN(2)/2)*CG63*CJ63*VLOOKUP('Données projet'!$B$12,Paramètres!$A$1:$I$89,3,0)*0.475*44/12</f>
        <v>43.18841017913666</v>
      </c>
      <c r="CN63" s="22">
        <f t="shared" si="12"/>
        <v>358.24934681725045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304</v>
      </c>
      <c r="CR63" s="12">
        <f>VLOOKUP(A63,'Données projet'!$A$139:$I$159,9,0)</f>
        <v>9.75</v>
      </c>
      <c r="CS63" s="12">
        <f t="array" ref="CS63">INDEX(CR:CR,MIN(IF(ISNUMBER(CR63:CR259),ROW(CR63:CR259),"")))</f>
        <v>9.75</v>
      </c>
      <c r="CT63" s="12">
        <f>IF('Données projet'!$A$140&gt;35,CT62+CS63-DB62,IF(A63&lt;'Données projet'!$A$140,$CQ$205^A63,IF(A63='Données projet'!$A$140,'Données projet'!$B$140,CT62+CS63-DB62)))</f>
        <v>304</v>
      </c>
      <c r="CU63" s="17">
        <f>CT63*VLOOKUP('Données projet'!$B$13,Paramètres!$A$1:$I$89,3,0)*VLOOKUP('Données projet'!$B$13,Paramètres!$A$1:$I$89,5,0)</f>
        <v>165.98400000000001</v>
      </c>
      <c r="CV63" s="13">
        <f t="shared" si="41"/>
        <v>42.189325525922243</v>
      </c>
      <c r="CW63" s="20">
        <f t="shared" si="13"/>
        <v>362.56854195764794</v>
      </c>
      <c r="CX63" s="59">
        <f t="shared" si="14"/>
        <v>655.90187529098125</v>
      </c>
      <c r="CY63" s="59">
        <f ca="1">AVERAGE(OFFSET($CX$3,0,0,'Données projet'!$E$13+1,1))-AVERAGE(OFFSET($H$3,0,0,'Données projet'!$E$13+1,1))</f>
        <v>214.22606988805535</v>
      </c>
      <c r="CZ63" s="59">
        <f t="shared" si="42"/>
        <v>305.78163836959078</v>
      </c>
      <c r="DA63" s="15" t="str">
        <f>IF(ISNA(VLOOKUP(A63,'Données projet'!$A$139:$I$159,3,0)),0,VLOOKUP(A63,'Données projet'!$A$139:$I$159,3,0))</f>
        <v>CR</v>
      </c>
      <c r="DB63" s="15">
        <f>IF(ISNA(VLOOKUP(A63,'Données projet'!$A$139:$I$159,4,0)),0,VLOOKUP(A63,'Données projet'!$A$139:$I$159,4,0))</f>
        <v>304</v>
      </c>
      <c r="DC63" s="16">
        <f>IF(ISNA(VLOOKUP(A63,'Données projet'!$A$139:$I$159,5,0)),0%,VLOOKUP(A63,'Données projet'!$A$139:$I$159,5,0)*VLOOKUP('Données projet'!$B$13,Paramètres!$A$1:$I$89,7,0))</f>
        <v>0.48</v>
      </c>
      <c r="DD63" s="16">
        <f>IF(ISNA(VLOOKUP(A63,'Données projet'!$A$139:$I$159,6,0)),0%,VLOOKUP(A63,'Données projet'!$A$139:$I$159,6,0)*VLOOKUP('Données projet'!$B$13,Paramètres!$A$1:$I$89,7,0))</f>
        <v>0.06</v>
      </c>
      <c r="DE63" s="16">
        <f>IF(ISNA(VLOOKUP(A63,'Données projet'!$A$139:$I$159,7,0)),0%,VLOOKUP(A63,'Données projet'!$A$139:$I$159,7,0))</f>
        <v>0.1</v>
      </c>
      <c r="DF63" s="21">
        <f>EXP(-LN(2)/35)*DF62+(1-EXP(-LN(2)/35))/(LN(2)/35)*DB63*DC63*VLOOKUP('Données projet'!$B$13,Paramètres!$A$1:$I$89,3,0)*0.475*44/12</f>
        <v>142.75651081139591</v>
      </c>
      <c r="DG63" s="21">
        <f>EXP(-LN(2)/25)*DG62+(1-EXP(-LN(2)/25))/(LN(2)/25)*Calculateur!DB63*Calculateur!DD63*VLOOKUP('Données projet'!$B$13,Paramètres!$A$1:$I$89,3,0)*0.475*44/12</f>
        <v>35.536113873481483</v>
      </c>
      <c r="DH63" s="21">
        <f>EXP(-LN(2)/2)*DH62+(1-EXP(-LN(2)/2))/(LN(2)/2)*DB63*DE63*VLOOKUP('Données projet'!$B$13,Paramètres!$A$1:$I$89,3,0)*0.475*44/12</f>
        <v>18.875455402305846</v>
      </c>
      <c r="DI63" s="22">
        <f t="shared" si="15"/>
        <v>197.16808008718326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245</v>
      </c>
      <c r="DM63" s="12">
        <f>VLOOKUP(A63,'Données projet'!$A$165:$I$185,9,0)</f>
        <v>5.2</v>
      </c>
      <c r="DN63" s="12">
        <f t="array" ref="DN63">INDEX(DM:DM,MIN(IF(ISNUMBER(DM63:DM259),ROW(DM63:DM259),"")))</f>
        <v>5.2</v>
      </c>
      <c r="DO63" s="12">
        <f>IF('Données projet'!$A$166&gt;35,DO62+DN63-DW62,IF(A63&lt;'Données projet'!$A$166,$DL$205^A63,IF(A63='Données projet'!$A$166,'Données projet'!$B$166,DO62+DN63-DW62)))</f>
        <v>244.99999999999983</v>
      </c>
      <c r="DP63" s="17">
        <f>DO63*VLOOKUP('Données projet'!$B$14,Paramètres!$A$1:$I$89,3,0)*VLOOKUP('Données projet'!$B$14,Paramètres!$A$1:$I$89,5,0)</f>
        <v>198.74399999999989</v>
      </c>
      <c r="DQ63" s="13">
        <f t="shared" si="43"/>
        <v>49.468035816012154</v>
      </c>
      <c r="DR63" s="20">
        <f t="shared" si="16"/>
        <v>432.30262904622094</v>
      </c>
      <c r="DS63" s="59">
        <f t="shared" si="17"/>
        <v>725.63596237955426</v>
      </c>
      <c r="DT63" s="59">
        <f ca="1">AVERAGE(OFFSET($DS$3,0,0,'Données projet'!$E$14+1,1))-AVERAGE(OFFSET($H$3,0,0,'Données projet'!$E$14+1,1))</f>
        <v>304.26232113495314</v>
      </c>
      <c r="DU63" s="59">
        <f t="shared" si="44"/>
        <v>297.47246687305056</v>
      </c>
      <c r="DV63" s="15">
        <f>IF(ISNA(VLOOKUP(A63,'Données projet'!$A$165:$I$185,3,0)),0,VLOOKUP(A63,'Données projet'!$A$165:$I$185,3,0))</f>
        <v>10</v>
      </c>
      <c r="DW63" s="15">
        <f>IF(ISNA(VLOOKUP(A63,'Données projet'!$A$165:$I$185,4,0)),0,VLOOKUP(A63,'Données projet'!$A$165:$I$185,4,0))</f>
        <v>12</v>
      </c>
      <c r="DX63" s="16">
        <f>IF(ISNA(VLOOKUP(A63,'Données projet'!$A$165:$I$185,5,0)),0%,VLOOKUP(A63,'Données projet'!$A$165:$I$185,5,0)*VLOOKUP('Données projet'!$B$14,Paramètres!$A$1:$I$89,7,0))</f>
        <v>0.26500000000000001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0.3</v>
      </c>
      <c r="EA63" s="21">
        <f>EXP(-LN(2)/35)*EA62+(1-EXP(-LN(2)/35))/(LN(2)/35)*DW63*DX63*VLOOKUP('Données projet'!$B$14,Paramètres!$A$1:$I$89,3,0)*0.475*44/12</f>
        <v>10.864438984990587</v>
      </c>
      <c r="EB63" s="21">
        <f>EXP(-LN(2)/25)*EB62+(1-EXP(-LN(2)/25))/(LN(2)/25)*Calculateur!DW63*Calculateur!DY63*VLOOKUP('Données projet'!$B$14,Paramètres!$A$1:$I$89,3,0)*0.475*44/12</f>
        <v>5.0336331950252271</v>
      </c>
      <c r="EC63" s="21">
        <f>EXP(-LN(2)/2)*EC62+(1-EXP(-LN(2)/2))/(LN(2)/2)*DW63*DZ63*VLOOKUP('Données projet'!$B$14,Paramètres!$A$1:$I$89,3,0)*0.475*44/12</f>
        <v>3.4906939374130452</v>
      </c>
      <c r="ED63" s="22">
        <f t="shared" si="18"/>
        <v>19.388766117428858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245</v>
      </c>
      <c r="EH63" s="12">
        <f>VLOOKUP(A63,'Données projet'!$A$191:$I$211,9,0)</f>
        <v>5.2</v>
      </c>
      <c r="EI63" s="12">
        <f t="array" ref="EI63">INDEX(EH:EH,MIN(IF(ISNUMBER(EH63:EH259),ROW(EH63:EH259),"")))</f>
        <v>5.2</v>
      </c>
      <c r="EJ63" s="12">
        <f>IF('Données projet'!$A$192&gt;35,EJ62+EI63-ER62,IF(A63&lt;'Données projet'!$A$192,$EG$205^A63,IF(A63='Données projet'!$A$192,'Données projet'!$B$192,EJ62+EI63-ER62)))</f>
        <v>244.99999999999983</v>
      </c>
      <c r="EK63" s="17">
        <f>EJ63*VLOOKUP('Données projet'!$B$15,Paramètres!$A$1:$I$89,3,0)*VLOOKUP('Données projet'!$B$15,Paramètres!$A$1:$I$89,5,0)</f>
        <v>236.96399999999983</v>
      </c>
      <c r="EL63" s="13">
        <f t="shared" si="45"/>
        <v>57.785837100566191</v>
      </c>
      <c r="EM63" s="20">
        <f t="shared" si="19"/>
        <v>513.35596628348583</v>
      </c>
      <c r="EN63" s="59">
        <f t="shared" si="20"/>
        <v>806.6892996168192</v>
      </c>
      <c r="EO63" s="59">
        <f ca="1">AVERAGE(OFFSET($EN$3,0,0,'Données projet'!$E$15+1,1))-AVERAGE(OFFSET($H$3,0,0,'Données projet'!$E$15+1,1))</f>
        <v>355.72173590705142</v>
      </c>
      <c r="EP63" s="59">
        <f t="shared" si="46"/>
        <v>346.30980704469363</v>
      </c>
      <c r="EQ63" s="15">
        <f>IF(ISNA(VLOOKUP(A63,'Données projet'!$A$191:$I$211,3,0)),0,VLOOKUP(A63,'Données projet'!$A$191:$I$211,3,0))</f>
        <v>10</v>
      </c>
      <c r="ER63" s="15">
        <f>IF(ISNA(VLOOKUP(A63,'Données projet'!$A$191:$I$211,4,0)),0,VLOOKUP(A63,'Données projet'!$A$191:$I$211,4,0))</f>
        <v>12</v>
      </c>
      <c r="ES63" s="16">
        <f>IF(ISNA(VLOOKUP(A63,'Données projet'!$A$191:$I$211,5,0)),0%,VLOOKUP(A63,'Données projet'!$A$191:$I$211,5,0)*VLOOKUP('Données projet'!$B$15,Paramètres!$A$1:$I$89,7,0))</f>
        <v>0.215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0.3</v>
      </c>
      <c r="EV63" s="21">
        <f>EXP(-LN(2)/35)*EV62+(1-EXP(-LN(2)/35))/(LN(2)/35)*ER63*ES63*VLOOKUP('Données projet'!$B$15,Paramètres!$A$1:$I$89,3,0)*0.475*44/12</f>
        <v>10.509649613202072</v>
      </c>
      <c r="EW63" s="21">
        <f>EXP(-LN(2)/25)*EW62+(1-EXP(-LN(2)/25))/(LN(2)/25)*Calculateur!ER63*Calculateur!ET63*VLOOKUP('Données projet'!$B$15,Paramètres!$A$1:$I$89,3,0)*0.475*44/12</f>
        <v>4.8692547525171452</v>
      </c>
      <c r="EX63" s="21">
        <f>EXP(-LN(2)/2)*EX62+(1-EXP(-LN(2)/2))/(LN(2)/2)*ER63*EU63*VLOOKUP('Données projet'!$B$15,Paramètres!$A$1:$I$89,3,0)*0.475*44/12</f>
        <v>4.1619812330694002</v>
      </c>
      <c r="EY63" s="22">
        <f t="shared" si="21"/>
        <v>19.540885598788616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245</v>
      </c>
      <c r="FC63" s="12">
        <f>VLOOKUP(A63,'Données projet'!$A$217:$I$237,9,0)</f>
        <v>5.2</v>
      </c>
      <c r="FD63" s="12">
        <f t="array" ref="FD63">INDEX(FC:FC,MIN(IF(ISNUMBER(FC63:FC259),ROW(FC63:FC259),"")))</f>
        <v>5.2</v>
      </c>
      <c r="FE63" s="12">
        <f>IF('Données projet'!$A$218&gt;35,FE62+FD63-FM62,IF(A63&lt;'Données projet'!$A$218,$FB$205^A63,IF(A63='Données projet'!$A$218,'Données projet'!$B$218,FE62+FD63-FM62)))</f>
        <v>244.99999999999983</v>
      </c>
      <c r="FF63" s="17">
        <f>FE63*VLOOKUP('Données projet'!$B$16,Paramètres!$A$1:$I$89,3,0)*VLOOKUP('Données projet'!$B$16,Paramètres!$A$1:$I$89,5,0)</f>
        <v>179.63399999999987</v>
      </c>
      <c r="FG63" s="13">
        <f t="shared" si="47"/>
        <v>45.240748266194686</v>
      </c>
      <c r="FH63" s="20">
        <f t="shared" si="22"/>
        <v>391.65685323028885</v>
      </c>
      <c r="FI63" s="59">
        <f t="shared" si="23"/>
        <v>684.99018656362216</v>
      </c>
      <c r="FJ63" s="59">
        <f ca="1">AVERAGE(OFFSET($FI$3,0,0,'Données projet'!$E$16+1,1))-AVERAGE(OFFSET($H$3,0,0,'Données projet'!$E$16+1,1))</f>
        <v>278.45534008146865</v>
      </c>
      <c r="FK63" s="59">
        <f t="shared" si="48"/>
        <v>272.97841038165217</v>
      </c>
      <c r="FL63" s="15">
        <f>IF(ISNA(VLOOKUP(A63,'Données projet'!$A$217:$I$237,3,0)),0,VLOOKUP(A63,'Données projet'!$A$217:$I$237,3,0))</f>
        <v>10</v>
      </c>
      <c r="FM63" s="15">
        <f>IF(ISNA(VLOOKUP(A63,'Données projet'!$A$217:$I$237,4,0)),0,VLOOKUP(A63,'Données projet'!$A$217:$I$237,4,0))</f>
        <v>12</v>
      </c>
      <c r="FN63" s="16">
        <f>IF(ISNA(VLOOKUP(A63,'Données projet'!$A$217:$I$237,5,0)),0%,VLOOKUP(A63,'Données projet'!$A$217:$I$237,5,0)*VLOOKUP('Données projet'!$B$16,Paramètres!$A$1:$I$89,7,0))</f>
        <v>0.215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0.3</v>
      </c>
      <c r="FQ63" s="21">
        <f>EXP(-LN(2)/35)*FQ62+(1-EXP(-LN(2)/35))/(LN(2)/35)*FM63*FN63*VLOOKUP('Données projet'!$B$16,Paramètres!$A$1:$I$89,3,0)*0.475*44/12</f>
        <v>7.9669924487176988</v>
      </c>
      <c r="FR63" s="21">
        <f>EXP(-LN(2)/25)*FR62+(1-EXP(-LN(2)/25))/(LN(2)/25)*Calculateur!FM63*Calculateur!FO63*VLOOKUP('Données projet'!$B$16,Paramètres!$A$1:$I$89,3,0)*0.475*44/12</f>
        <v>3.6912092478759009</v>
      </c>
      <c r="FS63" s="21">
        <f>EXP(-LN(2)/2)*FS62+(1-EXP(-LN(2)/2))/(LN(2)/2)*FM63*FP63*VLOOKUP('Données projet'!$B$16,Paramètres!$A$1:$I$89,3,0)*0.475*44/12</f>
        <v>3.1550502895848673</v>
      </c>
      <c r="FT63" s="22">
        <f t="shared" si="24"/>
        <v>14.813251986178468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6.875</v>
      </c>
      <c r="N64" s="13">
        <f>IF('Données projet'!$A$36&gt;35,N63+M64-V63,IF(A64&lt;'Données projet'!$A$36,$K$205^A64,IF(A64='Données projet'!$A$36,'Données projet'!$B$36,N63+M64-V63)))</f>
        <v>155.625</v>
      </c>
      <c r="O64" s="13">
        <f>N64*VLOOKUP('Données projet'!$B$9,Paramètres!$A$1:$I$89,3,0)*VLOOKUP('Données projet'!$B$9,Paramètres!$A$1:$I$89,5,0)</f>
        <v>140.80949999999999</v>
      </c>
      <c r="P64" s="13">
        <f t="shared" si="33"/>
        <v>36.482388305395361</v>
      </c>
      <c r="Q64" s="20">
        <f t="shared" si="53"/>
        <v>308.78337213189684</v>
      </c>
      <c r="R64" s="59">
        <f t="shared" si="0"/>
        <v>602.1167054652301</v>
      </c>
      <c r="S64" s="59">
        <f ca="1">AVERAGE(OFFSET($R$3,0,0,'Données projet'!$E$9+1,1))-AVERAGE(OFFSET($H$3,0,0,'Données projet'!$E$9+1,1))</f>
        <v>436.03161778768742</v>
      </c>
      <c r="T64" s="59">
        <f t="shared" si="34"/>
        <v>217.65884352525285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14.199057239368935</v>
      </c>
      <c r="AB64" s="21">
        <f>EXP(-LN(2)/2)*AB63+(1-EXP(-LN(2)/2))/(LN(2)/2)*V64*Y64*VLOOKUP('Données projet'!$B$9,Paramètres!$A$1:$I$89,3,0)*0.475*44/12</f>
        <v>0</v>
      </c>
      <c r="AC64" s="22">
        <f t="shared" si="3"/>
        <v>14.199057239368935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6.875</v>
      </c>
      <c r="AI64" s="13">
        <f>IF('Données projet'!$A$62&gt;35,AI63+AH64-AQ63,IF(A64&lt;'Données projet'!$A$62,$AF$205^A64,IF(A64='Données projet'!$A$62,'Données projet'!$B$62,AI63+AH64-AQ63)))</f>
        <v>155.625</v>
      </c>
      <c r="AJ64" s="13">
        <f>AI64*VLOOKUP('Données projet'!$B$10,Paramètres!$A$1:$I$89,3,0)*VLOOKUP('Données projet'!$B$10,Paramètres!$A$1:$I$89,5,0)</f>
        <v>157.80375000000001</v>
      </c>
      <c r="AK64" s="13">
        <f t="shared" si="35"/>
        <v>40.346747308033947</v>
      </c>
      <c r="AL64" s="20">
        <f t="shared" si="4"/>
        <v>345.11211614482573</v>
      </c>
      <c r="AM64" s="59">
        <f t="shared" si="5"/>
        <v>638.44544947815905</v>
      </c>
      <c r="AN64" s="59">
        <f ca="1">AVERAGE(OFFSET($AM$3,0,0,'Données projet'!$E$10+1,1))-AVERAGE(OFFSET($H$3,0,0,'Données projet'!$E$10+1,1))</f>
        <v>483.45320081988984</v>
      </c>
      <c r="AO64" s="59">
        <f t="shared" si="36"/>
        <v>238.92443174298893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15.91273656136174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15.91273656136174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3.3</v>
      </c>
      <c r="BD64" s="12">
        <f>IF('Données projet'!$A$88&gt;35,BD63+BC64-BL63,IF(A64&lt;'Données projet'!$A$88,$BA$205^A64,IF(A64='Données projet'!$A$88,'Données projet'!$B$88,BD63+BC64-BL63)))</f>
        <v>219.30000000000007</v>
      </c>
      <c r="BE64" s="13">
        <f>BD64*VLOOKUP('Données projet'!$B$11,Paramètres!$A$1:$I$89,3,0)*VLOOKUP('Données projet'!$B$11,Paramètres!$A$1:$I$89,5,0)</f>
        <v>191.58048000000008</v>
      </c>
      <c r="BF64" s="13">
        <f t="shared" si="37"/>
        <v>47.889205896476554</v>
      </c>
      <c r="BG64" s="20">
        <f t="shared" si="7"/>
        <v>417.07636960303012</v>
      </c>
      <c r="BH64" s="59">
        <f t="shared" si="8"/>
        <v>710.40970293636337</v>
      </c>
      <c r="BI64" s="59">
        <f ca="1">AVERAGE(OFFSET($BH$3,0,0,'Données projet'!$E$11+1,1))-AVERAGE(OFFSET($H$3,0,0,'Données projet'!$E$11+1,1))</f>
        <v>310.44153296396854</v>
      </c>
      <c r="BJ64" s="59">
        <f t="shared" si="38"/>
        <v>388.05195847800502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10.736010107716236</v>
      </c>
      <c r="BQ64" s="21">
        <f>EXP(-LN(2)/25)*BQ63+(1-EXP(-LN(2)/25))/(LN(2)/25)*Calculateur!BL64*Calculateur!BN64*VLOOKUP('Données projet'!$B$11,Paramètres!$A$1:$I$89,3,0)*0.475*44/12</f>
        <v>6.8079899989419701</v>
      </c>
      <c r="BR64" s="21">
        <f>EXP(-LN(2)/2)*BR63+(1-EXP(-LN(2)/2))/(LN(2)/2)*BL64*BO64*VLOOKUP('Données projet'!$B$11,Paramètres!$A$1:$I$89,3,0)*0.475*44/12</f>
        <v>3.2177625774986187</v>
      </c>
      <c r="BS64" s="22">
        <f t="shared" si="9"/>
        <v>20.761762684156825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-2.2737367544323206E-13</v>
      </c>
      <c r="BZ64" s="13">
        <f>BY64*VLOOKUP('Données projet'!$B$12,Paramètres!$A$1:$I$89,3,0)*VLOOKUP('Données projet'!$B$12,Paramètres!$A$1:$I$89,5,0)</f>
        <v>-1.2710188457276673E-13</v>
      </c>
      <c r="CA64" s="13" t="e">
        <f t="shared" si="39"/>
        <v>#NUM!</v>
      </c>
      <c r="CB64" s="20" t="e">
        <f t="shared" si="10"/>
        <v>#NUM!</v>
      </c>
      <c r="CC64" s="59" t="e">
        <f t="shared" si="11"/>
        <v>#NUM!</v>
      </c>
      <c r="CD64" s="59">
        <f ca="1">AVERAGE(OFFSET($CC$3,0,0,'Données projet'!$E$12+1,1))-AVERAGE(OFFSET($H$3,0,0,'Données projet'!$E$12+1,1))</f>
        <v>443.34220761968419</v>
      </c>
      <c r="CE64" s="59">
        <f t="shared" si="40"/>
        <v>546.58234447298014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249.43696266201621</v>
      </c>
      <c r="CL64" s="21">
        <f>EXP(-LN(2)/25)*CL63+(1-EXP(-LN(2)/25))/(LN(2)/25)*Calculateur!CG64*Calculateur!CI64*VLOOKUP('Données projet'!$B$12,Paramètres!$A$1:$I$89,3,0)*0.475*44/12</f>
        <v>58.976770569204447</v>
      </c>
      <c r="CM64" s="21">
        <f>EXP(-LN(2)/2)*CM63+(1-EXP(-LN(2)/2))/(LN(2)/2)*CG64*CJ64*VLOOKUP('Données projet'!$B$12,Paramètres!$A$1:$I$89,3,0)*0.475*44/12</f>
        <v>30.538817706333649</v>
      </c>
      <c r="CN64" s="22">
        <f t="shared" si="12"/>
        <v>338.95255093755429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>
        <f>CT64*VLOOKUP('Données projet'!$B$13,Paramètres!$A$1:$I$89,3,0)*VLOOKUP('Données projet'!$B$13,Paramètres!$A$1:$I$89,5,0)</f>
        <v>0</v>
      </c>
      <c r="CV64" s="13" t="e">
        <f t="shared" si="41"/>
        <v>#NUM!</v>
      </c>
      <c r="CW64" s="20" t="e">
        <f t="shared" si="13"/>
        <v>#NUM!</v>
      </c>
      <c r="CX64" s="59" t="e">
        <f t="shared" si="14"/>
        <v>#NUM!</v>
      </c>
      <c r="CY64" s="59">
        <f ca="1">AVERAGE(OFFSET($CX$3,0,0,'Données projet'!$E$13+1,1))-AVERAGE(OFFSET($H$3,0,0,'Données projet'!$E$13+1,1))</f>
        <v>214.22606988805535</v>
      </c>
      <c r="CZ64" s="59">
        <f t="shared" si="42"/>
        <v>305.78163836959078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139.9571427072583</v>
      </c>
      <c r="DG64" s="21">
        <f>EXP(-LN(2)/25)*DG63+(1-EXP(-LN(2)/25))/(LN(2)/25)*Calculateur!DB64*Calculateur!DD64*VLOOKUP('Données projet'!$B$13,Paramètres!$A$1:$I$89,3,0)*0.475*44/12</f>
        <v>34.564376970848123</v>
      </c>
      <c r="DH64" s="21">
        <f>EXP(-LN(2)/2)*DH63+(1-EXP(-LN(2)/2))/(LN(2)/2)*DB64*DE64*VLOOKUP('Données projet'!$B$13,Paramètres!$A$1:$I$89,3,0)*0.475*44/12</f>
        <v>13.346962512954716</v>
      </c>
      <c r="DI64" s="22">
        <f t="shared" si="15"/>
        <v>187.86848219106113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4.4000000000000004</v>
      </c>
      <c r="DO64" s="12">
        <f>IF('Données projet'!$A$166&gt;35,DO63+DN64-DW63,IF(A64&lt;'Données projet'!$A$166,$DL$205^A64,IF(A64='Données projet'!$A$166,'Données projet'!$B$166,DO63+DN64-DW63)))</f>
        <v>237.39999999999984</v>
      </c>
      <c r="DP64" s="17">
        <f>DO64*VLOOKUP('Données projet'!$B$14,Paramètres!$A$1:$I$89,3,0)*VLOOKUP('Données projet'!$B$14,Paramètres!$A$1:$I$89,5,0)</f>
        <v>192.57887999999988</v>
      </c>
      <c r="DQ64" s="13">
        <f t="shared" si="43"/>
        <v>48.109658468565421</v>
      </c>
      <c r="DR64" s="20">
        <f t="shared" si="16"/>
        <v>419.19920449941787</v>
      </c>
      <c r="DS64" s="59">
        <f t="shared" si="17"/>
        <v>712.53253783275113</v>
      </c>
      <c r="DT64" s="59">
        <f ca="1">AVERAGE(OFFSET($DS$3,0,0,'Données projet'!$E$14+1,1))-AVERAGE(OFFSET($H$3,0,0,'Données projet'!$E$14+1,1))</f>
        <v>304.26232113495314</v>
      </c>
      <c r="DU64" s="59">
        <f t="shared" si="44"/>
        <v>297.47246687305056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10.651393963148374</v>
      </c>
      <c r="EB64" s="21">
        <f>EXP(-LN(2)/25)*EB63+(1-EXP(-LN(2)/25))/(LN(2)/25)*Calculateur!DW64*Calculateur!DY64*VLOOKUP('Données projet'!$B$14,Paramètres!$A$1:$I$89,3,0)*0.475*44/12</f>
        <v>4.8959882305999969</v>
      </c>
      <c r="EC64" s="21">
        <f>EXP(-LN(2)/2)*EC63+(1-EXP(-LN(2)/2))/(LN(2)/2)*DW64*DZ64*VLOOKUP('Données projet'!$B$14,Paramètres!$A$1:$I$89,3,0)*0.475*44/12</f>
        <v>2.4682933541915344</v>
      </c>
      <c r="ED64" s="22">
        <f t="shared" si="18"/>
        <v>18.015675547939907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4.4000000000000004</v>
      </c>
      <c r="EJ64" s="12">
        <f>IF('Données projet'!$A$192&gt;35,EJ63+EI64-ER63,IF(A64&lt;'Données projet'!$A$192,$EG$205^A64,IF(A64='Données projet'!$A$192,'Données projet'!$B$192,EJ63+EI64-ER63)))</f>
        <v>237.39999999999984</v>
      </c>
      <c r="EK64" s="17">
        <f>EJ64*VLOOKUP('Données projet'!$B$15,Paramètres!$A$1:$I$89,3,0)*VLOOKUP('Données projet'!$B$15,Paramètres!$A$1:$I$89,5,0)</f>
        <v>229.61327999999986</v>
      </c>
      <c r="EL64" s="13">
        <f t="shared" si="45"/>
        <v>56.199055437906189</v>
      </c>
      <c r="EM64" s="20">
        <f t="shared" si="19"/>
        <v>497.78981755435296</v>
      </c>
      <c r="EN64" s="59">
        <f t="shared" si="20"/>
        <v>791.12315088768628</v>
      </c>
      <c r="EO64" s="59">
        <f ca="1">AVERAGE(OFFSET($EN$3,0,0,'Données projet'!$E$15+1,1))-AVERAGE(OFFSET($H$3,0,0,'Données projet'!$E$15+1,1))</f>
        <v>355.72173590705142</v>
      </c>
      <c r="EP64" s="59">
        <f t="shared" si="46"/>
        <v>346.30980704469363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10.303561794540483</v>
      </c>
      <c r="EW64" s="21">
        <f>EXP(-LN(2)/25)*EW63+(1-EXP(-LN(2)/25))/(LN(2)/25)*Calculateur!ER64*Calculateur!ET64*VLOOKUP('Données projet'!$B$15,Paramètres!$A$1:$I$89,3,0)*0.475*44/12</f>
        <v>4.7361047252465855</v>
      </c>
      <c r="EX64" s="21">
        <f>EXP(-LN(2)/2)*EX63+(1-EXP(-LN(2)/2))/(LN(2)/2)*ER64*EU64*VLOOKUP('Données projet'!$B$15,Paramètres!$A$1:$I$89,3,0)*0.475*44/12</f>
        <v>2.942965153074522</v>
      </c>
      <c r="EY64" s="22">
        <f t="shared" si="21"/>
        <v>17.98263167286159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4.4000000000000004</v>
      </c>
      <c r="FE64" s="12">
        <f>IF('Données projet'!$A$218&gt;35,FE63+FD64-FM63,IF(A64&lt;'Données projet'!$A$218,$FB$205^A64,IF(A64='Données projet'!$A$218,'Données projet'!$B$218,FE63+FD64-FM63)))</f>
        <v>237.39999999999984</v>
      </c>
      <c r="FF64" s="17">
        <f>FE64*VLOOKUP('Données projet'!$B$16,Paramètres!$A$1:$I$89,3,0)*VLOOKUP('Données projet'!$B$16,Paramètres!$A$1:$I$89,5,0)</f>
        <v>174.06167999999988</v>
      </c>
      <c r="FG64" s="13">
        <f t="shared" si="47"/>
        <v>43.998450960214953</v>
      </c>
      <c r="FH64" s="20">
        <f t="shared" si="22"/>
        <v>379.78806142237414</v>
      </c>
      <c r="FI64" s="59">
        <f t="shared" si="23"/>
        <v>673.12139475570746</v>
      </c>
      <c r="FJ64" s="59">
        <f ca="1">AVERAGE(OFFSET($FI$3,0,0,'Données projet'!$E$16+1,1))-AVERAGE(OFFSET($H$3,0,0,'Données projet'!$E$16+1,1))</f>
        <v>278.45534008146865</v>
      </c>
      <c r="FK64" s="59">
        <f t="shared" si="48"/>
        <v>272.97841038165217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7.8107645861839137</v>
      </c>
      <c r="FR64" s="21">
        <f>EXP(-LN(2)/25)*FR63+(1-EXP(-LN(2)/25))/(LN(2)/25)*Calculateur!FM64*Calculateur!FO64*VLOOKUP('Données projet'!$B$16,Paramètres!$A$1:$I$89,3,0)*0.475*44/12</f>
        <v>3.5902729368804764</v>
      </c>
      <c r="FS64" s="21">
        <f>EXP(-LN(2)/2)*FS63+(1-EXP(-LN(2)/2))/(LN(2)/2)*FM64*FP64*VLOOKUP('Données projet'!$B$16,Paramètres!$A$1:$I$89,3,0)*0.475*44/12</f>
        <v>2.2309574547500404</v>
      </c>
      <c r="FT64" s="22">
        <f t="shared" si="24"/>
        <v>13.631994977814431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6.875</v>
      </c>
      <c r="N65" s="13">
        <f>IF('Données projet'!$A$36&gt;35,N64+M65-V64,IF(A65&lt;'Données projet'!$A$36,$K$205^A65,IF(A65='Données projet'!$A$36,'Données projet'!$B$36,N64+M65-V64)))</f>
        <v>162.5</v>
      </c>
      <c r="O65" s="13">
        <f>N65*VLOOKUP('Données projet'!$B$9,Paramètres!$A$1:$I$89,3,0)*VLOOKUP('Données projet'!$B$9,Paramètres!$A$1:$I$89,5,0)</f>
        <v>147.03</v>
      </c>
      <c r="P65" s="13">
        <f t="shared" si="33"/>
        <v>37.90285889427615</v>
      </c>
      <c r="Q65" s="20">
        <f t="shared" si="53"/>
        <v>322.09139590753097</v>
      </c>
      <c r="R65" s="59">
        <f t="shared" si="0"/>
        <v>615.42472924086428</v>
      </c>
      <c r="S65" s="59">
        <f ca="1">AVERAGE(OFFSET($R$3,0,0,'Données projet'!$E$9+1,1))-AVERAGE(OFFSET($H$3,0,0,'Données projet'!$E$9+1,1))</f>
        <v>436.03161778768742</v>
      </c>
      <c r="T65" s="59">
        <f t="shared" si="34"/>
        <v>217.65884352525285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13.810783272462423</v>
      </c>
      <c r="AB65" s="21">
        <f>EXP(-LN(2)/2)*AB64+(1-EXP(-LN(2)/2))/(LN(2)/2)*V65*Y65*VLOOKUP('Données projet'!$B$9,Paramètres!$A$1:$I$89,3,0)*0.475*44/12</f>
        <v>0</v>
      </c>
      <c r="AC65" s="22">
        <f t="shared" si="3"/>
        <v>13.810783272462423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6.875</v>
      </c>
      <c r="AI65" s="13">
        <f>IF('Données projet'!$A$62&gt;35,AI64+AH65-AQ64,IF(A65&lt;'Données projet'!$A$62,$AF$205^A65,IF(A65='Données projet'!$A$62,'Données projet'!$B$62,AI64+AH65-AQ64)))</f>
        <v>162.5</v>
      </c>
      <c r="AJ65" s="13">
        <f>AI65*VLOOKUP('Données projet'!$B$10,Paramètres!$A$1:$I$89,3,0)*VLOOKUP('Données projet'!$B$10,Paramètres!$A$1:$I$89,5,0)</f>
        <v>164.77500000000001</v>
      </c>
      <c r="AK65" s="13">
        <f t="shared" si="35"/>
        <v>41.917679765314709</v>
      </c>
      <c r="AL65" s="20">
        <f t="shared" si="4"/>
        <v>359.9897505912565</v>
      </c>
      <c r="AM65" s="59">
        <f t="shared" si="5"/>
        <v>653.32308392458981</v>
      </c>
      <c r="AN65" s="59">
        <f ca="1">AVERAGE(OFFSET($AM$3,0,0,'Données projet'!$E$10+1,1))-AVERAGE(OFFSET($H$3,0,0,'Données projet'!$E$10+1,1))</f>
        <v>483.45320081988984</v>
      </c>
      <c r="AO65" s="59">
        <f t="shared" si="36"/>
        <v>238.92443174298893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15.477601943276856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15.477601943276856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3.3</v>
      </c>
      <c r="BD65" s="12">
        <f>IF('Données projet'!$A$88&gt;35,BD64+BC65-BL64,IF(A65&lt;'Données projet'!$A$88,$BA$205^A65,IF(A65='Données projet'!$A$88,'Données projet'!$B$88,BD64+BC65-BL64)))</f>
        <v>222.60000000000008</v>
      </c>
      <c r="BE65" s="13">
        <f>BD65*VLOOKUP('Données projet'!$B$11,Paramètres!$A$1:$I$89,3,0)*VLOOKUP('Données projet'!$B$11,Paramètres!$A$1:$I$89,5,0)</f>
        <v>194.46336000000011</v>
      </c>
      <c r="BF65" s="13">
        <f t="shared" si="37"/>
        <v>48.525400894162686</v>
      </c>
      <c r="BG65" s="20">
        <f t="shared" si="7"/>
        <v>423.20542522400018</v>
      </c>
      <c r="BH65" s="59">
        <f t="shared" si="8"/>
        <v>716.53875855733349</v>
      </c>
      <c r="BI65" s="59">
        <f ca="1">AVERAGE(OFFSET($BH$3,0,0,'Données projet'!$E$11+1,1))-AVERAGE(OFFSET($H$3,0,0,'Données projet'!$E$11+1,1))</f>
        <v>310.44153296396854</v>
      </c>
      <c r="BJ65" s="59">
        <f t="shared" si="38"/>
        <v>388.05195847800502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10.525483497823494</v>
      </c>
      <c r="BQ65" s="21">
        <f>EXP(-LN(2)/25)*BQ64+(1-EXP(-LN(2)/25))/(LN(2)/25)*Calculateur!BL65*Calculateur!BN65*VLOOKUP('Données projet'!$B$11,Paramètres!$A$1:$I$89,3,0)*0.475*44/12</f>
        <v>6.6218251544042674</v>
      </c>
      <c r="BR65" s="21">
        <f>EXP(-LN(2)/2)*BR64+(1-EXP(-LN(2)/2))/(LN(2)/2)*BL65*BO65*VLOOKUP('Données projet'!$B$11,Paramètres!$A$1:$I$89,3,0)*0.475*44/12</f>
        <v>2.2753017387975771</v>
      </c>
      <c r="BS65" s="22">
        <f t="shared" si="9"/>
        <v>19.422610391025337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-2.2737367544323206E-13</v>
      </c>
      <c r="BZ65" s="13">
        <f>BY65*VLOOKUP('Données projet'!$B$12,Paramètres!$A$1:$I$89,3,0)*VLOOKUP('Données projet'!$B$12,Paramètres!$A$1:$I$89,5,0)</f>
        <v>-1.2710188457276673E-13</v>
      </c>
      <c r="CA65" s="13" t="e">
        <f t="shared" si="39"/>
        <v>#NUM!</v>
      </c>
      <c r="CB65" s="20" t="e">
        <f t="shared" si="10"/>
        <v>#NUM!</v>
      </c>
      <c r="CC65" s="59" t="e">
        <f t="shared" si="11"/>
        <v>#NUM!</v>
      </c>
      <c r="CD65" s="59">
        <f ca="1">AVERAGE(OFFSET($CC$3,0,0,'Données projet'!$E$12+1,1))-AVERAGE(OFFSET($H$3,0,0,'Données projet'!$E$12+1,1))</f>
        <v>443.34220761968419</v>
      </c>
      <c r="CE65" s="59">
        <f t="shared" si="40"/>
        <v>546.58234447298014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244.54565596573858</v>
      </c>
      <c r="CL65" s="21">
        <f>EXP(-LN(2)/25)*CL64+(1-EXP(-LN(2)/25))/(LN(2)/25)*Calculateur!CG65*Calculateur!CI65*VLOOKUP('Données projet'!$B$12,Paramètres!$A$1:$I$89,3,0)*0.475*44/12</f>
        <v>57.364047676535982</v>
      </c>
      <c r="CM65" s="21">
        <f>EXP(-LN(2)/2)*CM64+(1-EXP(-LN(2)/2))/(LN(2)/2)*CG65*CJ65*VLOOKUP('Données projet'!$B$12,Paramètres!$A$1:$I$89,3,0)*0.475*44/12</f>
        <v>21.594205089568334</v>
      </c>
      <c r="CN65" s="22">
        <f t="shared" si="12"/>
        <v>323.5039087318429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>
        <f>CT65*VLOOKUP('Données projet'!$B$13,Paramètres!$A$1:$I$89,3,0)*VLOOKUP('Données projet'!$B$13,Paramètres!$A$1:$I$89,5,0)</f>
        <v>0</v>
      </c>
      <c r="CV65" s="13" t="e">
        <f t="shared" si="41"/>
        <v>#NUM!</v>
      </c>
      <c r="CW65" s="20" t="e">
        <f t="shared" si="13"/>
        <v>#NUM!</v>
      </c>
      <c r="CX65" s="59" t="e">
        <f t="shared" si="14"/>
        <v>#NUM!</v>
      </c>
      <c r="CY65" s="59">
        <f ca="1">AVERAGE(OFFSET($CX$3,0,0,'Données projet'!$E$13+1,1))-AVERAGE(OFFSET($H$3,0,0,'Données projet'!$E$13+1,1))</f>
        <v>214.22606988805535</v>
      </c>
      <c r="CZ65" s="59">
        <f t="shared" si="42"/>
        <v>305.78163836959078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137.21266850419687</v>
      </c>
      <c r="DG65" s="21">
        <f>EXP(-LN(2)/25)*DG64+(1-EXP(-LN(2)/25))/(LN(2)/25)*Calculateur!DB65*Calculateur!DD65*VLOOKUP('Données projet'!$B$13,Paramètres!$A$1:$I$89,3,0)*0.475*44/12</f>
        <v>33.619212264918694</v>
      </c>
      <c r="DH65" s="21">
        <f>EXP(-LN(2)/2)*DH64+(1-EXP(-LN(2)/2))/(LN(2)/2)*DB65*DE65*VLOOKUP('Données projet'!$B$13,Paramètres!$A$1:$I$89,3,0)*0.475*44/12</f>
        <v>9.437727701152923</v>
      </c>
      <c r="DI65" s="22">
        <f t="shared" si="15"/>
        <v>180.26960847026851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4.4000000000000004</v>
      </c>
      <c r="DO65" s="12">
        <f>IF('Données projet'!$A$166&gt;35,DO64+DN65-DW64,IF(A65&lt;'Données projet'!$A$166,$DL$205^A65,IF(A65='Données projet'!$A$166,'Données projet'!$B$166,DO64+DN65-DW64)))</f>
        <v>241.79999999999984</v>
      </c>
      <c r="DP65" s="17">
        <f>DO65*VLOOKUP('Données projet'!$B$14,Paramètres!$A$1:$I$89,3,0)*VLOOKUP('Données projet'!$B$14,Paramètres!$A$1:$I$89,5,0)</f>
        <v>196.14815999999988</v>
      </c>
      <c r="DQ65" s="13">
        <f t="shared" si="43"/>
        <v>48.896694156917398</v>
      </c>
      <c r="DR65" s="20">
        <f t="shared" si="16"/>
        <v>426.78645432329751</v>
      </c>
      <c r="DS65" s="59">
        <f t="shared" si="17"/>
        <v>720.11978765663082</v>
      </c>
      <c r="DT65" s="59">
        <f ca="1">AVERAGE(OFFSET($DS$3,0,0,'Données projet'!$E$14+1,1))-AVERAGE(OFFSET($H$3,0,0,'Données projet'!$E$14+1,1))</f>
        <v>304.26232113495314</v>
      </c>
      <c r="DU65" s="59">
        <f t="shared" si="44"/>
        <v>297.47246687305056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10.442526624239855</v>
      </c>
      <c r="EB65" s="21">
        <f>EXP(-LN(2)/25)*EB64+(1-EXP(-LN(2)/25))/(LN(2)/25)*Calculateur!DW65*Calculateur!DY65*VLOOKUP('Données projet'!$B$14,Paramètres!$A$1:$I$89,3,0)*0.475*44/12</f>
        <v>4.7621071749654087</v>
      </c>
      <c r="EC65" s="21">
        <f>EXP(-LN(2)/2)*EC64+(1-EXP(-LN(2)/2))/(LN(2)/2)*DW65*DZ65*VLOOKUP('Données projet'!$B$14,Paramètres!$A$1:$I$89,3,0)*0.475*44/12</f>
        <v>1.7453469687065228</v>
      </c>
      <c r="ED65" s="22">
        <f t="shared" si="18"/>
        <v>16.949980767911789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4.4000000000000004</v>
      </c>
      <c r="EJ65" s="12">
        <f>IF('Données projet'!$A$192&gt;35,EJ64+EI65-ER64,IF(A65&lt;'Données projet'!$A$192,$EG$205^A65,IF(A65='Données projet'!$A$192,'Données projet'!$B$192,EJ64+EI65-ER64)))</f>
        <v>241.79999999999984</v>
      </c>
      <c r="EK65" s="17">
        <f>EJ65*VLOOKUP('Données projet'!$B$15,Paramètres!$A$1:$I$89,3,0)*VLOOKUP('Données projet'!$B$15,Paramètres!$A$1:$I$89,5,0)</f>
        <v>233.86895999999987</v>
      </c>
      <c r="EL65" s="13">
        <f t="shared" si="45"/>
        <v>57.118427216656315</v>
      </c>
      <c r="EM65" s="20">
        <f t="shared" si="19"/>
        <v>506.8030327356762</v>
      </c>
      <c r="EN65" s="59">
        <f t="shared" si="20"/>
        <v>800.13636606900945</v>
      </c>
      <c r="EO65" s="59">
        <f ca="1">AVERAGE(OFFSET($EN$3,0,0,'Données projet'!$E$15+1,1))-AVERAGE(OFFSET($H$3,0,0,'Données projet'!$E$15+1,1))</f>
        <v>355.72173590705142</v>
      </c>
      <c r="EP65" s="59">
        <f t="shared" si="46"/>
        <v>346.30980704469363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10.101515232301692</v>
      </c>
      <c r="EW65" s="21">
        <f>EXP(-LN(2)/25)*EW64+(1-EXP(-LN(2)/25))/(LN(2)/25)*Calculateur!ER65*Calculateur!ET65*VLOOKUP('Données projet'!$B$15,Paramètres!$A$1:$I$89,3,0)*0.475*44/12</f>
        <v>4.6065956924737943</v>
      </c>
      <c r="EX65" s="21">
        <f>EXP(-LN(2)/2)*EX64+(1-EXP(-LN(2)/2))/(LN(2)/2)*ER65*EU65*VLOOKUP('Données projet'!$B$15,Paramètres!$A$1:$I$89,3,0)*0.475*44/12</f>
        <v>2.0809906165347005</v>
      </c>
      <c r="EY65" s="22">
        <f t="shared" si="21"/>
        <v>16.789101541310188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4.4000000000000004</v>
      </c>
      <c r="FE65" s="12">
        <f>IF('Données projet'!$A$218&gt;35,FE64+FD65-FM64,IF(A65&lt;'Données projet'!$A$218,$FB$205^A65,IF(A65='Données projet'!$A$218,'Données projet'!$B$218,FE64+FD65-FM64)))</f>
        <v>241.79999999999984</v>
      </c>
      <c r="FF65" s="17">
        <f>FE65*VLOOKUP('Données projet'!$B$16,Paramètres!$A$1:$I$89,3,0)*VLOOKUP('Données projet'!$B$16,Paramètres!$A$1:$I$89,5,0)</f>
        <v>177.28775999999988</v>
      </c>
      <c r="FG65" s="13">
        <f t="shared" si="47"/>
        <v>44.718230568721658</v>
      </c>
      <c r="FH65" s="20">
        <f t="shared" si="22"/>
        <v>386.66043357385661</v>
      </c>
      <c r="FI65" s="59">
        <f t="shared" si="23"/>
        <v>679.99376690718987</v>
      </c>
      <c r="FJ65" s="59">
        <f ca="1">AVERAGE(OFFSET($FI$3,0,0,'Données projet'!$E$16+1,1))-AVERAGE(OFFSET($H$3,0,0,'Données projet'!$E$16+1,1))</f>
        <v>278.45534008146865</v>
      </c>
      <c r="FK65" s="59">
        <f t="shared" si="48"/>
        <v>272.97841038165217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7.6576002567448294</v>
      </c>
      <c r="FR65" s="21">
        <f>EXP(-LN(2)/25)*FR64+(1-EXP(-LN(2)/25))/(LN(2)/25)*Calculateur!FM65*Calculateur!FO65*VLOOKUP('Données projet'!$B$16,Paramètres!$A$1:$I$89,3,0)*0.475*44/12</f>
        <v>3.4920967346172316</v>
      </c>
      <c r="FS65" s="21">
        <f>EXP(-LN(2)/2)*FS64+(1-EXP(-LN(2)/2))/(LN(2)/2)*FM65*FP65*VLOOKUP('Données projet'!$B$16,Paramètres!$A$1:$I$89,3,0)*0.475*44/12</f>
        <v>1.5775251447924339</v>
      </c>
      <c r="FT65" s="22">
        <f t="shared" si="24"/>
        <v>12.727222136154495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6.875</v>
      </c>
      <c r="N66" s="13">
        <f>IF('Données projet'!$A$36&gt;35,N65+M66-V65,IF(A66&lt;'Données projet'!$A$36,$K$205^A66,IF(A66='Données projet'!$A$36,'Données projet'!$B$36,N65+M66-V65)))</f>
        <v>169.375</v>
      </c>
      <c r="O66" s="13">
        <f>N66*VLOOKUP('Données projet'!$B$9,Paramètres!$A$1:$I$89,3,0)*VLOOKUP('Données projet'!$B$9,Paramètres!$A$1:$I$89,5,0)</f>
        <v>153.25049999999999</v>
      </c>
      <c r="P66" s="13">
        <f t="shared" si="33"/>
        <v>39.316349209004791</v>
      </c>
      <c r="Q66" s="20">
        <f t="shared" si="53"/>
        <v>335.38726237234994</v>
      </c>
      <c r="R66" s="59">
        <f t="shared" si="0"/>
        <v>628.72059570568331</v>
      </c>
      <c r="S66" s="59">
        <f ca="1">AVERAGE(OFFSET($R$3,0,0,'Données projet'!$E$9+1,1))-AVERAGE(OFFSET($H$3,0,0,'Données projet'!$E$9+1,1))</f>
        <v>436.03161778768742</v>
      </c>
      <c r="T66" s="59">
        <f t="shared" si="34"/>
        <v>217.65884352525285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13.433126677599411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13.433126677599411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6.875</v>
      </c>
      <c r="AI66" s="13">
        <f>IF('Données projet'!$A$62&gt;35,AI65+AH66-AQ65,IF(A66&lt;'Données projet'!$A$62,$AF$205^A66,IF(A66='Données projet'!$A$62,'Données projet'!$B$62,AI65+AH66-AQ65)))</f>
        <v>169.375</v>
      </c>
      <c r="AJ66" s="13">
        <f>AI66*VLOOKUP('Données projet'!$B$10,Paramètres!$A$1:$I$89,3,0)*VLOOKUP('Données projet'!$B$10,Paramètres!$A$1:$I$89,5,0)</f>
        <v>171.74625</v>
      </c>
      <c r="AK66" s="13">
        <f t="shared" si="35"/>
        <v>43.480892570170354</v>
      </c>
      <c r="AL66" s="20">
        <f t="shared" si="4"/>
        <v>374.85393997637999</v>
      </c>
      <c r="AM66" s="59">
        <f t="shared" si="5"/>
        <v>668.18727330971331</v>
      </c>
      <c r="AN66" s="59">
        <f ca="1">AVERAGE(OFFSET($AM$3,0,0,'Données projet'!$E$10+1,1))-AVERAGE(OFFSET($H$3,0,0,'Données projet'!$E$10+1,1))</f>
        <v>483.45320081988984</v>
      </c>
      <c r="AO66" s="59">
        <f t="shared" si="36"/>
        <v>238.92443174298893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15.054366104206238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15.054366104206238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3.3</v>
      </c>
      <c r="BD66" s="12">
        <f>IF('Données projet'!$A$88&gt;35,BD65+BC66-BL65,IF(A66&lt;'Données projet'!$A$88,$BA$205^A66,IF(A66='Données projet'!$A$88,'Données projet'!$B$88,BD65+BC66-BL65)))</f>
        <v>225.90000000000009</v>
      </c>
      <c r="BE66" s="13">
        <f>BD66*VLOOKUP('Données projet'!$B$11,Paramètres!$A$1:$I$89,3,0)*VLOOKUP('Données projet'!$B$11,Paramètres!$A$1:$I$89,5,0)</f>
        <v>197.34624000000011</v>
      </c>
      <c r="BF66" s="13">
        <f t="shared" si="37"/>
        <v>49.160498973822023</v>
      </c>
      <c r="BG66" s="20">
        <f t="shared" si="7"/>
        <v>429.33257037940683</v>
      </c>
      <c r="BH66" s="59">
        <f t="shared" si="8"/>
        <v>722.66590371274015</v>
      </c>
      <c r="BI66" s="59">
        <f ca="1">AVERAGE(OFFSET($BH$3,0,0,'Données projet'!$E$11+1,1))-AVERAGE(OFFSET($H$3,0,0,'Données projet'!$E$11+1,1))</f>
        <v>310.44153296396854</v>
      </c>
      <c r="BJ66" s="59">
        <f t="shared" si="38"/>
        <v>388.05195847800502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10.319085186342196</v>
      </c>
      <c r="BQ66" s="21">
        <f>EXP(-LN(2)/25)*BQ65+(1-EXP(-LN(2)/25))/(LN(2)/25)*Calculateur!BL66*Calculateur!BN66*VLOOKUP('Données projet'!$B$11,Paramètres!$A$1:$I$89,3,0)*0.475*44/12</f>
        <v>6.440750997330432</v>
      </c>
      <c r="BR66" s="21">
        <f>EXP(-LN(2)/2)*BR65+(1-EXP(-LN(2)/2))/(LN(2)/2)*BL66*BO66*VLOOKUP('Données projet'!$B$11,Paramètres!$A$1:$I$89,3,0)*0.475*44/12</f>
        <v>1.6088812887493096</v>
      </c>
      <c r="BS66" s="22">
        <f t="shared" si="9"/>
        <v>18.368717472421938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-2.2737367544323206E-13</v>
      </c>
      <c r="BZ66" s="13">
        <f>BY66*VLOOKUP('Données projet'!$B$12,Paramètres!$A$1:$I$89,3,0)*VLOOKUP('Données projet'!$B$12,Paramètres!$A$1:$I$89,5,0)</f>
        <v>-1.2710188457276673E-13</v>
      </c>
      <c r="CA66" s="13" t="e">
        <f t="shared" si="39"/>
        <v>#NUM!</v>
      </c>
      <c r="CB66" s="20" t="e">
        <f t="shared" si="10"/>
        <v>#NUM!</v>
      </c>
      <c r="CC66" s="59" t="e">
        <f t="shared" si="11"/>
        <v>#NUM!</v>
      </c>
      <c r="CD66" s="59">
        <f ca="1">AVERAGE(OFFSET($CC$3,0,0,'Données projet'!$E$12+1,1))-AVERAGE(OFFSET($H$3,0,0,'Données projet'!$E$12+1,1))</f>
        <v>443.34220761968419</v>
      </c>
      <c r="CE66" s="59">
        <f t="shared" si="40"/>
        <v>546.58234447298014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239.75026481037244</v>
      </c>
      <c r="CL66" s="21">
        <f>EXP(-LN(2)/25)*CL65+(1-EXP(-LN(2)/25))/(LN(2)/25)*Calculateur!CG66*Calculateur!CI66*VLOOKUP('Données projet'!$B$12,Paramètres!$A$1:$I$89,3,0)*0.475*44/12</f>
        <v>55.795424776176944</v>
      </c>
      <c r="CM66" s="21">
        <f>EXP(-LN(2)/2)*CM65+(1-EXP(-LN(2)/2))/(LN(2)/2)*CG66*CJ66*VLOOKUP('Données projet'!$B$12,Paramètres!$A$1:$I$89,3,0)*0.475*44/12</f>
        <v>15.269408853166828</v>
      </c>
      <c r="CN66" s="22">
        <f t="shared" si="12"/>
        <v>310.81509843971622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>
        <f>CT66*VLOOKUP('Données projet'!$B$13,Paramètres!$A$1:$I$89,3,0)*VLOOKUP('Données projet'!$B$13,Paramètres!$A$1:$I$89,5,0)</f>
        <v>0</v>
      </c>
      <c r="CV66" s="13" t="e">
        <f t="shared" si="41"/>
        <v>#NUM!</v>
      </c>
      <c r="CW66" s="20" t="e">
        <f t="shared" si="13"/>
        <v>#NUM!</v>
      </c>
      <c r="CX66" s="59" t="e">
        <f t="shared" si="14"/>
        <v>#NUM!</v>
      </c>
      <c r="CY66" s="59">
        <f ca="1">AVERAGE(OFFSET($CX$3,0,0,'Données projet'!$E$13+1,1))-AVERAGE(OFFSET($H$3,0,0,'Données projet'!$E$13+1,1))</f>
        <v>214.22606988805535</v>
      </c>
      <c r="CZ66" s="59">
        <f t="shared" si="42"/>
        <v>305.78163836959078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134.5220117662935</v>
      </c>
      <c r="DG66" s="21">
        <f>EXP(-LN(2)/25)*DG65+(1-EXP(-LN(2)/25))/(LN(2)/25)*Calculateur!DB66*Calculateur!DD66*VLOOKUP('Données projet'!$B$13,Paramètres!$A$1:$I$89,3,0)*0.475*44/12</f>
        <v>32.699893137576957</v>
      </c>
      <c r="DH66" s="21">
        <f>EXP(-LN(2)/2)*DH65+(1-EXP(-LN(2)/2))/(LN(2)/2)*DB66*DE66*VLOOKUP('Données projet'!$B$13,Paramètres!$A$1:$I$89,3,0)*0.475*44/12</f>
        <v>6.6734812564773582</v>
      </c>
      <c r="DI66" s="22">
        <f t="shared" si="15"/>
        <v>173.89538616034781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4.4000000000000004</v>
      </c>
      <c r="DO66" s="12">
        <f>IF('Données projet'!$A$166&gt;35,DO65+DN66-DW65,IF(A66&lt;'Données projet'!$A$166,$DL$205^A66,IF(A66='Données projet'!$A$166,'Données projet'!$B$166,DO65+DN66-DW65)))</f>
        <v>246.19999999999985</v>
      </c>
      <c r="DP66" s="17">
        <f>DO66*VLOOKUP('Données projet'!$B$14,Paramètres!$A$1:$I$89,3,0)*VLOOKUP('Données projet'!$B$14,Paramètres!$A$1:$I$89,5,0)</f>
        <v>199.71743999999987</v>
      </c>
      <c r="DQ66" s="13">
        <f t="shared" si="43"/>
        <v>49.682064480920403</v>
      </c>
      <c r="DR66" s="20">
        <f t="shared" si="16"/>
        <v>434.37080363760282</v>
      </c>
      <c r="DS66" s="59">
        <f t="shared" si="17"/>
        <v>727.70413697093613</v>
      </c>
      <c r="DT66" s="59">
        <f ca="1">AVERAGE(OFFSET($DS$3,0,0,'Données projet'!$E$14+1,1))-AVERAGE(OFFSET($H$3,0,0,'Données projet'!$E$14+1,1))</f>
        <v>304.26232113495314</v>
      </c>
      <c r="DU66" s="59">
        <f t="shared" si="44"/>
        <v>297.47246687305056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10.237755046450836</v>
      </c>
      <c r="EB66" s="21">
        <f>EXP(-LN(2)/25)*EB65+(1-EXP(-LN(2)/25))/(LN(2)/25)*Calculateur!DW66*Calculateur!DY66*VLOOKUP('Données projet'!$B$14,Paramètres!$A$1:$I$89,3,0)*0.475*44/12</f>
        <v>4.6318871038376468</v>
      </c>
      <c r="EC66" s="21">
        <f>EXP(-LN(2)/2)*EC65+(1-EXP(-LN(2)/2))/(LN(2)/2)*DW66*DZ66*VLOOKUP('Données projet'!$B$14,Paramètres!$A$1:$I$89,3,0)*0.475*44/12</f>
        <v>1.2341466770957674</v>
      </c>
      <c r="ED66" s="22">
        <f t="shared" si="18"/>
        <v>16.10378882738425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4.4000000000000004</v>
      </c>
      <c r="EJ66" s="12">
        <f>IF('Données projet'!$A$192&gt;35,EJ65+EI66-ER65,IF(A66&lt;'Données projet'!$A$192,$EG$205^A66,IF(A66='Données projet'!$A$192,'Données projet'!$B$192,EJ65+EI66-ER65)))</f>
        <v>246.19999999999985</v>
      </c>
      <c r="EK66" s="17">
        <f>EJ66*VLOOKUP('Données projet'!$B$15,Paramètres!$A$1:$I$89,3,0)*VLOOKUP('Données projet'!$B$15,Paramètres!$A$1:$I$89,5,0)</f>
        <v>238.12463999999983</v>
      </c>
      <c r="EL66" s="13">
        <f t="shared" si="45"/>
        <v>58.035853608422748</v>
      </c>
      <c r="EM66" s="20">
        <f t="shared" si="19"/>
        <v>515.81285970133592</v>
      </c>
      <c r="EN66" s="59">
        <f t="shared" si="20"/>
        <v>809.1461930346693</v>
      </c>
      <c r="EO66" s="59">
        <f ca="1">AVERAGE(OFFSET($EN$3,0,0,'Données projet'!$E$15+1,1))-AVERAGE(OFFSET($H$3,0,0,'Données projet'!$E$15+1,1))</f>
        <v>355.72173590705142</v>
      </c>
      <c r="EP66" s="59">
        <f t="shared" si="46"/>
        <v>346.30980704469363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9.9034306799121676</v>
      </c>
      <c r="EW66" s="21">
        <f>EXP(-LN(2)/25)*EW65+(1-EXP(-LN(2)/25))/(LN(2)/25)*Calculateur!ER66*Calculateur!ET66*VLOOKUP('Données projet'!$B$15,Paramètres!$A$1:$I$89,3,0)*0.475*44/12</f>
        <v>4.4806280910127594</v>
      </c>
      <c r="EX66" s="21">
        <f>EXP(-LN(2)/2)*EX65+(1-EXP(-LN(2)/2))/(LN(2)/2)*ER66*EU66*VLOOKUP('Données projet'!$B$15,Paramètres!$A$1:$I$89,3,0)*0.475*44/12</f>
        <v>1.4714825765372612</v>
      </c>
      <c r="EY66" s="22">
        <f t="shared" si="21"/>
        <v>15.855541347462188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4.4000000000000004</v>
      </c>
      <c r="FE66" s="12">
        <f>IF('Données projet'!$A$218&gt;35,FE65+FD66-FM65,IF(A66&lt;'Données projet'!$A$218,$FB$205^A66,IF(A66='Données projet'!$A$218,'Données projet'!$B$218,FE65+FD66-FM65)))</f>
        <v>246.19999999999985</v>
      </c>
      <c r="FF66" s="17">
        <f>FE66*VLOOKUP('Données projet'!$B$16,Paramètres!$A$1:$I$89,3,0)*VLOOKUP('Données projet'!$B$16,Paramètres!$A$1:$I$89,5,0)</f>
        <v>180.5138399999999</v>
      </c>
      <c r="FG66" s="13">
        <f t="shared" si="47"/>
        <v>45.43648712647358</v>
      </c>
      <c r="FH66" s="20">
        <f t="shared" si="22"/>
        <v>393.53015307860801</v>
      </c>
      <c r="FI66" s="59">
        <f t="shared" si="23"/>
        <v>686.86348641194127</v>
      </c>
      <c r="FJ66" s="59">
        <f ca="1">AVERAGE(OFFSET($FI$3,0,0,'Données projet'!$E$16+1,1))-AVERAGE(OFFSET($H$3,0,0,'Données projet'!$E$16+1,1))</f>
        <v>278.45534008146865</v>
      </c>
      <c r="FK66" s="59">
        <f t="shared" si="48"/>
        <v>272.97841038165217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7.5074393863850286</v>
      </c>
      <c r="FR66" s="21">
        <f>EXP(-LN(2)/25)*FR65+(1-EXP(-LN(2)/25))/(LN(2)/25)*Calculateur!FM66*Calculateur!FO66*VLOOKUP('Données projet'!$B$16,Paramètres!$A$1:$I$89,3,0)*0.475*44/12</f>
        <v>3.3966051657677374</v>
      </c>
      <c r="FS66" s="21">
        <f>EXP(-LN(2)/2)*FS65+(1-EXP(-LN(2)/2))/(LN(2)/2)*FM66*FP66*VLOOKUP('Données projet'!$B$16,Paramètres!$A$1:$I$89,3,0)*0.475*44/12</f>
        <v>1.1154787273750204</v>
      </c>
      <c r="FT66" s="22">
        <f t="shared" si="24"/>
        <v>12.019523279527785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6.875</v>
      </c>
      <c r="N67" s="13">
        <f>IF('Données projet'!$A$36&gt;35,N66+M67-V66,IF(A67&lt;'Données projet'!$A$36,$K$205^A67,IF(A67='Données projet'!$A$36,'Données projet'!$B$36,N66+M67-V66)))</f>
        <v>176.25</v>
      </c>
      <c r="O67" s="13">
        <f>N67*VLOOKUP('Données projet'!$B$9,Paramètres!$A$1:$I$89,3,0)*VLOOKUP('Données projet'!$B$9,Paramètres!$A$1:$I$89,5,0)</f>
        <v>159.471</v>
      </c>
      <c r="P67" s="13">
        <f t="shared" si="33"/>
        <v>40.723174992275638</v>
      </c>
      <c r="Q67" s="20">
        <f t="shared" ref="Q67:Q98" si="54">(O67+P67)*0.475*44/12</f>
        <v>348.67152144488006</v>
      </c>
      <c r="R67" s="59">
        <f t="shared" ref="R67:R130" si="55">Q67+(I67+J67)*44/12</f>
        <v>642.00485477821337</v>
      </c>
      <c r="S67" s="59">
        <f ca="1">AVERAGE(OFFSET($R$3,0,0,'Données projet'!$E$9+1,1))-AVERAGE(OFFSET($H$3,0,0,'Données projet'!$E$9+1,1))</f>
        <v>436.03161778768742</v>
      </c>
      <c r="T67" s="59">
        <f t="shared" si="34"/>
        <v>217.65884352525285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13.065797122183024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13.065797122183024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6.875</v>
      </c>
      <c r="AI67" s="13">
        <f>IF('Données projet'!$A$62&gt;35,AI66+AH67-AQ66,IF(A67&lt;'Données projet'!$A$62,$AF$205^A67,IF(A67='Données projet'!$A$62,'Données projet'!$B$62,AI66+AH67-AQ66)))</f>
        <v>176.25</v>
      </c>
      <c r="AJ67" s="13">
        <f>AI67*VLOOKUP('Données projet'!$B$10,Paramètres!$A$1:$I$89,3,0)*VLOOKUP('Données projet'!$B$10,Paramètres!$A$1:$I$89,5,0)</f>
        <v>178.7175</v>
      </c>
      <c r="AK67" s="13">
        <f t="shared" si="35"/>
        <v>45.036734910011397</v>
      </c>
      <c r="AL67" s="20">
        <f t="shared" si="4"/>
        <v>389.70529246826982</v>
      </c>
      <c r="AM67" s="59">
        <f t="shared" si="5"/>
        <v>683.03862580160308</v>
      </c>
      <c r="AN67" s="59">
        <f ca="1">AVERAGE(OFFSET($AM$3,0,0,'Données projet'!$E$10+1,1))-AVERAGE(OFFSET($H$3,0,0,'Données projet'!$E$10+1,1))</f>
        <v>483.45320081988984</v>
      </c>
      <c r="AO67" s="59">
        <f t="shared" si="36"/>
        <v>238.92443174298893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14.642703671412013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14.642703671412013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3.3</v>
      </c>
      <c r="BD67" s="12">
        <f>IF('Données projet'!$A$88&gt;35,BD66+BC67-BL66,IF(A67&lt;'Données projet'!$A$88,$BA$205^A67,IF(A67='Données projet'!$A$88,'Données projet'!$B$88,BD66+BC67-BL66)))</f>
        <v>229.2000000000001</v>
      </c>
      <c r="BE67" s="13">
        <f>BD67*VLOOKUP('Données projet'!$B$11,Paramètres!$A$1:$I$89,3,0)*VLOOKUP('Données projet'!$B$11,Paramètres!$A$1:$I$89,5,0)</f>
        <v>200.22912000000011</v>
      </c>
      <c r="BF67" s="13">
        <f t="shared" si="37"/>
        <v>49.794518010766396</v>
      </c>
      <c r="BG67" s="20">
        <f t="shared" si="7"/>
        <v>435.45783620208493</v>
      </c>
      <c r="BH67" s="59">
        <f t="shared" si="8"/>
        <v>728.79116953541825</v>
      </c>
      <c r="BI67" s="59">
        <f ca="1">AVERAGE(OFFSET($BH$3,0,0,'Données projet'!$E$11+1,1))-AVERAGE(OFFSET($H$3,0,0,'Données projet'!$E$11+1,1))</f>
        <v>310.44153296396854</v>
      </c>
      <c r="BJ67" s="59">
        <f t="shared" si="38"/>
        <v>388.05195847800502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10.116734219858506</v>
      </c>
      <c r="BQ67" s="21">
        <f>EXP(-LN(2)/25)*BQ66+(1-EXP(-LN(2)/25))/(LN(2)/25)*Calculateur!BL67*Calculateur!BN67*VLOOKUP('Données projet'!$B$11,Paramètres!$A$1:$I$89,3,0)*0.475*44/12</f>
        <v>6.2646283226040573</v>
      </c>
      <c r="BR67" s="21">
        <f>EXP(-LN(2)/2)*BR66+(1-EXP(-LN(2)/2))/(LN(2)/2)*BL67*BO67*VLOOKUP('Données projet'!$B$11,Paramètres!$A$1:$I$89,3,0)*0.475*44/12</f>
        <v>1.1376508693987888</v>
      </c>
      <c r="BS67" s="22">
        <f t="shared" si="9"/>
        <v>17.519013411861351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-2.2737367544323206E-13</v>
      </c>
      <c r="BZ67" s="13">
        <f>BY67*VLOOKUP('Données projet'!$B$12,Paramètres!$A$1:$I$89,3,0)*VLOOKUP('Données projet'!$B$12,Paramètres!$A$1:$I$89,5,0)</f>
        <v>-1.2710188457276673E-13</v>
      </c>
      <c r="CA67" s="13" t="e">
        <f t="shared" si="39"/>
        <v>#NUM!</v>
      </c>
      <c r="CB67" s="20" t="e">
        <f t="shared" si="10"/>
        <v>#NUM!</v>
      </c>
      <c r="CC67" s="59" t="e">
        <f t="shared" si="11"/>
        <v>#NUM!</v>
      </c>
      <c r="CD67" s="59">
        <f ca="1">AVERAGE(OFFSET($CC$3,0,0,'Données projet'!$E$12+1,1))-AVERAGE(OFFSET($H$3,0,0,'Données projet'!$E$12+1,1))</f>
        <v>443.34220761968419</v>
      </c>
      <c r="CE67" s="59">
        <f t="shared" si="40"/>
        <v>546.58234447298014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235.04890835066325</v>
      </c>
      <c r="CL67" s="21">
        <f>EXP(-LN(2)/25)*CL66+(1-EXP(-LN(2)/25))/(LN(2)/25)*Calculateur!CG67*Calculateur!CI67*VLOOKUP('Données projet'!$B$12,Paramètres!$A$1:$I$89,3,0)*0.475*44/12</f>
        <v>54.269695951518521</v>
      </c>
      <c r="CM67" s="21">
        <f>EXP(-LN(2)/2)*CM66+(1-EXP(-LN(2)/2))/(LN(2)/2)*CG67*CJ67*VLOOKUP('Données projet'!$B$12,Paramètres!$A$1:$I$89,3,0)*0.475*44/12</f>
        <v>10.797102544784169</v>
      </c>
      <c r="CN67" s="22">
        <f t="shared" si="12"/>
        <v>300.11570684696596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>
        <f>CT67*VLOOKUP('Données projet'!$B$13,Paramètres!$A$1:$I$89,3,0)*VLOOKUP('Données projet'!$B$13,Paramètres!$A$1:$I$89,5,0)</f>
        <v>0</v>
      </c>
      <c r="CV67" s="13" t="e">
        <f t="shared" si="41"/>
        <v>#NUM!</v>
      </c>
      <c r="CW67" s="20" t="e">
        <f t="shared" si="13"/>
        <v>#NUM!</v>
      </c>
      <c r="CX67" s="59" t="e">
        <f t="shared" si="14"/>
        <v>#NUM!</v>
      </c>
      <c r="CY67" s="59">
        <f ca="1">AVERAGE(OFFSET($CX$3,0,0,'Données projet'!$E$13+1,1))-AVERAGE(OFFSET($H$3,0,0,'Données projet'!$E$13+1,1))</f>
        <v>214.22606988805535</v>
      </c>
      <c r="CZ67" s="59">
        <f t="shared" si="42"/>
        <v>305.78163836959078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131.88411716588186</v>
      </c>
      <c r="DG67" s="21">
        <f>EXP(-LN(2)/25)*DG66+(1-EXP(-LN(2)/25))/(LN(2)/25)*Calculateur!DB67*Calculateur!DD67*VLOOKUP('Données projet'!$B$13,Paramètres!$A$1:$I$89,3,0)*0.475*44/12</f>
        <v>31.805712840117273</v>
      </c>
      <c r="DH67" s="21">
        <f>EXP(-LN(2)/2)*DH66+(1-EXP(-LN(2)/2))/(LN(2)/2)*DB67*DE67*VLOOKUP('Données projet'!$B$13,Paramètres!$A$1:$I$89,3,0)*0.475*44/12</f>
        <v>4.7188638505764615</v>
      </c>
      <c r="DI67" s="22">
        <f t="shared" si="15"/>
        <v>168.40869385657561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4.4000000000000004</v>
      </c>
      <c r="DO67" s="12">
        <f>IF('Données projet'!$A$166&gt;35,DO66+DN67-DW66,IF(A67&lt;'Données projet'!$A$166,$DL$205^A67,IF(A67='Données projet'!$A$166,'Données projet'!$B$166,DO66+DN67-DW66)))</f>
        <v>250.59999999999985</v>
      </c>
      <c r="DP67" s="17">
        <f>DO67*VLOOKUP('Données projet'!$B$14,Paramètres!$A$1:$I$89,3,0)*VLOOKUP('Données projet'!$B$14,Paramètres!$A$1:$I$89,5,0)</f>
        <v>203.28671999999989</v>
      </c>
      <c r="DQ67" s="13">
        <f t="shared" si="43"/>
        <v>50.465802636798685</v>
      </c>
      <c r="DR67" s="20">
        <f t="shared" si="16"/>
        <v>441.95231025909084</v>
      </c>
      <c r="DS67" s="59">
        <f t="shared" si="17"/>
        <v>735.28564359242409</v>
      </c>
      <c r="DT67" s="59">
        <f ca="1">AVERAGE(OFFSET($DS$3,0,0,'Données projet'!$E$14+1,1))-AVERAGE(OFFSET($H$3,0,0,'Données projet'!$E$14+1,1))</f>
        <v>304.26232113495314</v>
      </c>
      <c r="DU67" s="59">
        <f t="shared" si="44"/>
        <v>297.47246687305056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10.036998914403929</v>
      </c>
      <c r="EB67" s="21">
        <f>EXP(-LN(2)/25)*EB66+(1-EXP(-LN(2)/25))/(LN(2)/25)*Calculateur!DW67*Calculateur!DY67*VLOOKUP('Données projet'!$B$14,Paramètres!$A$1:$I$89,3,0)*0.475*44/12</f>
        <v>4.5052279074028503</v>
      </c>
      <c r="EC67" s="21">
        <f>EXP(-LN(2)/2)*EC66+(1-EXP(-LN(2)/2))/(LN(2)/2)*DW67*DZ67*VLOOKUP('Données projet'!$B$14,Paramètres!$A$1:$I$89,3,0)*0.475*44/12</f>
        <v>0.87267348435326164</v>
      </c>
      <c r="ED67" s="22">
        <f t="shared" si="18"/>
        <v>15.414900306160041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4.4000000000000004</v>
      </c>
      <c r="EJ67" s="12">
        <f>IF('Données projet'!$A$192&gt;35,EJ66+EI67-ER66,IF(A67&lt;'Données projet'!$A$192,$EG$205^A67,IF(A67='Données projet'!$A$192,'Données projet'!$B$192,EJ66+EI67-ER66)))</f>
        <v>250.59999999999985</v>
      </c>
      <c r="EK67" s="17">
        <f>EJ67*VLOOKUP('Données projet'!$B$15,Paramètres!$A$1:$I$89,3,0)*VLOOKUP('Données projet'!$B$15,Paramètres!$A$1:$I$89,5,0)</f>
        <v>242.38031999999984</v>
      </c>
      <c r="EL67" s="13">
        <f t="shared" si="45"/>
        <v>58.951373391207788</v>
      </c>
      <c r="EM67" s="20">
        <f t="shared" si="19"/>
        <v>524.81936598968662</v>
      </c>
      <c r="EN67" s="59">
        <f t="shared" si="20"/>
        <v>818.15269932301999</v>
      </c>
      <c r="EO67" s="59">
        <f ca="1">AVERAGE(OFFSET($EN$3,0,0,'Données projet'!$E$15+1,1))-AVERAGE(OFFSET($H$3,0,0,'Données projet'!$E$15+1,1))</f>
        <v>355.72173590705142</v>
      </c>
      <c r="EP67" s="59">
        <f t="shared" si="46"/>
        <v>346.30980704469363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9.7092304447753559</v>
      </c>
      <c r="EW67" s="21">
        <f>EXP(-LN(2)/25)*EW66+(1-EXP(-LN(2)/25))/(LN(2)/25)*Calculateur!ER67*Calculateur!ET67*VLOOKUP('Données projet'!$B$15,Paramètres!$A$1:$I$89,3,0)*0.475*44/12</f>
        <v>4.3581050802380243</v>
      </c>
      <c r="EX67" s="21">
        <f>EXP(-LN(2)/2)*EX66+(1-EXP(-LN(2)/2))/(LN(2)/2)*ER67*EU67*VLOOKUP('Données projet'!$B$15,Paramètres!$A$1:$I$89,3,0)*0.475*44/12</f>
        <v>1.0404953082673505</v>
      </c>
      <c r="EY67" s="22">
        <f t="shared" si="21"/>
        <v>15.107830833280731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4.4000000000000004</v>
      </c>
      <c r="FE67" s="12">
        <f>IF('Données projet'!$A$218&gt;35,FE66+FD67-FM66,IF(A67&lt;'Données projet'!$A$218,$FB$205^A67,IF(A67='Données projet'!$A$218,'Données projet'!$B$218,FE66+FD67-FM66)))</f>
        <v>250.59999999999985</v>
      </c>
      <c r="FF67" s="17">
        <f>FE67*VLOOKUP('Données projet'!$B$16,Paramètres!$A$1:$I$89,3,0)*VLOOKUP('Données projet'!$B$16,Paramètres!$A$1:$I$89,5,0)</f>
        <v>183.7399199999999</v>
      </c>
      <c r="FG67" s="13">
        <f t="shared" si="47"/>
        <v>46.153250992914103</v>
      </c>
      <c r="FH67" s="20">
        <f t="shared" si="22"/>
        <v>400.39727281265851</v>
      </c>
      <c r="FI67" s="59">
        <f t="shared" si="23"/>
        <v>693.73060614599183</v>
      </c>
      <c r="FJ67" s="59">
        <f ca="1">AVERAGE(OFFSET($FI$3,0,0,'Données projet'!$E$16+1,1))-AVERAGE(OFFSET($H$3,0,0,'Données projet'!$E$16+1,1))</f>
        <v>278.45534008146865</v>
      </c>
      <c r="FK67" s="59">
        <f t="shared" si="48"/>
        <v>272.97841038165217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7.3602230791038963</v>
      </c>
      <c r="FR67" s="21">
        <f>EXP(-LN(2)/25)*FR66+(1-EXP(-LN(2)/25))/(LN(2)/25)*Calculateur!FM67*Calculateur!FO67*VLOOKUP('Données projet'!$B$16,Paramètres!$A$1:$I$89,3,0)*0.475*44/12</f>
        <v>3.303724818890116</v>
      </c>
      <c r="FS67" s="21">
        <f>EXP(-LN(2)/2)*FS66+(1-EXP(-LN(2)/2))/(LN(2)/2)*FM67*FP67*VLOOKUP('Données projet'!$B$16,Paramètres!$A$1:$I$89,3,0)*0.475*44/12</f>
        <v>0.78876257239621705</v>
      </c>
      <c r="FT67" s="22">
        <f t="shared" si="24"/>
        <v>11.45271047039023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6.875</v>
      </c>
      <c r="N68" s="13">
        <f>IF('Données projet'!$A$36&gt;35,N67+M68-V67,IF(A68&lt;'Données projet'!$A$36,$K$205^A68,IF(A68='Données projet'!$A$36,'Données projet'!$B$36,N67+M68-V67)))</f>
        <v>183.125</v>
      </c>
      <c r="O68" s="13">
        <f>N68*VLOOKUP('Données projet'!$B$9,Paramètres!$A$1:$I$89,3,0)*VLOOKUP('Données projet'!$B$9,Paramètres!$A$1:$I$89,5,0)</f>
        <v>165.69149999999999</v>
      </c>
      <c r="P68" s="13">
        <f t="shared" si="33"/>
        <v>42.123625959662853</v>
      </c>
      <c r="Q68" s="20">
        <f t="shared" si="54"/>
        <v>361.94467771307944</v>
      </c>
      <c r="R68" s="59">
        <f t="shared" si="55"/>
        <v>655.27801104641276</v>
      </c>
      <c r="S68" s="59">
        <f ca="1">AVERAGE(OFFSET($R$3,0,0,'Données projet'!$E$9+1,1))-AVERAGE(OFFSET($H$3,0,0,'Données projet'!$E$9+1,1))</f>
        <v>436.03161778768742</v>
      </c>
      <c r="T68" s="59">
        <f t="shared" si="34"/>
        <v>217.65884352525285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12.708512212776521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12.708512212776521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6.875</v>
      </c>
      <c r="AI68" s="13">
        <f>IF('Données projet'!$A$62&gt;35,AI67+AH68-AQ67,IF(A68&lt;'Données projet'!$A$62,$AF$205^A68,IF(A68='Données projet'!$A$62,'Données projet'!$B$62,AI67+AH68-AQ67)))</f>
        <v>183.125</v>
      </c>
      <c r="AJ68" s="13">
        <f>AI68*VLOOKUP('Données projet'!$B$10,Paramètres!$A$1:$I$89,3,0)*VLOOKUP('Données projet'!$B$10,Paramètres!$A$1:$I$89,5,0)</f>
        <v>185.68875</v>
      </c>
      <c r="AK68" s="13">
        <f t="shared" si="35"/>
        <v>46.585527188232597</v>
      </c>
      <c r="AL68" s="20">
        <f t="shared" ref="AL68:AL131" si="58">(AJ68+AK68)*0.475*44/12</f>
        <v>404.54436610283841</v>
      </c>
      <c r="AM68" s="59">
        <f t="shared" ref="AM68:AM131" si="59">AL68+(AD68+AE68)*44/12</f>
        <v>697.87769943617172</v>
      </c>
      <c r="AN68" s="59">
        <f ca="1">AVERAGE(OFFSET($AM$3,0,0,'Données projet'!$E$10+1,1))-AVERAGE(OFFSET($H$3,0,0,'Données projet'!$E$10+1,1))</f>
        <v>483.45320081988984</v>
      </c>
      <c r="AO68" s="59">
        <f t="shared" si="36"/>
        <v>238.92443174298893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14.242298169490931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14.242298169490931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3.3</v>
      </c>
      <c r="BD68" s="12">
        <f>IF('Données projet'!$A$88&gt;35,BD67+BC68-BL67,IF(A68&lt;'Données projet'!$A$88,$BA$205^A68,IF(A68='Données projet'!$A$88,'Données projet'!$B$88,BD67+BC68-BL67)))</f>
        <v>232.50000000000011</v>
      </c>
      <c r="BE68" s="13">
        <f>BD68*VLOOKUP('Données projet'!$B$11,Paramètres!$A$1:$I$89,3,0)*VLOOKUP('Données projet'!$B$11,Paramètres!$A$1:$I$89,5,0)</f>
        <v>203.11200000000011</v>
      </c>
      <c r="BF68" s="13">
        <f t="shared" si="37"/>
        <v>50.427475336015824</v>
      </c>
      <c r="BG68" s="20">
        <f t="shared" ref="BG68:BG131" si="61">(BE68+BF68)*0.475*44/12</f>
        <v>441.58125287689433</v>
      </c>
      <c r="BH68" s="59">
        <f t="shared" ref="BH68:BH131" si="62">BG68+(AY68+AZ68)*44/12</f>
        <v>734.91458621022764</v>
      </c>
      <c r="BI68" s="59">
        <f ca="1">AVERAGE(OFFSET($BH$3,0,0,'Données projet'!$E$11+1,1))-AVERAGE(OFFSET($H$3,0,0,'Données projet'!$E$11+1,1))</f>
        <v>310.44153296396854</v>
      </c>
      <c r="BJ68" s="59">
        <f t="shared" si="38"/>
        <v>388.05195847800502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9.9183512324056586</v>
      </c>
      <c r="BQ68" s="21">
        <f>EXP(-LN(2)/25)*BQ67+(1-EXP(-LN(2)/25))/(LN(2)/25)*Calculateur!BL68*Calculateur!BN68*VLOOKUP('Données projet'!$B$11,Paramètres!$A$1:$I$89,3,0)*0.475*44/12</f>
        <v>6.0933217316799642</v>
      </c>
      <c r="BR68" s="21">
        <f>EXP(-LN(2)/2)*BR67+(1-EXP(-LN(2)/2))/(LN(2)/2)*BL68*BO68*VLOOKUP('Données projet'!$B$11,Paramètres!$A$1:$I$89,3,0)*0.475*44/12</f>
        <v>0.8044406443746549</v>
      </c>
      <c r="BS68" s="22">
        <f t="shared" ref="BS68:BS131" si="63">SUM(BP68:BR68)</f>
        <v>16.816113608460277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-2.2737367544323206E-13</v>
      </c>
      <c r="BZ68" s="13">
        <f>BY68*VLOOKUP('Données projet'!$B$12,Paramètres!$A$1:$I$89,3,0)*VLOOKUP('Données projet'!$B$12,Paramètres!$A$1:$I$89,5,0)</f>
        <v>-1.2710188457276673E-13</v>
      </c>
      <c r="CA68" s="13" t="e">
        <f t="shared" si="39"/>
        <v>#NUM!</v>
      </c>
      <c r="CB68" s="20" t="e">
        <f t="shared" ref="CB68:CB131" si="64">(BZ68+CA68)*0.475*44/12</f>
        <v>#NUM!</v>
      </c>
      <c r="CC68" s="59" t="e">
        <f t="shared" ref="CC68:CC131" si="65">CB68+(BT68+BU68)*44/12</f>
        <v>#NUM!</v>
      </c>
      <c r="CD68" s="59">
        <f ca="1">AVERAGE(OFFSET($CC$3,0,0,'Données projet'!$E$12+1,1))-AVERAGE(OFFSET($H$3,0,0,'Données projet'!$E$12+1,1))</f>
        <v>443.34220761968419</v>
      </c>
      <c r="CE68" s="59">
        <f t="shared" si="40"/>
        <v>546.58234447298014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230.43974262358466</v>
      </c>
      <c r="CL68" s="21">
        <f>EXP(-LN(2)/25)*CL67+(1-EXP(-LN(2)/25))/(LN(2)/25)*Calculateur!CG68*Calculateur!CI68*VLOOKUP('Données projet'!$B$12,Paramètres!$A$1:$I$89,3,0)*0.475*44/12</f>
        <v>52.785688261804971</v>
      </c>
      <c r="CM68" s="21">
        <f>EXP(-LN(2)/2)*CM67+(1-EXP(-LN(2)/2))/(LN(2)/2)*CG68*CJ68*VLOOKUP('Données projet'!$B$12,Paramètres!$A$1:$I$89,3,0)*0.475*44/12</f>
        <v>7.634704426583415</v>
      </c>
      <c r="CN68" s="22">
        <f t="shared" ref="CN68:CN131" si="66">SUM(CK68:CM68)</f>
        <v>290.86013531197307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>
        <f>CT68*VLOOKUP('Données projet'!$B$13,Paramètres!$A$1:$I$89,3,0)*VLOOKUP('Données projet'!$B$13,Paramètres!$A$1:$I$89,5,0)</f>
        <v>0</v>
      </c>
      <c r="CV68" s="13" t="e">
        <f t="shared" si="41"/>
        <v>#NUM!</v>
      </c>
      <c r="CW68" s="20" t="e">
        <f t="shared" ref="CW68:CW131" si="67">(CU68+CV68)*0.475*44/12</f>
        <v>#NUM!</v>
      </c>
      <c r="CX68" s="59" t="e">
        <f t="shared" ref="CX68:CX131" si="68">CW68+(CO68+CP68)*44/12</f>
        <v>#NUM!</v>
      </c>
      <c r="CY68" s="59">
        <f ca="1">AVERAGE(OFFSET($CX$3,0,0,'Données projet'!$E$13+1,1))-AVERAGE(OFFSET($H$3,0,0,'Données projet'!$E$13+1,1))</f>
        <v>214.22606988805535</v>
      </c>
      <c r="CZ68" s="59">
        <f t="shared" si="42"/>
        <v>305.78163836959078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129.29795006962746</v>
      </c>
      <c r="DG68" s="21">
        <f>EXP(-LN(2)/25)*DG67+(1-EXP(-LN(2)/25))/(LN(2)/25)*Calculateur!DB68*Calculateur!DD68*VLOOKUP('Données projet'!$B$13,Paramètres!$A$1:$I$89,3,0)*0.475*44/12</f>
        <v>30.935983949914522</v>
      </c>
      <c r="DH68" s="21">
        <f>EXP(-LN(2)/2)*DH67+(1-EXP(-LN(2)/2))/(LN(2)/2)*DB68*DE68*VLOOKUP('Données projet'!$B$13,Paramètres!$A$1:$I$89,3,0)*0.475*44/12</f>
        <v>3.3367406282386791</v>
      </c>
      <c r="DI68" s="22">
        <f t="shared" ref="DI68:DI131" si="69">SUM(DF68:DH68)</f>
        <v>163.57067464778066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255</v>
      </c>
      <c r="DM68" s="12">
        <f>VLOOKUP(A68,'Données projet'!$A$165:$I$185,9,0)</f>
        <v>4.4000000000000004</v>
      </c>
      <c r="DN68" s="12">
        <f t="array" ref="DN68">INDEX(DM:DM,MIN(IF(ISNUMBER(DM68:DM264),ROW(DM68:DM264),"")))</f>
        <v>4.4000000000000004</v>
      </c>
      <c r="DO68" s="12">
        <f>IF('Données projet'!$A$166&gt;35,DO67+DN68-DW67,IF(A68&lt;'Données projet'!$A$166,$DL$205^A68,IF(A68='Données projet'!$A$166,'Données projet'!$B$166,DO67+DN68-DW67)))</f>
        <v>254.99999999999986</v>
      </c>
      <c r="DP68" s="17">
        <f>DO68*VLOOKUP('Données projet'!$B$14,Paramètres!$A$1:$I$89,3,0)*VLOOKUP('Données projet'!$B$14,Paramètres!$A$1:$I$89,5,0)</f>
        <v>206.85599999999991</v>
      </c>
      <c r="DQ68" s="13">
        <f t="shared" si="43"/>
        <v>51.247940588293027</v>
      </c>
      <c r="DR68" s="20">
        <f t="shared" ref="DR68:DR131" si="70">(DP68+DQ68)*0.475*44/12</f>
        <v>449.53102985794345</v>
      </c>
      <c r="DS68" s="59">
        <f t="shared" ref="DS68:DS131" si="71">DR68+(DJ68+DK68)*44/12</f>
        <v>742.86436319127677</v>
      </c>
      <c r="DT68" s="59">
        <f ca="1">AVERAGE(OFFSET($DS$3,0,0,'Données projet'!$E$14+1,1))-AVERAGE(OFFSET($H$3,0,0,'Données projet'!$E$14+1,1))</f>
        <v>304.26232113495314</v>
      </c>
      <c r="DU68" s="59">
        <f t="shared" si="44"/>
        <v>297.47246687305056</v>
      </c>
      <c r="DV68" s="15">
        <f>IF(ISNA(VLOOKUP(A68,'Données projet'!$A$165:$I$185,3,0)),0,VLOOKUP(A68,'Données projet'!$A$165:$I$185,3,0))</f>
        <v>11</v>
      </c>
      <c r="DW68" s="15">
        <f>IF(ISNA(VLOOKUP(A68,'Données projet'!$A$165:$I$185,4,0)),0,VLOOKUP(A68,'Données projet'!$A$165:$I$185,4,0))</f>
        <v>11</v>
      </c>
      <c r="DX68" s="16">
        <f>IF(ISNA(VLOOKUP(A68,'Données projet'!$A$165:$I$185,5,0)),0%,VLOOKUP(A68,'Données projet'!$A$165:$I$185,5,0)*VLOOKUP('Données projet'!$B$14,Paramètres!$A$1:$I$89,7,0))</f>
        <v>0.26500000000000001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0.3</v>
      </c>
      <c r="EA68" s="21">
        <f>EXP(-LN(2)/35)*EA67+(1-EXP(-LN(2)/35))/(LN(2)/35)*DW68*DX68*VLOOKUP('Données projet'!$B$14,Paramètres!$A$1:$I$89,3,0)*0.475*44/12</f>
        <v>12.454227809679145</v>
      </c>
      <c r="EB68" s="21">
        <f>EXP(-LN(2)/25)*EB67+(1-EXP(-LN(2)/25))/(LN(2)/25)*Calculateur!DW68*Calculateur!DY68*VLOOKUP('Données projet'!$B$14,Paramètres!$A$1:$I$89,3,0)*0.475*44/12</f>
        <v>4.3820322133552807</v>
      </c>
      <c r="EC68" s="21">
        <f>EXP(-LN(2)/2)*EC67+(1-EXP(-LN(2)/2))/(LN(2)/2)*DW68*DZ68*VLOOKUP('Données projet'!$B$14,Paramètres!$A$1:$I$89,3,0)*0.475*44/12</f>
        <v>3.1428571478699241</v>
      </c>
      <c r="ED68" s="22">
        <f t="shared" ref="ED68:ED131" si="72">SUM(EA68:EC68)</f>
        <v>19.979117170904352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projet'!$A$191:$I$211,2,0)</f>
        <v>255</v>
      </c>
      <c r="EH68" s="12">
        <f>VLOOKUP(A68,'Données projet'!$A$191:$I$211,9,0)</f>
        <v>4.4000000000000004</v>
      </c>
      <c r="EI68" s="12">
        <f t="array" ref="EI68">INDEX(EH:EH,MIN(IF(ISNUMBER(EH68:EH264),ROW(EH68:EH264),"")))</f>
        <v>4.4000000000000004</v>
      </c>
      <c r="EJ68" s="12">
        <f>IF('Données projet'!$A$192&gt;35,EJ67+EI68-ER67,IF(A68&lt;'Données projet'!$A$192,$EG$205^A68,IF(A68='Données projet'!$A$192,'Données projet'!$B$192,EJ67+EI68-ER67)))</f>
        <v>254.99999999999986</v>
      </c>
      <c r="EK68" s="17">
        <f>EJ68*VLOOKUP('Données projet'!$B$15,Paramètres!$A$1:$I$89,3,0)*VLOOKUP('Données projet'!$B$15,Paramètres!$A$1:$I$89,5,0)</f>
        <v>246.63599999999985</v>
      </c>
      <c r="EL68" s="13">
        <f t="shared" si="45"/>
        <v>59.865023903294535</v>
      </c>
      <c r="EM68" s="20">
        <f t="shared" ref="EM68:EM131" si="73">(EK68+EL68)*0.475*44/12</f>
        <v>533.8226166315709</v>
      </c>
      <c r="EN68" s="59">
        <f t="shared" ref="EN68:EN131" si="74">EM68+(EE68+EF68)*44/12</f>
        <v>827.15594996490427</v>
      </c>
      <c r="EO68" s="59">
        <f ca="1">AVERAGE(OFFSET($EN$3,0,0,'Données projet'!$E$15+1,1))-AVERAGE(OFFSET($H$3,0,0,'Données projet'!$E$15+1,1))</f>
        <v>355.72173590705142</v>
      </c>
      <c r="EP68" s="59">
        <f t="shared" si="46"/>
        <v>346.30980704469363</v>
      </c>
      <c r="EQ68" s="15">
        <f>IF(ISNA(VLOOKUP(A68,'Données projet'!$A$191:$I$211,3,0)),0,VLOOKUP(A68,'Données projet'!$A$191:$I$211,3,0))</f>
        <v>11</v>
      </c>
      <c r="ER68" s="15">
        <f>IF(ISNA(VLOOKUP(A68,'Données projet'!$A$191:$I$211,4,0)),0,VLOOKUP(A68,'Données projet'!$A$191:$I$211,4,0))</f>
        <v>11</v>
      </c>
      <c r="ES68" s="16">
        <f>IF(ISNA(VLOOKUP(A68,'Données projet'!$A$191:$I$211,5,0)),0%,VLOOKUP(A68,'Données projet'!$A$191:$I$211,5,0)*VLOOKUP('Données projet'!$B$15,Paramètres!$A$1:$I$89,7,0))</f>
        <v>0.215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0.3</v>
      </c>
      <c r="EV68" s="21">
        <f>EXP(-LN(2)/35)*EV67+(1-EXP(-LN(2)/35))/(LN(2)/35)*ER68*ES68*VLOOKUP('Données projet'!$B$15,Paramètres!$A$1:$I$89,3,0)*0.475*44/12</f>
        <v>12.047522257113426</v>
      </c>
      <c r="EW68" s="21">
        <f>EXP(-LN(2)/25)*EW67+(1-EXP(-LN(2)/25))/(LN(2)/25)*Calculateur!ER68*Calculateur!ET68*VLOOKUP('Données projet'!$B$15,Paramètres!$A$1:$I$89,3,0)*0.475*44/12</f>
        <v>4.23893246763613</v>
      </c>
      <c r="EX68" s="21">
        <f>EXP(-LN(2)/2)*EX67+(1-EXP(-LN(2)/2))/(LN(2)/2)*ER68*EU68*VLOOKUP('Données projet'!$B$15,Paramètres!$A$1:$I$89,3,0)*0.475*44/12</f>
        <v>3.7472527532295246</v>
      </c>
      <c r="EY68" s="22">
        <f t="shared" ref="EY68:EY131" si="75">SUM(EV68:EX68)</f>
        <v>20.033707477979082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>
        <f>VLOOKUP(A68,'Données projet'!$A$217:$I$237,2,0)</f>
        <v>255</v>
      </c>
      <c r="FC68" s="12">
        <f>VLOOKUP(A68,'Données projet'!$A$217:$I$237,9,0)</f>
        <v>4.4000000000000004</v>
      </c>
      <c r="FD68" s="12">
        <f t="array" ref="FD68">INDEX(FC:FC,MIN(IF(ISNUMBER(FC68:FC264),ROW(FC68:FC264),"")))</f>
        <v>4.4000000000000004</v>
      </c>
      <c r="FE68" s="12">
        <f>IF('Données projet'!$A$218&gt;35,FE67+FD68-FM67,IF(A68&lt;'Données projet'!$A$218,$FB$205^A68,IF(A68='Données projet'!$A$218,'Données projet'!$B$218,FE67+FD68-FM67)))</f>
        <v>254.99999999999986</v>
      </c>
      <c r="FF68" s="17">
        <f>FE68*VLOOKUP('Données projet'!$B$16,Paramètres!$A$1:$I$89,3,0)*VLOOKUP('Données projet'!$B$16,Paramètres!$A$1:$I$89,5,0)</f>
        <v>186.96599999999989</v>
      </c>
      <c r="FG68" s="13">
        <f t="shared" si="47"/>
        <v>46.868551400324606</v>
      </c>
      <c r="FH68" s="20">
        <f t="shared" ref="FH68:FH131" si="76">(FF68+FG68)*0.475*44/12</f>
        <v>407.26184368889852</v>
      </c>
      <c r="FI68" s="59">
        <f t="shared" ref="FI68:FI131" si="77">FH68+(EZ68+FA68)*44/12</f>
        <v>700.59517702223184</v>
      </c>
      <c r="FJ68" s="59">
        <f ca="1">AVERAGE(OFFSET($FI$3,0,0,'Données projet'!$E$16+1,1))-AVERAGE(OFFSET($H$3,0,0,'Données projet'!$E$16+1,1))</f>
        <v>278.45534008146865</v>
      </c>
      <c r="FK68" s="59">
        <f t="shared" si="48"/>
        <v>272.97841038165217</v>
      </c>
      <c r="FL68" s="15">
        <f>IF(ISNA(VLOOKUP(A68,'Données projet'!$A$217:$I$237,3,0)),0,VLOOKUP(A68,'Données projet'!$A$217:$I$237,3,0))</f>
        <v>11</v>
      </c>
      <c r="FM68" s="15">
        <f>IF(ISNA(VLOOKUP(A68,'Données projet'!$A$217:$I$237,4,0)),0,VLOOKUP(A68,'Données projet'!$A$217:$I$237,4,0))</f>
        <v>11</v>
      </c>
      <c r="FN68" s="16">
        <f>IF(ISNA(VLOOKUP(A68,'Données projet'!$A$217:$I$237,5,0)),0%,VLOOKUP(A68,'Données projet'!$A$217:$I$237,5,0)*VLOOKUP('Données projet'!$B$16,Paramètres!$A$1:$I$89,7,0))</f>
        <v>0.215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0.3</v>
      </c>
      <c r="FQ68" s="21">
        <f>EXP(-LN(2)/35)*FQ67+(1-EXP(-LN(2)/35))/(LN(2)/35)*FM68*FN68*VLOOKUP('Données projet'!$B$16,Paramètres!$A$1:$I$89,3,0)*0.475*44/12</f>
        <v>9.132799130392435</v>
      </c>
      <c r="FR68" s="21">
        <f>EXP(-LN(2)/25)*FR67+(1-EXP(-LN(2)/25))/(LN(2)/25)*Calculateur!FM68*Calculateur!FO68*VLOOKUP('Données projet'!$B$16,Paramètres!$A$1:$I$89,3,0)*0.475*44/12</f>
        <v>3.2133842899822285</v>
      </c>
      <c r="FS68" s="21">
        <f>EXP(-LN(2)/2)*FS67+(1-EXP(-LN(2)/2))/(LN(2)/2)*FM68*FP68*VLOOKUP('Données projet'!$B$16,Paramètres!$A$1:$I$89,3,0)*0.475*44/12</f>
        <v>2.8406593451901228</v>
      </c>
      <c r="FT68" s="22">
        <f t="shared" ref="FT68:FT131" si="78">SUM(FQ68:FS68)</f>
        <v>15.186842765564785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190</v>
      </c>
      <c r="L69" s="12">
        <f>VLOOKUP(A69,'Données projet'!$A$35:$I$55,9,0)</f>
        <v>6.875</v>
      </c>
      <c r="M69" s="12">
        <f t="array" ref="M69">INDEX(L:L,MIN(IF(ISNUMBER(L69:L265),ROW(L69:L265),"")))</f>
        <v>6.875</v>
      </c>
      <c r="N69" s="13">
        <f>IF('Données projet'!$A$36&gt;35,N68+M69-V68,IF(A69&lt;'Données projet'!$A$36,$K$205^A69,IF(A69='Données projet'!$A$36,'Données projet'!$B$36,N68+M69-V68)))</f>
        <v>190</v>
      </c>
      <c r="O69" s="13">
        <f>N69*VLOOKUP('Données projet'!$B$9,Paramètres!$A$1:$I$89,3,0)*VLOOKUP('Données projet'!$B$9,Paramètres!$A$1:$I$89,5,0)</f>
        <v>171.91199999999998</v>
      </c>
      <c r="P69" s="13">
        <f t="shared" ref="P69:P132" si="87">EXP(-1.0587+0.8836*LN(O69)+0.284)</f>
        <v>43.517968841037288</v>
      </c>
      <c r="Q69" s="20">
        <f t="shared" si="54"/>
        <v>375.20719573147318</v>
      </c>
      <c r="R69" s="59">
        <f t="shared" si="55"/>
        <v>668.54052906480649</v>
      </c>
      <c r="S69" s="59">
        <f ca="1">AVERAGE(OFFSET($R$3,0,0,'Données projet'!$E$9+1,1))-AVERAGE(OFFSET($H$3,0,0,'Données projet'!$E$9+1,1))</f>
        <v>436.03161778768742</v>
      </c>
      <c r="T69" s="59">
        <f t="shared" ref="T69:T132" si="88">$T$3</f>
        <v>217.65884352525285</v>
      </c>
      <c r="U69" s="15">
        <f>IF(ISNA(VLOOKUP(A69,'Données projet'!$A$35:$I$55,3,0)),0,VLOOKUP(A69,'Données projet'!$A$35:$I$55,3,0))</f>
        <v>4</v>
      </c>
      <c r="V69" s="15">
        <f>IF(ISNA(VLOOKUP(A69,'Données projet'!$A$35:$I$55,4,0)),0,VLOOKUP(A69,'Données projet'!$A$35:$I$55,4,0))</f>
        <v>39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0.215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20.71489994884146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20.71489994884146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190</v>
      </c>
      <c r="AG69" s="12">
        <f>VLOOKUP(A69,'Données projet'!$A$61:$I$81,9,0)</f>
        <v>6.875</v>
      </c>
      <c r="AH69" s="12">
        <f t="array" ref="AH69">INDEX(AG:AG,MIN(IF(ISNUMBER(AG69:AG265),ROW(AG69:AG265),"")))</f>
        <v>6.875</v>
      </c>
      <c r="AI69" s="13">
        <f>IF('Données projet'!$A$62&gt;35,AI68+AH69-AQ68,IF(A69&lt;'Données projet'!$A$62,$AF$205^A69,IF(A69='Données projet'!$A$62,'Données projet'!$B$62,AI68+AH69-AQ68)))</f>
        <v>190</v>
      </c>
      <c r="AJ69" s="13">
        <f>AI69*VLOOKUP('Données projet'!$B$10,Paramètres!$A$1:$I$89,3,0)*VLOOKUP('Données projet'!$B$10,Paramètres!$A$1:$I$89,5,0)</f>
        <v>192.66</v>
      </c>
      <c r="AK69" s="13">
        <f t="shared" ref="AK69:AK132" si="89">EXP(-1.0587+0.8836*LN(AJ69)+0.284)</f>
        <v>48.127564387788738</v>
      </c>
      <c r="AL69" s="20">
        <f t="shared" si="58"/>
        <v>419.37167464206533</v>
      </c>
      <c r="AM69" s="59">
        <f t="shared" si="59"/>
        <v>712.70500797539864</v>
      </c>
      <c r="AN69" s="59">
        <f ca="1">AVERAGE(OFFSET($AM$3,0,0,'Données projet'!$E$10+1,1))-AVERAGE(OFFSET($H$3,0,0,'Données projet'!$E$10+1,1))</f>
        <v>483.45320081988984</v>
      </c>
      <c r="AO69" s="59">
        <f t="shared" ref="AO69:AO132" si="90">$AO$3</f>
        <v>238.92443174298893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39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0.215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23.214974080598193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23.214974080598193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3.3</v>
      </c>
      <c r="BD69" s="12">
        <f>IF('Données projet'!$A$88&gt;35,BD68+BC69-BL68,IF(A69&lt;'Données projet'!$A$88,$BA$205^A69,IF(A69='Données projet'!$A$88,'Données projet'!$B$88,BD68+BC69-BL68)))</f>
        <v>235.80000000000013</v>
      </c>
      <c r="BE69" s="13">
        <f>BD69*VLOOKUP('Données projet'!$B$11,Paramètres!$A$1:$I$89,3,0)*VLOOKUP('Données projet'!$B$11,Paramètres!$A$1:$I$89,5,0)</f>
        <v>205.99488000000014</v>
      </c>
      <c r="BF69" s="13">
        <f t="shared" ref="BF69:BF132" si="91">EXP(-1.0587+0.8836*LN(BE69)+0.284)</f>
        <v>51.0593877603579</v>
      </c>
      <c r="BG69" s="20">
        <f t="shared" si="61"/>
        <v>447.70284968262354</v>
      </c>
      <c r="BH69" s="59">
        <f t="shared" si="62"/>
        <v>741.03618301595679</v>
      </c>
      <c r="BI69" s="59">
        <f ca="1">AVERAGE(OFFSET($BH$3,0,0,'Données projet'!$E$11+1,1))-AVERAGE(OFFSET($H$3,0,0,'Données projet'!$E$11+1,1))</f>
        <v>310.44153296396854</v>
      </c>
      <c r="BJ69" s="59">
        <f t="shared" ref="BJ69:BJ132" si="92">$BJ$3</f>
        <v>388.05195847800502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9.723858414335087</v>
      </c>
      <c r="BQ69" s="21">
        <f>EXP(-LN(2)/25)*BQ68+(1-EXP(-LN(2)/25))/(LN(2)/25)*Calculateur!BL69*Calculateur!BN69*VLOOKUP('Données projet'!$B$11,Paramètres!$A$1:$I$89,3,0)*0.475*44/12</f>
        <v>5.9266995284933124</v>
      </c>
      <c r="BR69" s="21">
        <f>EXP(-LN(2)/2)*BR68+(1-EXP(-LN(2)/2))/(LN(2)/2)*BL69*BO69*VLOOKUP('Données projet'!$B$11,Paramètres!$A$1:$I$89,3,0)*0.475*44/12</f>
        <v>0.56882543469939439</v>
      </c>
      <c r="BS69" s="22">
        <f t="shared" si="63"/>
        <v>16.219383377527794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-2.2737367544323206E-13</v>
      </c>
      <c r="BZ69" s="13">
        <f>BY69*VLOOKUP('Données projet'!$B$12,Paramètres!$A$1:$I$89,3,0)*VLOOKUP('Données projet'!$B$12,Paramètres!$A$1:$I$89,5,0)</f>
        <v>-1.2710188457276673E-13</v>
      </c>
      <c r="CA69" s="13" t="e">
        <f t="shared" ref="CA69:CA132" si="93">EXP(-1.0587+0.8836*LN(BZ69)+0.284)</f>
        <v>#NUM!</v>
      </c>
      <c r="CB69" s="20" t="e">
        <f t="shared" si="64"/>
        <v>#NUM!</v>
      </c>
      <c r="CC69" s="59" t="e">
        <f t="shared" si="65"/>
        <v>#NUM!</v>
      </c>
      <c r="CD69" s="59">
        <f ca="1">AVERAGE(OFFSET($CC$3,0,0,'Données projet'!$E$12+1,1))-AVERAGE(OFFSET($H$3,0,0,'Données projet'!$E$12+1,1))</f>
        <v>443.34220761968419</v>
      </c>
      <c r="CE69" s="59">
        <f t="shared" ref="CE69:CE132" si="94">$CE$3</f>
        <v>546.58234447298014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225.92095982510057</v>
      </c>
      <c r="CL69" s="21">
        <f>EXP(-LN(2)/25)*CL68+(1-EXP(-LN(2)/25))/(LN(2)/25)*Calculateur!CG69*Calculateur!CI69*VLOOKUP('Données projet'!$B$12,Paramètres!$A$1:$I$89,3,0)*0.475*44/12</f>
        <v>51.342260840407214</v>
      </c>
      <c r="CM69" s="21">
        <f>EXP(-LN(2)/2)*CM68+(1-EXP(-LN(2)/2))/(LN(2)/2)*CG69*CJ69*VLOOKUP('Données projet'!$B$12,Paramètres!$A$1:$I$89,3,0)*0.475*44/12</f>
        <v>5.3985512723920852</v>
      </c>
      <c r="CN69" s="22">
        <f t="shared" si="66"/>
        <v>282.66177193789986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>
        <f>CT69*VLOOKUP('Données projet'!$B$13,Paramètres!$A$1:$I$89,3,0)*VLOOKUP('Données projet'!$B$13,Paramètres!$A$1:$I$89,5,0)</f>
        <v>0</v>
      </c>
      <c r="CV69" s="13" t="e">
        <f t="shared" ref="CV69:CV132" si="95">EXP(-1.0587+0.8836*LN(CU69)+0.284)</f>
        <v>#NUM!</v>
      </c>
      <c r="CW69" s="20" t="e">
        <f t="shared" si="67"/>
        <v>#NUM!</v>
      </c>
      <c r="CX69" s="59" t="e">
        <f t="shared" si="68"/>
        <v>#NUM!</v>
      </c>
      <c r="CY69" s="59">
        <f ca="1">AVERAGE(OFFSET($CX$3,0,0,'Données projet'!$E$13+1,1))-AVERAGE(OFFSET($H$3,0,0,'Données projet'!$E$13+1,1))</f>
        <v>214.22606988805535</v>
      </c>
      <c r="CZ69" s="59">
        <f t="shared" ref="CZ69:CZ132" si="96">$CZ$3</f>
        <v>305.78163836959078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126.76249613272444</v>
      </c>
      <c r="DG69" s="21">
        <f>EXP(-LN(2)/25)*DG68+(1-EXP(-LN(2)/25))/(LN(2)/25)*Calculateur!DB69*Calculateur!DD69*VLOOKUP('Données projet'!$B$13,Paramètres!$A$1:$I$89,3,0)*0.475*44/12</f>
        <v>30.090037841951418</v>
      </c>
      <c r="DH69" s="21">
        <f>EXP(-LN(2)/2)*DH68+(1-EXP(-LN(2)/2))/(LN(2)/2)*DB69*DE69*VLOOKUP('Données projet'!$B$13,Paramètres!$A$1:$I$89,3,0)*0.475*44/12</f>
        <v>2.3594319252882308</v>
      </c>
      <c r="DI69" s="22">
        <f t="shared" si="69"/>
        <v>159.21196589996407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3.8</v>
      </c>
      <c r="DO69" s="12">
        <f>IF('Données projet'!$A$166&gt;35,DO68+DN69-DW68,IF(A69&lt;'Données projet'!$A$166,$DL$205^A69,IF(A69='Données projet'!$A$166,'Données projet'!$B$166,DO68+DN69-DW68)))</f>
        <v>247.79999999999984</v>
      </c>
      <c r="DP69" s="17">
        <f>DO69*VLOOKUP('Données projet'!$B$14,Paramètres!$A$1:$I$89,3,0)*VLOOKUP('Données projet'!$B$14,Paramètres!$A$1:$I$89,5,0)</f>
        <v>201.01535999999987</v>
      </c>
      <c r="DQ69" s="13">
        <f t="shared" ref="DQ69:DQ132" si="97">EXP(-1.0587+0.8836*LN(DP69)+0.284)</f>
        <v>49.96724731300592</v>
      </c>
      <c r="DR69" s="20">
        <f t="shared" si="70"/>
        <v>437.12804107015171</v>
      </c>
      <c r="DS69" s="59">
        <f t="shared" si="71"/>
        <v>730.46137440348502</v>
      </c>
      <c r="DT69" s="59">
        <f ca="1">AVERAGE(OFFSET($DS$3,0,0,'Données projet'!$E$14+1,1))-AVERAGE(OFFSET($H$3,0,0,'Données projet'!$E$14+1,1))</f>
        <v>304.26232113495314</v>
      </c>
      <c r="DU69" s="59">
        <f t="shared" ref="DU69:DU132" si="98">$DU$3</f>
        <v>297.47246687305056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12.210007998660226</v>
      </c>
      <c r="EB69" s="21">
        <f>EXP(-LN(2)/25)*EB68+(1-EXP(-LN(2)/25))/(LN(2)/25)*Calculateur!DW69*Calculateur!DY69*VLOOKUP('Données projet'!$B$14,Paramètres!$A$1:$I$89,3,0)*0.475*44/12</f>
        <v>4.2622053120400221</v>
      </c>
      <c r="EC69" s="21">
        <f>EXP(-LN(2)/2)*EC68+(1-EXP(-LN(2)/2))/(LN(2)/2)*DW69*DZ69*VLOOKUP('Données projet'!$B$14,Paramètres!$A$1:$I$89,3,0)*0.475*44/12</f>
        <v>2.2223356015594353</v>
      </c>
      <c r="ED69" s="22">
        <f t="shared" si="72"/>
        <v>18.694548912259684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3.8</v>
      </c>
      <c r="EJ69" s="12">
        <f>IF('Données projet'!$A$192&gt;35,EJ68+EI69-ER68,IF(A69&lt;'Données projet'!$A$192,$EG$205^A69,IF(A69='Données projet'!$A$192,'Données projet'!$B$192,EJ68+EI69-ER68)))</f>
        <v>247.79999999999984</v>
      </c>
      <c r="EK69" s="17">
        <f>EJ69*VLOOKUP('Données projet'!$B$15,Paramètres!$A$1:$I$89,3,0)*VLOOKUP('Données projet'!$B$15,Paramètres!$A$1:$I$89,5,0)</f>
        <v>239.67215999999988</v>
      </c>
      <c r="EL69" s="13">
        <f t="shared" ref="EL69:EL132" si="99">EXP(-1.0587+0.8836*LN(EK69)+0.284)</f>
        <v>58.368988498598384</v>
      </c>
      <c r="EM69" s="20">
        <f t="shared" si="73"/>
        <v>519.08833363505858</v>
      </c>
      <c r="EN69" s="59">
        <f t="shared" si="74"/>
        <v>812.42166696839195</v>
      </c>
      <c r="EO69" s="59">
        <f ca="1">AVERAGE(OFFSET($EN$3,0,0,'Données projet'!$E$15+1,1))-AVERAGE(OFFSET($H$3,0,0,'Données projet'!$E$15+1,1))</f>
        <v>355.72173590705142</v>
      </c>
      <c r="EP69" s="59">
        <f t="shared" ref="EP69:EP132" si="100">$EP$3</f>
        <v>346.30980704469363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11.811277693914429</v>
      </c>
      <c r="EW69" s="21">
        <f>EXP(-LN(2)/25)*EW68+(1-EXP(-LN(2)/25))/(LN(2)/25)*Calculateur!ER69*Calculateur!ET69*VLOOKUP('Données projet'!$B$15,Paramètres!$A$1:$I$89,3,0)*0.475*44/12</f>
        <v>4.1230186363928496</v>
      </c>
      <c r="EX69" s="21">
        <f>EXP(-LN(2)/2)*EX68+(1-EXP(-LN(2)/2))/(LN(2)/2)*ER69*EU69*VLOOKUP('Données projet'!$B$15,Paramètres!$A$1:$I$89,3,0)*0.475*44/12</f>
        <v>2.6497078326285575</v>
      </c>
      <c r="EY69" s="22">
        <f t="shared" si="75"/>
        <v>18.584004162935834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3.8</v>
      </c>
      <c r="FE69" s="12">
        <f>IF('Données projet'!$A$218&gt;35,FE68+FD69-FM68,IF(A69&lt;'Données projet'!$A$218,$FB$205^A69,IF(A69='Données projet'!$A$218,'Données projet'!$B$218,FE68+FD69-FM68)))</f>
        <v>247.79999999999984</v>
      </c>
      <c r="FF69" s="17">
        <f>FE69*VLOOKUP('Données projet'!$B$16,Paramètres!$A$1:$I$89,3,0)*VLOOKUP('Données projet'!$B$16,Paramètres!$A$1:$I$89,5,0)</f>
        <v>181.68695999999989</v>
      </c>
      <c r="FG69" s="13">
        <f t="shared" ref="FG69:FG132" si="101">EXP(-1.0587+0.8836*LN(FF69)+0.284)</f>
        <v>45.697299679537338</v>
      </c>
      <c r="FH69" s="20">
        <f t="shared" si="76"/>
        <v>396.02758560852732</v>
      </c>
      <c r="FI69" s="59">
        <f t="shared" si="77"/>
        <v>689.36091894186063</v>
      </c>
      <c r="FJ69" s="59">
        <f ca="1">AVERAGE(OFFSET($FI$3,0,0,'Données projet'!$E$16+1,1))-AVERAGE(OFFSET($H$3,0,0,'Données projet'!$E$16+1,1))</f>
        <v>278.45534008146865</v>
      </c>
      <c r="FK69" s="59">
        <f t="shared" ref="FK69:FK132" si="102">$FK$3</f>
        <v>272.97841038165217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8.9537105099028711</v>
      </c>
      <c r="FR69" s="21">
        <f>EXP(-LN(2)/25)*FR68+(1-EXP(-LN(2)/25))/(LN(2)/25)*Calculateur!FM69*Calculateur!FO69*VLOOKUP('Données projet'!$B$16,Paramètres!$A$1:$I$89,3,0)*0.475*44/12</f>
        <v>3.1255141275881289</v>
      </c>
      <c r="FS69" s="21">
        <f>EXP(-LN(2)/2)*FS68+(1-EXP(-LN(2)/2))/(LN(2)/2)*FM69*FP69*VLOOKUP('Données projet'!$B$16,Paramètres!$A$1:$I$89,3,0)*0.475*44/12</f>
        <v>2.0086494860248738</v>
      </c>
      <c r="FT69" s="22">
        <f t="shared" si="78"/>
        <v>14.087874123515874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6.333333333333333</v>
      </c>
      <c r="N70" s="13">
        <f>IF('Données projet'!$A$36&gt;35,N69+M70-V69,IF(A70&lt;'Données projet'!$A$36,$K$205^A70,IF(A70='Données projet'!$A$36,'Données projet'!$B$36,N69+M70-V69)))</f>
        <v>157.33333333333334</v>
      </c>
      <c r="O70" s="13">
        <f>N70*VLOOKUP('Données projet'!$B$9,Paramètres!$A$1:$I$89,3,0)*VLOOKUP('Données projet'!$B$9,Paramètres!$A$1:$I$89,5,0)</f>
        <v>142.3552</v>
      </c>
      <c r="P70" s="13">
        <f t="shared" si="87"/>
        <v>36.836023758619369</v>
      </c>
      <c r="Q70" s="20">
        <f t="shared" si="54"/>
        <v>312.09138137959536</v>
      </c>
      <c r="R70" s="59">
        <f t="shared" si="55"/>
        <v>605.42471471292868</v>
      </c>
      <c r="S70" s="59">
        <f ca="1">AVERAGE(OFFSET($R$3,0,0,'Données projet'!$E$9+1,1))-AVERAGE(OFFSET($H$3,0,0,'Données projet'!$E$9+1,1))</f>
        <v>436.03161778768742</v>
      </c>
      <c r="T70" s="59">
        <f t="shared" si="88"/>
        <v>217.65884352525285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20.148449920391148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20.148449920391148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6.333333333333333</v>
      </c>
      <c r="AI70" s="13">
        <f>IF('Données projet'!$A$62&gt;35,AI69+AH70-AQ69,IF(A70&lt;'Données projet'!$A$62,$AF$205^A70,IF(A70='Données projet'!$A$62,'Données projet'!$B$62,AI69+AH70-AQ69)))</f>
        <v>157.33333333333334</v>
      </c>
      <c r="AJ70" s="13">
        <f>AI70*VLOOKUP('Données projet'!$B$10,Paramètres!$A$1:$I$89,3,0)*VLOOKUP('Données projet'!$B$10,Paramètres!$A$1:$I$89,5,0)</f>
        <v>159.53600000000003</v>
      </c>
      <c r="AK70" s="13">
        <f t="shared" si="89"/>
        <v>40.73784122850185</v>
      </c>
      <c r="AL70" s="20">
        <f t="shared" si="58"/>
        <v>348.81027347297407</v>
      </c>
      <c r="AM70" s="59">
        <f t="shared" si="59"/>
        <v>642.14360680630739</v>
      </c>
      <c r="AN70" s="59">
        <f ca="1">AVERAGE(OFFSET($AM$3,0,0,'Données projet'!$E$10+1,1))-AVERAGE(OFFSET($H$3,0,0,'Données projet'!$E$10+1,1))</f>
        <v>483.45320081988984</v>
      </c>
      <c r="AO70" s="59">
        <f t="shared" si="90"/>
        <v>238.92443174298893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22.580159393541805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22.580159393541805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3.3</v>
      </c>
      <c r="BD70" s="12">
        <f>IF('Données projet'!$A$88&gt;35,BD69+BC70-BL69,IF(A70&lt;'Données projet'!$A$88,$BA$205^A70,IF(A70='Données projet'!$A$88,'Données projet'!$B$88,BD69+BC70-BL69)))</f>
        <v>239.10000000000014</v>
      </c>
      <c r="BE70" s="13">
        <f>BD70*VLOOKUP('Données projet'!$B$11,Paramètres!$A$1:$I$89,3,0)*VLOOKUP('Données projet'!$B$11,Paramètres!$A$1:$I$89,5,0)</f>
        <v>208.87776000000017</v>
      </c>
      <c r="BF70" s="13">
        <f t="shared" si="91"/>
        <v>51.690271597021052</v>
      </c>
      <c r="BG70" s="20">
        <f t="shared" si="61"/>
        <v>453.82265503147863</v>
      </c>
      <c r="BH70" s="59">
        <f t="shared" si="62"/>
        <v>747.15598836481195</v>
      </c>
      <c r="BI70" s="59">
        <f ca="1">AVERAGE(OFFSET($BH$3,0,0,'Données projet'!$E$11+1,1))-AVERAGE(OFFSET($H$3,0,0,'Données projet'!$E$11+1,1))</f>
        <v>310.44153296396854</v>
      </c>
      <c r="BJ70" s="59">
        <f t="shared" si="92"/>
        <v>388.05195847800502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9.5331794817979745</v>
      </c>
      <c r="BQ70" s="21">
        <f>EXP(-LN(2)/25)*BQ69+(1-EXP(-LN(2)/25))/(LN(2)/25)*Calculateur!BL70*Calculateur!BN70*VLOOKUP('Données projet'!$B$11,Paramètres!$A$1:$I$89,3,0)*0.475*44/12</f>
        <v>5.7646336182150799</v>
      </c>
      <c r="BR70" s="21">
        <f>EXP(-LN(2)/2)*BR69+(1-EXP(-LN(2)/2))/(LN(2)/2)*BL70*BO70*VLOOKUP('Données projet'!$B$11,Paramètres!$A$1:$I$89,3,0)*0.475*44/12</f>
        <v>0.40222032218732745</v>
      </c>
      <c r="BS70" s="22">
        <f t="shared" si="63"/>
        <v>15.700033422200383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-2.2737367544323206E-13</v>
      </c>
      <c r="BZ70" s="13">
        <f>BY70*VLOOKUP('Données projet'!$B$12,Paramètres!$A$1:$I$89,3,0)*VLOOKUP('Données projet'!$B$12,Paramètres!$A$1:$I$89,5,0)</f>
        <v>-1.2710188457276673E-13</v>
      </c>
      <c r="CA70" s="13" t="e">
        <f t="shared" si="93"/>
        <v>#NUM!</v>
      </c>
      <c r="CB70" s="20" t="e">
        <f t="shared" si="64"/>
        <v>#NUM!</v>
      </c>
      <c r="CC70" s="59" t="e">
        <f t="shared" si="65"/>
        <v>#NUM!</v>
      </c>
      <c r="CD70" s="59">
        <f ca="1">AVERAGE(OFFSET($CC$3,0,0,'Données projet'!$E$12+1,1))-AVERAGE(OFFSET($H$3,0,0,'Données projet'!$E$12+1,1))</f>
        <v>443.34220761968419</v>
      </c>
      <c r="CE70" s="59">
        <f t="shared" si="94"/>
        <v>546.58234447298014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221.49078760110939</v>
      </c>
      <c r="CL70" s="21">
        <f>EXP(-LN(2)/25)*CL69+(1-EXP(-LN(2)/25))/(LN(2)/25)*Calculateur!CG70*Calculateur!CI70*VLOOKUP('Données projet'!$B$12,Paramètres!$A$1:$I$89,3,0)*0.475*44/12</f>
        <v>49.938304017754128</v>
      </c>
      <c r="CM70" s="21">
        <f>EXP(-LN(2)/2)*CM69+(1-EXP(-LN(2)/2))/(LN(2)/2)*CG70*CJ70*VLOOKUP('Données projet'!$B$12,Paramètres!$A$1:$I$89,3,0)*0.475*44/12</f>
        <v>3.8173522132917084</v>
      </c>
      <c r="CN70" s="22">
        <f t="shared" si="66"/>
        <v>275.24644383215525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>
        <f>CT70*VLOOKUP('Données projet'!$B$13,Paramètres!$A$1:$I$89,3,0)*VLOOKUP('Données projet'!$B$13,Paramètres!$A$1:$I$89,5,0)</f>
        <v>0</v>
      </c>
      <c r="CV70" s="13" t="e">
        <f t="shared" si="95"/>
        <v>#NUM!</v>
      </c>
      <c r="CW70" s="20" t="e">
        <f t="shared" si="67"/>
        <v>#NUM!</v>
      </c>
      <c r="CX70" s="59" t="e">
        <f t="shared" si="68"/>
        <v>#NUM!</v>
      </c>
      <c r="CY70" s="59">
        <f ca="1">AVERAGE(OFFSET($CX$3,0,0,'Données projet'!$E$13+1,1))-AVERAGE(OFFSET($H$3,0,0,'Données projet'!$E$13+1,1))</f>
        <v>214.22606988805535</v>
      </c>
      <c r="CZ70" s="59">
        <f t="shared" si="96"/>
        <v>305.78163836959078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124.27676090104988</v>
      </c>
      <c r="DG70" s="21">
        <f>EXP(-LN(2)/25)*DG69+(1-EXP(-LN(2)/25))/(LN(2)/25)*Calculateur!DB70*Calculateur!DD70*VLOOKUP('Données projet'!$B$13,Paramètres!$A$1:$I$89,3,0)*0.475*44/12</f>
        <v>29.267224174796937</v>
      </c>
      <c r="DH70" s="21">
        <f>EXP(-LN(2)/2)*DH69+(1-EXP(-LN(2)/2))/(LN(2)/2)*DB70*DE70*VLOOKUP('Données projet'!$B$13,Paramètres!$A$1:$I$89,3,0)*0.475*44/12</f>
        <v>1.6683703141193396</v>
      </c>
      <c r="DI70" s="22">
        <f t="shared" si="69"/>
        <v>155.21235538996615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3.8</v>
      </c>
      <c r="DO70" s="12">
        <f>IF('Données projet'!$A$166&gt;35,DO69+DN70-DW69,IF(A70&lt;'Données projet'!$A$166,$DL$205^A70,IF(A70='Données projet'!$A$166,'Données projet'!$B$166,DO69+DN70-DW69)))</f>
        <v>251.59999999999985</v>
      </c>
      <c r="DP70" s="17">
        <f>DO70*VLOOKUP('Données projet'!$B$14,Paramètres!$A$1:$I$89,3,0)*VLOOKUP('Données projet'!$B$14,Paramètres!$A$1:$I$89,5,0)</f>
        <v>204.0979199999999</v>
      </c>
      <c r="DQ70" s="13">
        <f t="shared" si="97"/>
        <v>50.643700651523019</v>
      </c>
      <c r="DR70" s="20">
        <f t="shared" si="70"/>
        <v>443.67498930140238</v>
      </c>
      <c r="DS70" s="59">
        <f t="shared" si="71"/>
        <v>737.00832263473569</v>
      </c>
      <c r="DT70" s="59">
        <f ca="1">AVERAGE(OFFSET($DS$3,0,0,'Données projet'!$E$14+1,1))-AVERAGE(OFFSET($H$3,0,0,'Données projet'!$E$14+1,1))</f>
        <v>304.26232113495314</v>
      </c>
      <c r="DU70" s="59">
        <f t="shared" si="98"/>
        <v>297.47246687305056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11.97057718917601</v>
      </c>
      <c r="EB70" s="21">
        <f>EXP(-LN(2)/25)*EB69+(1-EXP(-LN(2)/25))/(LN(2)/25)*Calculateur!DW70*Calculateur!DY70*VLOOKUP('Données projet'!$B$14,Paramètres!$A$1:$I$89,3,0)*0.475*44/12</f>
        <v>4.1456550836426516</v>
      </c>
      <c r="EC70" s="21">
        <f>EXP(-LN(2)/2)*EC69+(1-EXP(-LN(2)/2))/(LN(2)/2)*DW70*DZ70*VLOOKUP('Données projet'!$B$14,Paramètres!$A$1:$I$89,3,0)*0.475*44/12</f>
        <v>1.5714285739349623</v>
      </c>
      <c r="ED70" s="22">
        <f t="shared" si="72"/>
        <v>17.687660846753626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3.8</v>
      </c>
      <c r="EJ70" s="12">
        <f>IF('Données projet'!$A$192&gt;35,EJ69+EI70-ER69,IF(A70&lt;'Données projet'!$A$192,$EG$205^A70,IF(A70='Données projet'!$A$192,'Données projet'!$B$192,EJ69+EI70-ER69)))</f>
        <v>251.59999999999985</v>
      </c>
      <c r="EK70" s="17">
        <f>EJ70*VLOOKUP('Données projet'!$B$15,Paramètres!$A$1:$I$89,3,0)*VLOOKUP('Données projet'!$B$15,Paramètres!$A$1:$I$89,5,0)</f>
        <v>243.34751999999986</v>
      </c>
      <c r="EL70" s="13">
        <f t="shared" si="99"/>
        <v>59.159184061872203</v>
      </c>
      <c r="EM70" s="20">
        <f t="shared" si="73"/>
        <v>526.86584290776045</v>
      </c>
      <c r="EN70" s="59">
        <f t="shared" si="74"/>
        <v>820.19917624109371</v>
      </c>
      <c r="EO70" s="59">
        <f ca="1">AVERAGE(OFFSET($EN$3,0,0,'Données projet'!$E$15+1,1))-AVERAGE(OFFSET($H$3,0,0,'Données projet'!$E$15+1,1))</f>
        <v>355.72173590705142</v>
      </c>
      <c r="EP70" s="59">
        <f t="shared" si="100"/>
        <v>346.30980704469363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11.579665742504808</v>
      </c>
      <c r="EW70" s="21">
        <f>EXP(-LN(2)/25)*EW69+(1-EXP(-LN(2)/25))/(LN(2)/25)*Calculateur!ER70*Calculateur!ET70*VLOOKUP('Données projet'!$B$15,Paramètres!$A$1:$I$89,3,0)*0.475*44/12</f>
        <v>4.0102744749605606</v>
      </c>
      <c r="EX70" s="21">
        <f>EXP(-LN(2)/2)*EX69+(1-EXP(-LN(2)/2))/(LN(2)/2)*ER70*EU70*VLOOKUP('Données projet'!$B$15,Paramètres!$A$1:$I$89,3,0)*0.475*44/12</f>
        <v>1.8736263766147625</v>
      </c>
      <c r="EY70" s="22">
        <f t="shared" si="75"/>
        <v>17.463566594080131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3.8</v>
      </c>
      <c r="FE70" s="12">
        <f>IF('Données projet'!$A$218&gt;35,FE69+FD70-FM69,IF(A70&lt;'Données projet'!$A$218,$FB$205^A70,IF(A70='Données projet'!$A$218,'Données projet'!$B$218,FE69+FD70-FM69)))</f>
        <v>251.59999999999985</v>
      </c>
      <c r="FF70" s="17">
        <f>FE70*VLOOKUP('Données projet'!$B$16,Paramètres!$A$1:$I$89,3,0)*VLOOKUP('Données projet'!$B$16,Paramètres!$A$1:$I$89,5,0)</f>
        <v>184.47311999999988</v>
      </c>
      <c r="FG70" s="13">
        <f t="shared" si="101"/>
        <v>46.315946745200115</v>
      </c>
      <c r="FH70" s="20">
        <f t="shared" si="76"/>
        <v>401.95762458122334</v>
      </c>
      <c r="FI70" s="59">
        <f t="shared" si="77"/>
        <v>695.29095791455666</v>
      </c>
      <c r="FJ70" s="59">
        <f ca="1">AVERAGE(OFFSET($FI$3,0,0,'Données projet'!$E$16+1,1))-AVERAGE(OFFSET($H$3,0,0,'Données projet'!$E$16+1,1))</f>
        <v>278.45534008146865</v>
      </c>
      <c r="FK70" s="59">
        <f t="shared" si="102"/>
        <v>272.97841038165217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8.7781337080278359</v>
      </c>
      <c r="FR70" s="21">
        <f>EXP(-LN(2)/25)*FR69+(1-EXP(-LN(2)/25))/(LN(2)/25)*Calculateur!FM70*Calculateur!FO70*VLOOKUP('Données projet'!$B$16,Paramètres!$A$1:$I$89,3,0)*0.475*44/12</f>
        <v>3.040046779405587</v>
      </c>
      <c r="FS70" s="21">
        <f>EXP(-LN(2)/2)*FS69+(1-EXP(-LN(2)/2))/(LN(2)/2)*FM70*FP70*VLOOKUP('Données projet'!$B$16,Paramètres!$A$1:$I$89,3,0)*0.475*44/12</f>
        <v>1.4203296725950616</v>
      </c>
      <c r="FT70" s="22">
        <f t="shared" si="78"/>
        <v>13.238510160028484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6.333333333333333</v>
      </c>
      <c r="N71" s="13">
        <f>IF('Données projet'!$A$36&gt;35,N70+M71-V70,IF(A71&lt;'Données projet'!$A$36,$K$205^A71,IF(A71='Données projet'!$A$36,'Données projet'!$B$36,N70+M71-V70)))</f>
        <v>163.66666666666669</v>
      </c>
      <c r="O71" s="13">
        <f>N71*VLOOKUP('Données projet'!$B$9,Paramètres!$A$1:$I$89,3,0)*VLOOKUP('Données projet'!$B$9,Paramètres!$A$1:$I$89,5,0)</f>
        <v>148.08560000000003</v>
      </c>
      <c r="P71" s="13">
        <f t="shared" si="87"/>
        <v>38.143206653313847</v>
      </c>
      <c r="Q71" s="20">
        <f t="shared" si="54"/>
        <v>324.34850492118829</v>
      </c>
      <c r="R71" s="59">
        <f t="shared" si="55"/>
        <v>617.68183825452161</v>
      </c>
      <c r="S71" s="59">
        <f ca="1">AVERAGE(OFFSET($R$3,0,0,'Données projet'!$E$9+1,1))-AVERAGE(OFFSET($H$3,0,0,'Données projet'!$E$9+1,1))</f>
        <v>436.03161778768742</v>
      </c>
      <c r="T71" s="59">
        <f t="shared" si="88"/>
        <v>217.65884352525285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19.59748949775712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19.59748949775712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6.333333333333333</v>
      </c>
      <c r="AI71" s="13">
        <f>IF('Données projet'!$A$62&gt;35,AI70+AH71-AQ70,IF(A71&lt;'Données projet'!$A$62,$AF$205^A71,IF(A71='Données projet'!$A$62,'Données projet'!$B$62,AI70+AH71-AQ70)))</f>
        <v>163.66666666666669</v>
      </c>
      <c r="AJ71" s="13">
        <f>AI71*VLOOKUP('Données projet'!$B$10,Paramètres!$A$1:$I$89,3,0)*VLOOKUP('Données projet'!$B$10,Paramètres!$A$1:$I$89,5,0)</f>
        <v>165.95800000000003</v>
      </c>
      <c r="AK71" s="13">
        <f t="shared" si="89"/>
        <v>42.183486110523575</v>
      </c>
      <c r="AL71" s="20">
        <f t="shared" si="58"/>
        <v>362.51308830916196</v>
      </c>
      <c r="AM71" s="59">
        <f t="shared" si="59"/>
        <v>655.84642164249522</v>
      </c>
      <c r="AN71" s="59">
        <f ca="1">AVERAGE(OFFSET($AM$3,0,0,'Données projet'!$E$10+1,1))-AVERAGE(OFFSET($H$3,0,0,'Données projet'!$E$10+1,1))</f>
        <v>483.45320081988984</v>
      </c>
      <c r="AO71" s="59">
        <f t="shared" si="90"/>
        <v>238.92443174298893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21.96270374748643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21.96270374748643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3.3</v>
      </c>
      <c r="BD71" s="12">
        <f>IF('Données projet'!$A$88&gt;35,BD70+BC71-BL70,IF(A71&lt;'Données projet'!$A$88,$BA$205^A71,IF(A71='Données projet'!$A$88,'Données projet'!$B$88,BD70+BC71-BL70)))</f>
        <v>242.40000000000015</v>
      </c>
      <c r="BE71" s="13">
        <f>BD71*VLOOKUP('Données projet'!$B$11,Paramètres!$A$1:$I$89,3,0)*VLOOKUP('Données projet'!$B$11,Paramètres!$A$1:$I$89,5,0)</f>
        <v>211.76064000000014</v>
      </c>
      <c r="BF71" s="13">
        <f t="shared" si="91"/>
        <v>52.320142683061377</v>
      </c>
      <c r="BG71" s="20">
        <f t="shared" si="61"/>
        <v>459.94069650633213</v>
      </c>
      <c r="BH71" s="59">
        <f t="shared" si="62"/>
        <v>753.27402983966545</v>
      </c>
      <c r="BI71" s="59">
        <f ca="1">AVERAGE(OFFSET($BH$3,0,0,'Données projet'!$E$11+1,1))-AVERAGE(OFFSET($H$3,0,0,'Données projet'!$E$11+1,1))</f>
        <v>310.44153296396854</v>
      </c>
      <c r="BJ71" s="59">
        <f t="shared" si="92"/>
        <v>388.05195847800502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9.34623964682525</v>
      </c>
      <c r="BQ71" s="21">
        <f>EXP(-LN(2)/25)*BQ70+(1-EXP(-LN(2)/25))/(LN(2)/25)*Calculateur!BL71*Calculateur!BN71*VLOOKUP('Données projet'!$B$11,Paramètres!$A$1:$I$89,3,0)*0.475*44/12</f>
        <v>5.6069994087760815</v>
      </c>
      <c r="BR71" s="21">
        <f>EXP(-LN(2)/2)*BR70+(1-EXP(-LN(2)/2))/(LN(2)/2)*BL71*BO71*VLOOKUP('Données projet'!$B$11,Paramètres!$A$1:$I$89,3,0)*0.475*44/12</f>
        <v>0.2844127173496972</v>
      </c>
      <c r="BS71" s="22">
        <f t="shared" si="63"/>
        <v>15.237651772951029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-2.2737367544323206E-13</v>
      </c>
      <c r="BZ71" s="13">
        <f>BY71*VLOOKUP('Données projet'!$B$12,Paramètres!$A$1:$I$89,3,0)*VLOOKUP('Données projet'!$B$12,Paramètres!$A$1:$I$89,5,0)</f>
        <v>-1.2710188457276673E-13</v>
      </c>
      <c r="CA71" s="13" t="e">
        <f t="shared" si="93"/>
        <v>#NUM!</v>
      </c>
      <c r="CB71" s="20" t="e">
        <f t="shared" si="64"/>
        <v>#NUM!</v>
      </c>
      <c r="CC71" s="59" t="e">
        <f t="shared" si="65"/>
        <v>#NUM!</v>
      </c>
      <c r="CD71" s="59">
        <f ca="1">AVERAGE(OFFSET($CC$3,0,0,'Données projet'!$E$12+1,1))-AVERAGE(OFFSET($H$3,0,0,'Données projet'!$E$12+1,1))</f>
        <v>443.34220761968419</v>
      </c>
      <c r="CE71" s="59">
        <f t="shared" si="94"/>
        <v>546.58234447298014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217.14748835229244</v>
      </c>
      <c r="CL71" s="21">
        <f>EXP(-LN(2)/25)*CL70+(1-EXP(-LN(2)/25))/(LN(2)/25)*Calculateur!CG71*Calculateur!CI71*VLOOKUP('Données projet'!$B$12,Paramètres!$A$1:$I$89,3,0)*0.475*44/12</f>
        <v>48.572738468247366</v>
      </c>
      <c r="CM71" s="21">
        <f>EXP(-LN(2)/2)*CM70+(1-EXP(-LN(2)/2))/(LN(2)/2)*CG71*CJ71*VLOOKUP('Données projet'!$B$12,Paramètres!$A$1:$I$89,3,0)*0.475*44/12</f>
        <v>2.699275636196043</v>
      </c>
      <c r="CN71" s="22">
        <f t="shared" si="66"/>
        <v>268.41950245673581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>
        <f>CT71*VLOOKUP('Données projet'!$B$13,Paramètres!$A$1:$I$89,3,0)*VLOOKUP('Données projet'!$B$13,Paramètres!$A$1:$I$89,5,0)</f>
        <v>0</v>
      </c>
      <c r="CV71" s="13" t="e">
        <f t="shared" si="95"/>
        <v>#NUM!</v>
      </c>
      <c r="CW71" s="20" t="e">
        <f t="shared" si="67"/>
        <v>#NUM!</v>
      </c>
      <c r="CX71" s="59" t="e">
        <f t="shared" si="68"/>
        <v>#NUM!</v>
      </c>
      <c r="CY71" s="59">
        <f ca="1">AVERAGE(OFFSET($CX$3,0,0,'Données projet'!$E$13+1,1))-AVERAGE(OFFSET($H$3,0,0,'Données projet'!$E$13+1,1))</f>
        <v>214.22606988805535</v>
      </c>
      <c r="CZ71" s="59">
        <f t="shared" si="96"/>
        <v>305.78163836959078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121.83976942111968</v>
      </c>
      <c r="DG71" s="21">
        <f>EXP(-LN(2)/25)*DG70+(1-EXP(-LN(2)/25))/(LN(2)/25)*Calculateur!DB71*Calculateur!DD71*VLOOKUP('Données projet'!$B$13,Paramètres!$A$1:$I$89,3,0)*0.475*44/12</f>
        <v>28.466910390640685</v>
      </c>
      <c r="DH71" s="21">
        <f>EXP(-LN(2)/2)*DH70+(1-EXP(-LN(2)/2))/(LN(2)/2)*DB71*DE71*VLOOKUP('Données projet'!$B$13,Paramètres!$A$1:$I$89,3,0)*0.475*44/12</f>
        <v>1.1797159626441154</v>
      </c>
      <c r="DI71" s="22">
        <f t="shared" si="69"/>
        <v>151.48639577440449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3.8</v>
      </c>
      <c r="DO71" s="12">
        <f>IF('Données projet'!$A$166&gt;35,DO70+DN71-DW70,IF(A71&lt;'Données projet'!$A$166,$DL$205^A71,IF(A71='Données projet'!$A$166,'Données projet'!$B$166,DO70+DN71-DW70)))</f>
        <v>255.39999999999986</v>
      </c>
      <c r="DP71" s="17">
        <f>DO71*VLOOKUP('Données projet'!$B$14,Paramètres!$A$1:$I$89,3,0)*VLOOKUP('Données projet'!$B$14,Paramètres!$A$1:$I$89,5,0)</f>
        <v>207.1804799999999</v>
      </c>
      <c r="DQ71" s="13">
        <f t="shared" si="97"/>
        <v>51.318965762681508</v>
      </c>
      <c r="DR71" s="20">
        <f t="shared" si="70"/>
        <v>450.21986803667011</v>
      </c>
      <c r="DS71" s="59">
        <f t="shared" si="71"/>
        <v>743.55320137000342</v>
      </c>
      <c r="DT71" s="59">
        <f ca="1">AVERAGE(OFFSET($DS$3,0,0,'Données projet'!$E$14+1,1))-AVERAGE(OFFSET($H$3,0,0,'Données projet'!$E$14+1,1))</f>
        <v>304.26232113495314</v>
      </c>
      <c r="DU71" s="59">
        <f t="shared" si="98"/>
        <v>297.47246687305056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11.735841471827408</v>
      </c>
      <c r="EB71" s="21">
        <f>EXP(-LN(2)/25)*EB70+(1-EXP(-LN(2)/25))/(LN(2)/25)*Calculateur!DW71*Calculateur!DY71*VLOOKUP('Données projet'!$B$14,Paramètres!$A$1:$I$89,3,0)*0.475*44/12</f>
        <v>4.0322919273699176</v>
      </c>
      <c r="EC71" s="21">
        <f>EXP(-LN(2)/2)*EC70+(1-EXP(-LN(2)/2))/(LN(2)/2)*DW71*DZ71*VLOOKUP('Données projet'!$B$14,Paramètres!$A$1:$I$89,3,0)*0.475*44/12</f>
        <v>1.1111678007797179</v>
      </c>
      <c r="ED71" s="22">
        <f t="shared" si="72"/>
        <v>16.879301199977043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3.8</v>
      </c>
      <c r="EJ71" s="12">
        <f>IF('Données projet'!$A$192&gt;35,EJ70+EI71-ER70,IF(A71&lt;'Données projet'!$A$192,$EG$205^A71,IF(A71='Données projet'!$A$192,'Données projet'!$B$192,EJ70+EI71-ER70)))</f>
        <v>255.39999999999986</v>
      </c>
      <c r="EK71" s="17">
        <f>EJ71*VLOOKUP('Données projet'!$B$15,Paramètres!$A$1:$I$89,3,0)*VLOOKUP('Données projet'!$B$15,Paramètres!$A$1:$I$89,5,0)</f>
        <v>247.0228799999999</v>
      </c>
      <c r="EL71" s="13">
        <f t="shared" si="99"/>
        <v>59.947991603336583</v>
      </c>
      <c r="EM71" s="20">
        <f t="shared" si="73"/>
        <v>534.64093470914429</v>
      </c>
      <c r="EN71" s="59">
        <f t="shared" si="74"/>
        <v>827.97426804247766</v>
      </c>
      <c r="EO71" s="59">
        <f ca="1">AVERAGE(OFFSET($EN$3,0,0,'Données projet'!$E$15+1,1))-AVERAGE(OFFSET($H$3,0,0,'Données projet'!$E$15+1,1))</f>
        <v>355.72173590705142</v>
      </c>
      <c r="EP71" s="59">
        <f t="shared" si="100"/>
        <v>346.30980704469363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11.352595560192988</v>
      </c>
      <c r="EW71" s="21">
        <f>EXP(-LN(2)/25)*EW70+(1-EXP(-LN(2)/25))/(LN(2)/25)*Calculateur!ER71*Calculateur!ET71*VLOOKUP('Données projet'!$B$15,Paramètres!$A$1:$I$89,3,0)*0.475*44/12</f>
        <v>3.9006133085515948</v>
      </c>
      <c r="EX71" s="21">
        <f>EXP(-LN(2)/2)*EX70+(1-EXP(-LN(2)/2))/(LN(2)/2)*ER71*EU71*VLOOKUP('Données projet'!$B$15,Paramètres!$A$1:$I$89,3,0)*0.475*44/12</f>
        <v>1.3248539163142787</v>
      </c>
      <c r="EY71" s="22">
        <f t="shared" si="75"/>
        <v>16.578062785058862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3.8</v>
      </c>
      <c r="FE71" s="12">
        <f>IF('Données projet'!$A$218&gt;35,FE70+FD71-FM70,IF(A71&lt;'Données projet'!$A$218,$FB$205^A71,IF(A71='Données projet'!$A$218,'Données projet'!$B$218,FE70+FD71-FM70)))</f>
        <v>255.39999999999986</v>
      </c>
      <c r="FF71" s="17">
        <f>FE71*VLOOKUP('Données projet'!$B$16,Paramètres!$A$1:$I$89,3,0)*VLOOKUP('Données projet'!$B$16,Paramètres!$A$1:$I$89,5,0)</f>
        <v>187.2592799999999</v>
      </c>
      <c r="FG71" s="13">
        <f t="shared" si="101"/>
        <v>46.933507123390406</v>
      </c>
      <c r="FH71" s="20">
        <f t="shared" si="76"/>
        <v>407.88577090657145</v>
      </c>
      <c r="FI71" s="59">
        <f t="shared" si="77"/>
        <v>701.21910423990471</v>
      </c>
      <c r="FJ71" s="59">
        <f ca="1">AVERAGE(OFFSET($FI$3,0,0,'Données projet'!$E$16+1,1))-AVERAGE(OFFSET($H$3,0,0,'Données projet'!$E$16+1,1))</f>
        <v>278.45534008146865</v>
      </c>
      <c r="FK71" s="59">
        <f t="shared" si="102"/>
        <v>272.97841038165217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8.6059998601462944</v>
      </c>
      <c r="FR71" s="21">
        <f>EXP(-LN(2)/25)*FR70+(1-EXP(-LN(2)/25))/(LN(2)/25)*Calculateur!FM71*Calculateur!FO71*VLOOKUP('Données projet'!$B$16,Paramètres!$A$1:$I$89,3,0)*0.475*44/12</f>
        <v>2.9569165403536291</v>
      </c>
      <c r="FS71" s="21">
        <f>EXP(-LN(2)/2)*FS70+(1-EXP(-LN(2)/2))/(LN(2)/2)*FM71*FP71*VLOOKUP('Données projet'!$B$16,Paramètres!$A$1:$I$89,3,0)*0.475*44/12</f>
        <v>1.0043247430124369</v>
      </c>
      <c r="FT71" s="22">
        <f t="shared" si="78"/>
        <v>12.567241143512359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6.333333333333333</v>
      </c>
      <c r="N72" s="13">
        <f>IF('Données projet'!$A$36&gt;35,N71+M72-V71,IF(A72&lt;'Données projet'!$A$36,$K$205^A72,IF(A72='Données projet'!$A$36,'Données projet'!$B$36,N71+M72-V71)))</f>
        <v>170.00000000000003</v>
      </c>
      <c r="O72" s="13">
        <f>N72*VLOOKUP('Données projet'!$B$9,Paramètres!$A$1:$I$89,3,0)*VLOOKUP('Données projet'!$B$9,Paramètres!$A$1:$I$89,5,0)</f>
        <v>153.81600000000003</v>
      </c>
      <c r="P72" s="13">
        <f t="shared" si="87"/>
        <v>39.444513325737063</v>
      </c>
      <c r="Q72" s="20">
        <f t="shared" si="54"/>
        <v>336.59539404232538</v>
      </c>
      <c r="R72" s="59">
        <f t="shared" si="55"/>
        <v>629.9287273756587</v>
      </c>
      <c r="S72" s="59">
        <f ca="1">AVERAGE(OFFSET($R$3,0,0,'Données projet'!$E$9+1,1))-AVERAGE(OFFSET($H$3,0,0,'Données projet'!$E$9+1,1))</f>
        <v>436.03161778768742</v>
      </c>
      <c r="T72" s="59">
        <f t="shared" si="88"/>
        <v>217.65884352525285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19.06159511685377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19.06159511685377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6.333333333333333</v>
      </c>
      <c r="AI72" s="13">
        <f>IF('Données projet'!$A$62&gt;35,AI71+AH72-AQ71,IF(A72&lt;'Données projet'!$A$62,$AF$205^A72,IF(A72='Données projet'!$A$62,'Données projet'!$B$62,AI71+AH72-AQ71)))</f>
        <v>170.00000000000003</v>
      </c>
      <c r="AJ72" s="13">
        <f>AI72*VLOOKUP('Données projet'!$B$10,Paramètres!$A$1:$I$89,3,0)*VLOOKUP('Données projet'!$B$10,Paramètres!$A$1:$I$89,5,0)</f>
        <v>172.38000000000005</v>
      </c>
      <c r="AK72" s="13">
        <f t="shared" si="89"/>
        <v>43.622632337547088</v>
      </c>
      <c r="AL72" s="20">
        <f t="shared" si="58"/>
        <v>376.2045846545613</v>
      </c>
      <c r="AM72" s="59">
        <f t="shared" si="59"/>
        <v>669.53791798789462</v>
      </c>
      <c r="AN72" s="59">
        <f ca="1">AVERAGE(OFFSET($AM$3,0,0,'Données projet'!$E$10+1,1))-AVERAGE(OFFSET($H$3,0,0,'Données projet'!$E$10+1,1))</f>
        <v>483.45320081988984</v>
      </c>
      <c r="AO72" s="59">
        <f t="shared" si="90"/>
        <v>238.92443174298893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21.362132458543019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21.362132458543019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3.3</v>
      </c>
      <c r="BD72" s="12">
        <f>IF('Données projet'!$A$88&gt;35,BD71+BC72-BL71,IF(A72&lt;'Données projet'!$A$88,$BA$205^A72,IF(A72='Données projet'!$A$88,'Données projet'!$B$88,BD71+BC72-BL71)))</f>
        <v>245.70000000000016</v>
      </c>
      <c r="BE72" s="13">
        <f>BD72*VLOOKUP('Données projet'!$B$11,Paramètres!$A$1:$I$89,3,0)*VLOOKUP('Données projet'!$B$11,Paramètres!$A$1:$I$89,5,0)</f>
        <v>214.64352000000017</v>
      </c>
      <c r="BF72" s="13">
        <f t="shared" si="91"/>
        <v>52.949016399550956</v>
      </c>
      <c r="BG72" s="20">
        <f t="shared" si="61"/>
        <v>466.05700089588487</v>
      </c>
      <c r="BH72" s="59">
        <f t="shared" si="62"/>
        <v>759.39033422921818</v>
      </c>
      <c r="BI72" s="59">
        <f ca="1">AVERAGE(OFFSET($BH$3,0,0,'Données projet'!$E$11+1,1))-AVERAGE(OFFSET($H$3,0,0,'Données projet'!$E$11+1,1))</f>
        <v>310.44153296396854</v>
      </c>
      <c r="BJ72" s="59">
        <f t="shared" si="92"/>
        <v>388.05195847800502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9.1629655879943002</v>
      </c>
      <c r="BQ72" s="21">
        <f>EXP(-LN(2)/25)*BQ71+(1-EXP(-LN(2)/25))/(LN(2)/25)*Calculateur!BL72*Calculateur!BN72*VLOOKUP('Données projet'!$B$11,Paramètres!$A$1:$I$89,3,0)*0.475*44/12</f>
        <v>5.4536757150838158</v>
      </c>
      <c r="BR72" s="21">
        <f>EXP(-LN(2)/2)*BR71+(1-EXP(-LN(2)/2))/(LN(2)/2)*BL72*BO72*VLOOKUP('Données projet'!$B$11,Paramètres!$A$1:$I$89,3,0)*0.475*44/12</f>
        <v>0.20111016109366373</v>
      </c>
      <c r="BS72" s="22">
        <f t="shared" si="63"/>
        <v>14.81775146417178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-2.2737367544323206E-13</v>
      </c>
      <c r="BZ72" s="13">
        <f>BY72*VLOOKUP('Données projet'!$B$12,Paramètres!$A$1:$I$89,3,0)*VLOOKUP('Données projet'!$B$12,Paramètres!$A$1:$I$89,5,0)</f>
        <v>-1.2710188457276673E-13</v>
      </c>
      <c r="CA72" s="13" t="e">
        <f t="shared" si="93"/>
        <v>#NUM!</v>
      </c>
      <c r="CB72" s="20" t="e">
        <f t="shared" si="64"/>
        <v>#NUM!</v>
      </c>
      <c r="CC72" s="59" t="e">
        <f t="shared" si="65"/>
        <v>#NUM!</v>
      </c>
      <c r="CD72" s="59">
        <f ca="1">AVERAGE(OFFSET($CC$3,0,0,'Données projet'!$E$12+1,1))-AVERAGE(OFFSET($H$3,0,0,'Données projet'!$E$12+1,1))</f>
        <v>443.34220761968419</v>
      </c>
      <c r="CE72" s="59">
        <f t="shared" si="94"/>
        <v>546.58234447298014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212.88935855259385</v>
      </c>
      <c r="CL72" s="21">
        <f>EXP(-LN(2)/25)*CL71+(1-EXP(-LN(2)/25))/(LN(2)/25)*Calculateur!CG72*Calculateur!CI72*VLOOKUP('Données projet'!$B$12,Paramètres!$A$1:$I$89,3,0)*0.475*44/12</f>
        <v>47.244514380503837</v>
      </c>
      <c r="CM72" s="21">
        <f>EXP(-LN(2)/2)*CM71+(1-EXP(-LN(2)/2))/(LN(2)/2)*CG72*CJ72*VLOOKUP('Données projet'!$B$12,Paramètres!$A$1:$I$89,3,0)*0.475*44/12</f>
        <v>1.9086761066458544</v>
      </c>
      <c r="CN72" s="22">
        <f t="shared" si="66"/>
        <v>262.04254903974351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>
        <f>CT72*VLOOKUP('Données projet'!$B$13,Paramètres!$A$1:$I$89,3,0)*VLOOKUP('Données projet'!$B$13,Paramètres!$A$1:$I$89,5,0)</f>
        <v>0</v>
      </c>
      <c r="CV72" s="13" t="e">
        <f t="shared" si="95"/>
        <v>#NUM!</v>
      </c>
      <c r="CW72" s="20" t="e">
        <f t="shared" si="67"/>
        <v>#NUM!</v>
      </c>
      <c r="CX72" s="59" t="e">
        <f t="shared" si="68"/>
        <v>#NUM!</v>
      </c>
      <c r="CY72" s="59">
        <f ca="1">AVERAGE(OFFSET($CX$3,0,0,'Données projet'!$E$13+1,1))-AVERAGE(OFFSET($H$3,0,0,'Données projet'!$E$13+1,1))</f>
        <v>214.22606988805535</v>
      </c>
      <c r="CZ72" s="59">
        <f t="shared" si="96"/>
        <v>305.78163836959078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119.45056585769288</v>
      </c>
      <c r="DG72" s="21">
        <f>EXP(-LN(2)/25)*DG71+(1-EXP(-LN(2)/25))/(LN(2)/25)*Calculateur!DB72*Calculateur!DD72*VLOOKUP('Données projet'!$B$13,Paramètres!$A$1:$I$89,3,0)*0.475*44/12</f>
        <v>27.68848122899886</v>
      </c>
      <c r="DH72" s="21">
        <f>EXP(-LN(2)/2)*DH71+(1-EXP(-LN(2)/2))/(LN(2)/2)*DB72*DE72*VLOOKUP('Données projet'!$B$13,Paramètres!$A$1:$I$89,3,0)*0.475*44/12</f>
        <v>0.83418515705966978</v>
      </c>
      <c r="DI72" s="22">
        <f t="shared" si="69"/>
        <v>147.9732322437514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3.8</v>
      </c>
      <c r="DO72" s="12">
        <f>IF('Données projet'!$A$166&gt;35,DO71+DN72-DW71,IF(A72&lt;'Données projet'!$A$166,$DL$205^A72,IF(A72='Données projet'!$A$166,'Données projet'!$B$166,DO71+DN72-DW71)))</f>
        <v>259.19999999999987</v>
      </c>
      <c r="DP72" s="17">
        <f>DO72*VLOOKUP('Données projet'!$B$14,Paramètres!$A$1:$I$89,3,0)*VLOOKUP('Données projet'!$B$14,Paramètres!$A$1:$I$89,5,0)</f>
        <v>210.2630399999999</v>
      </c>
      <c r="DQ72" s="13">
        <f t="shared" si="97"/>
        <v>51.993062367907982</v>
      </c>
      <c r="DR72" s="20">
        <f t="shared" si="70"/>
        <v>456.7627116241062</v>
      </c>
      <c r="DS72" s="59">
        <f t="shared" si="71"/>
        <v>750.09604495743952</v>
      </c>
      <c r="DT72" s="59">
        <f ca="1">AVERAGE(OFFSET($DS$3,0,0,'Données projet'!$E$14+1,1))-AVERAGE(OFFSET($H$3,0,0,'Données projet'!$E$14+1,1))</f>
        <v>304.26232113495314</v>
      </c>
      <c r="DU72" s="59">
        <f t="shared" si="98"/>
        <v>297.47246687305056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11.505708778721361</v>
      </c>
      <c r="EB72" s="21">
        <f>EXP(-LN(2)/25)*EB71+(1-EXP(-LN(2)/25))/(LN(2)/25)*Calculateur!DW72*Calculateur!DY72*VLOOKUP('Données projet'!$B$14,Paramètres!$A$1:$I$89,3,0)*0.475*44/12</f>
        <v>3.9220286925669705</v>
      </c>
      <c r="EC72" s="21">
        <f>EXP(-LN(2)/2)*EC71+(1-EXP(-LN(2)/2))/(LN(2)/2)*DW72*DZ72*VLOOKUP('Données projet'!$B$14,Paramètres!$A$1:$I$89,3,0)*0.475*44/12</f>
        <v>0.78571428696748125</v>
      </c>
      <c r="ED72" s="22">
        <f t="shared" si="72"/>
        <v>16.213451758255811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3.8</v>
      </c>
      <c r="EJ72" s="12">
        <f>IF('Données projet'!$A$192&gt;35,EJ71+EI72-ER71,IF(A72&lt;'Données projet'!$A$192,$EG$205^A72,IF(A72='Données projet'!$A$192,'Données projet'!$B$192,EJ71+EI72-ER71)))</f>
        <v>259.19999999999987</v>
      </c>
      <c r="EK72" s="17">
        <f>EJ72*VLOOKUP('Données projet'!$B$15,Paramètres!$A$1:$I$89,3,0)*VLOOKUP('Données projet'!$B$15,Paramètres!$A$1:$I$89,5,0)</f>
        <v>250.69823999999988</v>
      </c>
      <c r="EL72" s="13">
        <f t="shared" si="99"/>
        <v>60.735434160476743</v>
      </c>
      <c r="EM72" s="20">
        <f t="shared" si="73"/>
        <v>542.4136491628301</v>
      </c>
      <c r="EN72" s="59">
        <f t="shared" si="74"/>
        <v>835.74698249616335</v>
      </c>
      <c r="EO72" s="59">
        <f ca="1">AVERAGE(OFFSET($EN$3,0,0,'Données projet'!$E$15+1,1))-AVERAGE(OFFSET($H$3,0,0,'Données projet'!$E$15+1,1))</f>
        <v>355.72173590705142</v>
      </c>
      <c r="EP72" s="59">
        <f t="shared" si="100"/>
        <v>346.30980704469363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11.129978085657168</v>
      </c>
      <c r="EW72" s="21">
        <f>EXP(-LN(2)/25)*EW71+(1-EXP(-LN(2)/25))/(LN(2)/25)*Calculateur!ER72*Calculateur!ET72*VLOOKUP('Données projet'!$B$15,Paramètres!$A$1:$I$89,3,0)*0.475*44/12</f>
        <v>3.7939508325049127</v>
      </c>
      <c r="EX72" s="21">
        <f>EXP(-LN(2)/2)*EX71+(1-EXP(-LN(2)/2))/(LN(2)/2)*ER72*EU72*VLOOKUP('Données projet'!$B$15,Paramètres!$A$1:$I$89,3,0)*0.475*44/12</f>
        <v>0.93681318830738125</v>
      </c>
      <c r="EY72" s="22">
        <f t="shared" si="75"/>
        <v>15.860742106469461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3.8</v>
      </c>
      <c r="FE72" s="12">
        <f>IF('Données projet'!$A$218&gt;35,FE71+FD72-FM71,IF(A72&lt;'Données projet'!$A$218,$FB$205^A72,IF(A72='Données projet'!$A$218,'Données projet'!$B$218,FE71+FD72-FM71)))</f>
        <v>259.19999999999987</v>
      </c>
      <c r="FF72" s="17">
        <f>FE72*VLOOKUP('Données projet'!$B$16,Paramètres!$A$1:$I$89,3,0)*VLOOKUP('Données projet'!$B$16,Paramètres!$A$1:$I$89,5,0)</f>
        <v>190.04543999999993</v>
      </c>
      <c r="FG72" s="13">
        <f t="shared" si="101"/>
        <v>47.549998850241536</v>
      </c>
      <c r="FH72" s="20">
        <f t="shared" si="76"/>
        <v>413.81205599750388</v>
      </c>
      <c r="FI72" s="59">
        <f t="shared" si="77"/>
        <v>707.14538933083713</v>
      </c>
      <c r="FJ72" s="59">
        <f ca="1">AVERAGE(OFFSET($FI$3,0,0,'Données projet'!$E$16+1,1))-AVERAGE(OFFSET($H$3,0,0,'Données projet'!$E$16+1,1))</f>
        <v>278.45534008146865</v>
      </c>
      <c r="FK72" s="59">
        <f t="shared" si="102"/>
        <v>272.97841038165217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8.4372414520304311</v>
      </c>
      <c r="FR72" s="21">
        <f>EXP(-LN(2)/25)*FR71+(1-EXP(-LN(2)/25))/(LN(2)/25)*Calculateur!FM72*Calculateur!FO72*VLOOKUP('Données projet'!$B$16,Paramètres!$A$1:$I$89,3,0)*0.475*44/12</f>
        <v>2.8760595020601762</v>
      </c>
      <c r="FS72" s="21">
        <f>EXP(-LN(2)/2)*FS71+(1-EXP(-LN(2)/2))/(LN(2)/2)*FM72*FP72*VLOOKUP('Données projet'!$B$16,Paramètres!$A$1:$I$89,3,0)*0.475*44/12</f>
        <v>0.7101648362975308</v>
      </c>
      <c r="FT72" s="22">
        <f t="shared" si="78"/>
        <v>12.023465790388139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6.333333333333333</v>
      </c>
      <c r="N73" s="13">
        <f>IF('Données projet'!$A$36&gt;35,N72+M73-V72,IF(A73&lt;'Données projet'!$A$36,$K$205^A73,IF(A73='Données projet'!$A$36,'Données projet'!$B$36,N72+M73-V72)))</f>
        <v>176.33333333333337</v>
      </c>
      <c r="O73" s="13">
        <f>N73*VLOOKUP('Données projet'!$B$9,Paramètres!$A$1:$I$89,3,0)*VLOOKUP('Données projet'!$B$9,Paramètres!$A$1:$I$89,5,0)</f>
        <v>159.54640000000003</v>
      </c>
      <c r="P73" s="13">
        <f t="shared" si="87"/>
        <v>40.740187761744636</v>
      </c>
      <c r="Q73" s="20">
        <f t="shared" si="54"/>
        <v>348.83247368503862</v>
      </c>
      <c r="R73" s="59">
        <f t="shared" si="55"/>
        <v>642.16580701837188</v>
      </c>
      <c r="S73" s="59">
        <f ca="1">AVERAGE(OFFSET($R$3,0,0,'Données projet'!$E$9+1,1))-AVERAGE(OFFSET($H$3,0,0,'Données projet'!$E$9+1,1))</f>
        <v>436.03161778768742</v>
      </c>
      <c r="T73" s="59">
        <f t="shared" si="88"/>
        <v>217.65884352525285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18.540354795977681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18.540354795977681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6.333333333333333</v>
      </c>
      <c r="AI73" s="13">
        <f>IF('Données projet'!$A$62&gt;35,AI72+AH73-AQ72,IF(A73&lt;'Données projet'!$A$62,$AF$205^A73,IF(A73='Données projet'!$A$62,'Données projet'!$B$62,AI72+AH73-AQ72)))</f>
        <v>176.33333333333337</v>
      </c>
      <c r="AJ73" s="13">
        <f>AI73*VLOOKUP('Données projet'!$B$10,Paramètres!$A$1:$I$89,3,0)*VLOOKUP('Données projet'!$B$10,Paramètres!$A$1:$I$89,5,0)</f>
        <v>178.80200000000005</v>
      </c>
      <c r="AK73" s="13">
        <f t="shared" si="89"/>
        <v>45.055549739375941</v>
      </c>
      <c r="AL73" s="20">
        <f t="shared" si="58"/>
        <v>389.8852324627465</v>
      </c>
      <c r="AM73" s="59">
        <f t="shared" si="59"/>
        <v>683.21856579607982</v>
      </c>
      <c r="AN73" s="59">
        <f ca="1">AVERAGE(OFFSET($AM$3,0,0,'Données projet'!$E$10+1,1))-AVERAGE(OFFSET($H$3,0,0,'Données projet'!$E$10+1,1))</f>
        <v>483.45320081988984</v>
      </c>
      <c r="AO73" s="59">
        <f t="shared" si="90"/>
        <v>238.92443174298893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20.77798382307844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20.77798382307844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249</v>
      </c>
      <c r="BB73" s="12">
        <f>VLOOKUP(A73,'Données projet'!$A$87:$I$107,9,0)</f>
        <v>3.3</v>
      </c>
      <c r="BC73" s="12">
        <f t="array" ref="BC73">INDEX(BB:BB,MIN(IF(ISNUMBER(BB73:BB269),ROW(BB73:BB269),"")))</f>
        <v>3.3</v>
      </c>
      <c r="BD73" s="12">
        <f>IF('Données projet'!$A$88&gt;35,BD72+BC73-BL72,IF(A73&lt;'Données projet'!$A$88,$BA$205^A73,IF(A73='Données projet'!$A$88,'Données projet'!$B$88,BD72+BC73-BL72)))</f>
        <v>249.00000000000017</v>
      </c>
      <c r="BE73" s="13">
        <f>BD73*VLOOKUP('Données projet'!$B$11,Paramètres!$A$1:$I$89,3,0)*VLOOKUP('Données projet'!$B$11,Paramètres!$A$1:$I$89,5,0)</f>
        <v>217.52640000000019</v>
      </c>
      <c r="BF73" s="13">
        <f t="shared" si="91"/>
        <v>53.576907690651304</v>
      </c>
      <c r="BG73" s="20">
        <f t="shared" si="61"/>
        <v>472.17159422788467</v>
      </c>
      <c r="BH73" s="59">
        <f t="shared" si="62"/>
        <v>765.50492756121798</v>
      </c>
      <c r="BI73" s="59">
        <f ca="1">AVERAGE(OFFSET($BH$3,0,0,'Données projet'!$E$11+1,1))-AVERAGE(OFFSET($H$3,0,0,'Données projet'!$E$11+1,1))</f>
        <v>310.44153296396854</v>
      </c>
      <c r="BJ73" s="59">
        <f t="shared" si="92"/>
        <v>388.05195847800502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249</v>
      </c>
      <c r="BM73" s="16">
        <f>IF(ISNA(VLOOKUP(A73,'Données projet'!$A$87:$I$107,5,0)),0%,VLOOKUP(A73,'Données projet'!$A$87:$I$107,5,0)*VLOOKUP('Données projet'!$B$11,Paramètres!$A$1:$I$89,7,0))</f>
        <v>0.30099999999999999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0.2</v>
      </c>
      <c r="BP73" s="21">
        <f>EXP(-LN(2)/35)*BP72+(1-EXP(-LN(2)/35))/(LN(2)/35)*BL73*BM73*VLOOKUP('Données projet'!$B$11,Paramètres!$A$1:$I$89,3,0)*0.475*44/12</f>
        <v>81.364452003568232</v>
      </c>
      <c r="BQ73" s="21">
        <f>EXP(-LN(2)/25)*BQ72+(1-EXP(-LN(2)/25))/(LN(2)/25)*Calculateur!BL73*Calculateur!BN73*VLOOKUP('Données projet'!$B$11,Paramètres!$A$1:$I$89,3,0)*0.475*44/12</f>
        <v>5.3045446658585078</v>
      </c>
      <c r="BR73" s="21">
        <f>EXP(-LN(2)/2)*BR72+(1-EXP(-LN(2)/2))/(LN(2)/2)*BL73*BO73*VLOOKUP('Données projet'!$B$11,Paramètres!$A$1:$I$89,3,0)*0.475*44/12</f>
        <v>41.190608966118361</v>
      </c>
      <c r="BS73" s="22">
        <f t="shared" si="63"/>
        <v>127.85960563554511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-2.2737367544323206E-13</v>
      </c>
      <c r="BZ73" s="13">
        <f>BY73*VLOOKUP('Données projet'!$B$12,Paramètres!$A$1:$I$89,3,0)*VLOOKUP('Données projet'!$B$12,Paramètres!$A$1:$I$89,5,0)</f>
        <v>-1.2710188457276673E-13</v>
      </c>
      <c r="CA73" s="13" t="e">
        <f t="shared" si="93"/>
        <v>#NUM!</v>
      </c>
      <c r="CB73" s="20" t="e">
        <f t="shared" si="64"/>
        <v>#NUM!</v>
      </c>
      <c r="CC73" s="59" t="e">
        <f t="shared" si="65"/>
        <v>#NUM!</v>
      </c>
      <c r="CD73" s="59">
        <f ca="1">AVERAGE(OFFSET($CC$3,0,0,'Données projet'!$E$12+1,1))-AVERAGE(OFFSET($H$3,0,0,'Données projet'!$E$12+1,1))</f>
        <v>443.34220761968419</v>
      </c>
      <c r="CE73" s="59">
        <f t="shared" si="94"/>
        <v>546.58234447298014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208.71472808106461</v>
      </c>
      <c r="CL73" s="21">
        <f>EXP(-LN(2)/25)*CL72+(1-EXP(-LN(2)/25))/(LN(2)/25)*Calculateur!CG73*Calculateur!CI73*VLOOKUP('Données projet'!$B$12,Paramètres!$A$1:$I$89,3,0)*0.475*44/12</f>
        <v>45.95261065028793</v>
      </c>
      <c r="CM73" s="21">
        <f>EXP(-LN(2)/2)*CM72+(1-EXP(-LN(2)/2))/(LN(2)/2)*CG73*CJ73*VLOOKUP('Données projet'!$B$12,Paramètres!$A$1:$I$89,3,0)*0.475*44/12</f>
        <v>1.3496378180980217</v>
      </c>
      <c r="CN73" s="22">
        <f t="shared" si="66"/>
        <v>256.01697654945059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>
        <f>CT73*VLOOKUP('Données projet'!$B$13,Paramètres!$A$1:$I$89,3,0)*VLOOKUP('Données projet'!$B$13,Paramètres!$A$1:$I$89,5,0)</f>
        <v>0</v>
      </c>
      <c r="CV73" s="13" t="e">
        <f t="shared" si="95"/>
        <v>#NUM!</v>
      </c>
      <c r="CW73" s="20" t="e">
        <f t="shared" si="67"/>
        <v>#NUM!</v>
      </c>
      <c r="CX73" s="59" t="e">
        <f t="shared" si="68"/>
        <v>#NUM!</v>
      </c>
      <c r="CY73" s="59">
        <f ca="1">AVERAGE(OFFSET($CX$3,0,0,'Données projet'!$E$13+1,1))-AVERAGE(OFFSET($H$3,0,0,'Données projet'!$E$13+1,1))</f>
        <v>214.22606988805535</v>
      </c>
      <c r="CZ73" s="59">
        <f t="shared" si="96"/>
        <v>305.78163836959078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117.1082131188746</v>
      </c>
      <c r="DG73" s="21">
        <f>EXP(-LN(2)/25)*DG72+(1-EXP(-LN(2)/25))/(LN(2)/25)*Calculateur!DB73*Calculateur!DD73*VLOOKUP('Données projet'!$B$13,Paramètres!$A$1:$I$89,3,0)*0.475*44/12</f>
        <v>26.931338253717943</v>
      </c>
      <c r="DH73" s="21">
        <f>EXP(-LN(2)/2)*DH72+(1-EXP(-LN(2)/2))/(LN(2)/2)*DB73*DE73*VLOOKUP('Données projet'!$B$13,Paramètres!$A$1:$I$89,3,0)*0.475*44/12</f>
        <v>0.58985798132205769</v>
      </c>
      <c r="DI73" s="22">
        <f t="shared" si="69"/>
        <v>144.62940935391461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263</v>
      </c>
      <c r="DM73" s="12">
        <f>VLOOKUP(A73,'Données projet'!$A$165:$I$185,9,0)</f>
        <v>3.8</v>
      </c>
      <c r="DN73" s="12">
        <f t="array" ref="DN73">INDEX(DM:DM,MIN(IF(ISNUMBER(DM73:DM269),ROW(DM73:DM269),"")))</f>
        <v>3.8</v>
      </c>
      <c r="DO73" s="12">
        <f>IF('Données projet'!$A$166&gt;35,DO72+DN73-DW72,IF(A73&lt;'Données projet'!$A$166,$DL$205^A73,IF(A73='Données projet'!$A$166,'Données projet'!$B$166,DO72+DN73-DW72)))</f>
        <v>262.99999999999989</v>
      </c>
      <c r="DP73" s="17">
        <f>DO73*VLOOKUP('Données projet'!$B$14,Paramètres!$A$1:$I$89,3,0)*VLOOKUP('Données projet'!$B$14,Paramètres!$A$1:$I$89,5,0)</f>
        <v>213.34559999999991</v>
      </c>
      <c r="DQ73" s="13">
        <f t="shared" si="97"/>
        <v>52.666009577179437</v>
      </c>
      <c r="DR73" s="20">
        <f t="shared" si="70"/>
        <v>463.30355334692064</v>
      </c>
      <c r="DS73" s="59">
        <f t="shared" si="71"/>
        <v>756.63688668025395</v>
      </c>
      <c r="DT73" s="59">
        <f ca="1">AVERAGE(OFFSET($DS$3,0,0,'Données projet'!$E$14+1,1))-AVERAGE(OFFSET($H$3,0,0,'Données projet'!$E$14+1,1))</f>
        <v>304.26232113495314</v>
      </c>
      <c r="DU73" s="59">
        <f t="shared" si="98"/>
        <v>297.47246687305056</v>
      </c>
      <c r="DV73" s="15">
        <f>IF(ISNA(VLOOKUP(A73,'Données projet'!$A$165:$I$185,3,0)),0,VLOOKUP(A73,'Données projet'!$A$165:$I$185,3,0))</f>
        <v>12</v>
      </c>
      <c r="DW73" s="15">
        <f>IF(ISNA(VLOOKUP(A73,'Données projet'!$A$165:$I$185,4,0)),0,VLOOKUP(A73,'Données projet'!$A$165:$I$185,4,0))</f>
        <v>10</v>
      </c>
      <c r="DX73" s="16">
        <f>IF(ISNA(VLOOKUP(A73,'Données projet'!$A$165:$I$185,5,0)),0%,VLOOKUP(A73,'Données projet'!$A$165:$I$185,5,0)*VLOOKUP('Données projet'!$B$14,Paramètres!$A$1:$I$89,7,0))</f>
        <v>0.26500000000000001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0.3</v>
      </c>
      <c r="EA73" s="21">
        <f>EXP(-LN(2)/35)*EA72+(1-EXP(-LN(2)/35))/(LN(2)/35)*DW73*DX73*VLOOKUP('Données projet'!$B$14,Paramètres!$A$1:$I$89,3,0)*0.475*44/12</f>
        <v>13.656496412834432</v>
      </c>
      <c r="EB73" s="21">
        <f>EXP(-LN(2)/25)*EB72+(1-EXP(-LN(2)/25))/(LN(2)/25)*Calculateur!DW73*Calculateur!DY73*VLOOKUP('Données projet'!$B$14,Paramètres!$A$1:$I$89,3,0)*0.475*44/12</f>
        <v>3.8147806117182017</v>
      </c>
      <c r="EC73" s="21">
        <f>EXP(-LN(2)/2)*EC72+(1-EXP(-LN(2)/2))/(LN(2)/2)*DW73*DZ73*VLOOKUP('Données projet'!$B$14,Paramètres!$A$1:$I$89,3,0)*0.475*44/12</f>
        <v>2.851750999773532</v>
      </c>
      <c r="ED73" s="22">
        <f t="shared" si="72"/>
        <v>20.323028024326167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263</v>
      </c>
      <c r="EH73" s="12">
        <f>VLOOKUP(A73,'Données projet'!$A$191:$I$211,9,0)</f>
        <v>3.8</v>
      </c>
      <c r="EI73" s="12">
        <f t="array" ref="EI73">INDEX(EH:EH,MIN(IF(ISNUMBER(EH73:EH269),ROW(EH73:EH269),"")))</f>
        <v>3.8</v>
      </c>
      <c r="EJ73" s="12">
        <f>IF('Données projet'!$A$192&gt;35,EJ72+EI73-ER72,IF(A73&lt;'Données projet'!$A$192,$EG$205^A73,IF(A73='Données projet'!$A$192,'Données projet'!$B$192,EJ72+EI73-ER72)))</f>
        <v>262.99999999999989</v>
      </c>
      <c r="EK73" s="17">
        <f>EJ73*VLOOKUP('Données projet'!$B$15,Paramètres!$A$1:$I$89,3,0)*VLOOKUP('Données projet'!$B$15,Paramètres!$A$1:$I$89,5,0)</f>
        <v>254.37359999999987</v>
      </c>
      <c r="EL73" s="13">
        <f t="shared" si="99"/>
        <v>61.521534056516153</v>
      </c>
      <c r="EM73" s="20">
        <f t="shared" si="73"/>
        <v>550.18402514843217</v>
      </c>
      <c r="EN73" s="59">
        <f t="shared" si="74"/>
        <v>843.51735848176554</v>
      </c>
      <c r="EO73" s="59">
        <f ca="1">AVERAGE(OFFSET($EN$3,0,0,'Données projet'!$E$15+1,1))-AVERAGE(OFFSET($H$3,0,0,'Données projet'!$E$15+1,1))</f>
        <v>355.72173590705142</v>
      </c>
      <c r="EP73" s="59">
        <f t="shared" si="100"/>
        <v>346.30980704469363</v>
      </c>
      <c r="EQ73" s="15">
        <f>IF(ISNA(VLOOKUP(A73,'Données projet'!$A$191:$I$211,3,0)),0,VLOOKUP(A73,'Données projet'!$A$191:$I$211,3,0))</f>
        <v>12</v>
      </c>
      <c r="ER73" s="15">
        <f>IF(ISNA(VLOOKUP(A73,'Données projet'!$A$191:$I$211,4,0)),0,VLOOKUP(A73,'Données projet'!$A$191:$I$211,4,0))</f>
        <v>10</v>
      </c>
      <c r="ES73" s="16">
        <f>IF(ISNA(VLOOKUP(A73,'Données projet'!$A$191:$I$211,5,0)),0%,VLOOKUP(A73,'Données projet'!$A$191:$I$211,5,0)*VLOOKUP('Données projet'!$B$15,Paramètres!$A$1:$I$89,7,0))</f>
        <v>0.215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0.3</v>
      </c>
      <c r="EV73" s="21">
        <f>EXP(-LN(2)/35)*EV72+(1-EXP(-LN(2)/35))/(LN(2)/35)*ER73*ES73*VLOOKUP('Données projet'!$B$15,Paramètres!$A$1:$I$89,3,0)*0.475*44/12</f>
        <v>13.210529548844923</v>
      </c>
      <c r="EW73" s="21">
        <f>EXP(-LN(2)/25)*EW72+(1-EXP(-LN(2)/25))/(LN(2)/25)*Calculateur!ER73*Calculateur!ET73*VLOOKUP('Données projet'!$B$15,Paramètres!$A$1:$I$89,3,0)*0.475*44/12</f>
        <v>3.6902050474748629</v>
      </c>
      <c r="EX73" s="21">
        <f>EXP(-LN(2)/2)*EX72+(1-EXP(-LN(2)/2))/(LN(2)/2)*ER73*EU73*VLOOKUP('Données projet'!$B$15,Paramètres!$A$1:$I$89,3,0)*0.475*44/12</f>
        <v>3.4001646535761338</v>
      </c>
      <c r="EY73" s="22">
        <f t="shared" si="75"/>
        <v>20.30089924989592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263</v>
      </c>
      <c r="FC73" s="12">
        <f>VLOOKUP(A73,'Données projet'!$A$217:$I$237,9,0)</f>
        <v>3.8</v>
      </c>
      <c r="FD73" s="12">
        <f t="array" ref="FD73">INDEX(FC:FC,MIN(IF(ISNUMBER(FC73:FC269),ROW(FC73:FC269),"")))</f>
        <v>3.8</v>
      </c>
      <c r="FE73" s="12">
        <f>IF('Données projet'!$A$218&gt;35,FE72+FD73-FM72,IF(A73&lt;'Données projet'!$A$218,$FB$205^A73,IF(A73='Données projet'!$A$218,'Données projet'!$B$218,FE72+FD73-FM72)))</f>
        <v>262.99999999999989</v>
      </c>
      <c r="FF73" s="17">
        <f>FE73*VLOOKUP('Données projet'!$B$16,Paramètres!$A$1:$I$89,3,0)*VLOOKUP('Données projet'!$B$16,Paramètres!$A$1:$I$89,5,0)</f>
        <v>192.83159999999992</v>
      </c>
      <c r="FG73" s="13">
        <f t="shared" si="101"/>
        <v>48.165439402688776</v>
      </c>
      <c r="FH73" s="20">
        <f t="shared" si="76"/>
        <v>419.73651029301612</v>
      </c>
      <c r="FI73" s="59">
        <f t="shared" si="77"/>
        <v>713.06984362634944</v>
      </c>
      <c r="FJ73" s="59">
        <f ca="1">AVERAGE(OFFSET($FI$3,0,0,'Données projet'!$E$16+1,1))-AVERAGE(OFFSET($H$3,0,0,'Données projet'!$E$16+1,1))</f>
        <v>278.45534008146865</v>
      </c>
      <c r="FK73" s="59">
        <f t="shared" si="102"/>
        <v>272.97841038165217</v>
      </c>
      <c r="FL73" s="15">
        <f>IF(ISNA(VLOOKUP(A73,'Données projet'!$A$217:$I$237,3,0)),0,VLOOKUP(A73,'Données projet'!$A$217:$I$237,3,0))</f>
        <v>12</v>
      </c>
      <c r="FM73" s="15">
        <f>IF(ISNA(VLOOKUP(A73,'Données projet'!$A$217:$I$237,4,0)),0,VLOOKUP(A73,'Données projet'!$A$217:$I$237,4,0))</f>
        <v>10</v>
      </c>
      <c r="FN73" s="16">
        <f>IF(ISNA(VLOOKUP(A73,'Données projet'!$A$217:$I$237,5,0)),0%,VLOOKUP(A73,'Données projet'!$A$217:$I$237,5,0)*VLOOKUP('Données projet'!$B$16,Paramètres!$A$1:$I$89,7,0))</f>
        <v>0.215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0.3</v>
      </c>
      <c r="FQ73" s="21">
        <f>EXP(-LN(2)/35)*FQ72+(1-EXP(-LN(2)/35))/(LN(2)/35)*FM73*FN73*VLOOKUP('Données projet'!$B$16,Paramètres!$A$1:$I$89,3,0)*0.475*44/12</f>
        <v>10.014433690253405</v>
      </c>
      <c r="FR73" s="21">
        <f>EXP(-LN(2)/25)*FR72+(1-EXP(-LN(2)/25))/(LN(2)/25)*Calculateur!FM73*Calculateur!FO73*VLOOKUP('Données projet'!$B$16,Paramètres!$A$1:$I$89,3,0)*0.475*44/12</f>
        <v>2.7974135037309447</v>
      </c>
      <c r="FS73" s="21">
        <f>EXP(-LN(2)/2)*FS72+(1-EXP(-LN(2)/2))/(LN(2)/2)*FM73*FP73*VLOOKUP('Données projet'!$B$16,Paramètres!$A$1:$I$89,3,0)*0.475*44/12</f>
        <v>2.5775441728722299</v>
      </c>
      <c r="FT73" s="22">
        <f t="shared" si="78"/>
        <v>15.389391366856579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6.333333333333333</v>
      </c>
      <c r="N74" s="13">
        <f>IF('Données projet'!$A$36&gt;35,N73+M74-V73,IF(A74&lt;'Données projet'!$A$36,$K$205^A74,IF(A74='Données projet'!$A$36,'Données projet'!$B$36,N73+M74-V73)))</f>
        <v>182.66666666666671</v>
      </c>
      <c r="O74" s="13">
        <f>N74*VLOOKUP('Données projet'!$B$9,Paramètres!$A$1:$I$89,3,0)*VLOOKUP('Données projet'!$B$9,Paramètres!$A$1:$I$89,5,0)</f>
        <v>165.27680000000004</v>
      </c>
      <c r="P74" s="13">
        <f t="shared" si="87"/>
        <v>42.030455427335696</v>
      </c>
      <c r="Q74" s="20">
        <f t="shared" si="54"/>
        <v>361.06013653594306</v>
      </c>
      <c r="R74" s="59">
        <f t="shared" si="55"/>
        <v>654.39346986927637</v>
      </c>
      <c r="S74" s="59">
        <f ca="1">AVERAGE(OFFSET($R$3,0,0,'Données projet'!$E$9+1,1))-AVERAGE(OFFSET($H$3,0,0,'Données projet'!$E$9+1,1))</f>
        <v>436.03161778768742</v>
      </c>
      <c r="T74" s="59">
        <f t="shared" si="88"/>
        <v>217.65884352525285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18.033367819086788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18.033367819086788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6.333333333333333</v>
      </c>
      <c r="AI74" s="13">
        <f>IF('Données projet'!$A$62&gt;35,AI73+AH74-AQ73,IF(A74&lt;'Données projet'!$A$62,$AF$205^A74,IF(A74='Données projet'!$A$62,'Données projet'!$B$62,AI73+AH74-AQ73)))</f>
        <v>182.66666666666671</v>
      </c>
      <c r="AJ74" s="13">
        <f>AI74*VLOOKUP('Données projet'!$B$10,Paramètres!$A$1:$I$89,3,0)*VLOOKUP('Données projet'!$B$10,Paramètres!$A$1:$I$89,5,0)</f>
        <v>185.22400000000005</v>
      </c>
      <c r="AK74" s="13">
        <f t="shared" si="89"/>
        <v>46.482487664260383</v>
      </c>
      <c r="AL74" s="20">
        <f t="shared" si="58"/>
        <v>403.55546601525361</v>
      </c>
      <c r="AM74" s="59">
        <f t="shared" si="59"/>
        <v>696.88879934858687</v>
      </c>
      <c r="AN74" s="59">
        <f ca="1">AVERAGE(OFFSET($AM$3,0,0,'Données projet'!$E$10+1,1))-AVERAGE(OFFSET($H$3,0,0,'Données projet'!$E$10+1,1))</f>
        <v>483.45320081988984</v>
      </c>
      <c r="AO74" s="59">
        <f t="shared" si="90"/>
        <v>238.92443174298893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20.209808762769679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20.209808762769679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1.7053025658242404E-13</v>
      </c>
      <c r="BE74" s="13">
        <f>BD74*VLOOKUP('Données projet'!$B$11,Paramètres!$A$1:$I$89,3,0)*VLOOKUP('Données projet'!$B$11,Paramètres!$A$1:$I$89,5,0)</f>
        <v>1.4897523215040567E-13</v>
      </c>
      <c r="BF74" s="13">
        <f t="shared" si="91"/>
        <v>2.136562777003313E-12</v>
      </c>
      <c r="BG74" s="20">
        <f t="shared" si="61"/>
        <v>3.9806453659427267E-12</v>
      </c>
      <c r="BH74" s="59">
        <f t="shared" si="62"/>
        <v>293.33333333333729</v>
      </c>
      <c r="BI74" s="59">
        <f ca="1">AVERAGE(OFFSET($BH$3,0,0,'Données projet'!$E$11+1,1))-AVERAGE(OFFSET($H$3,0,0,'Données projet'!$E$11+1,1))</f>
        <v>310.44153296396854</v>
      </c>
      <c r="BJ74" s="59">
        <f t="shared" si="92"/>
        <v>388.05195847800502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79.768944727193684</v>
      </c>
      <c r="BQ74" s="21">
        <f>EXP(-LN(2)/25)*BQ73+(1-EXP(-LN(2)/25))/(LN(2)/25)*Calculateur!BL74*Calculateur!BN74*VLOOKUP('Données projet'!$B$11,Paramètres!$A$1:$I$89,3,0)*0.475*44/12</f>
        <v>5.1594916130167263</v>
      </c>
      <c r="BR74" s="21">
        <f>EXP(-LN(2)/2)*BR73+(1-EXP(-LN(2)/2))/(LN(2)/2)*BL74*BO74*VLOOKUP('Données projet'!$B$11,Paramètres!$A$1:$I$89,3,0)*0.475*44/12</f>
        <v>29.126158921145702</v>
      </c>
      <c r="BS74" s="22">
        <f t="shared" si="63"/>
        <v>114.05459526135611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-2.2737367544323206E-13</v>
      </c>
      <c r="BZ74" s="13">
        <f>BY74*VLOOKUP('Données projet'!$B$12,Paramètres!$A$1:$I$89,3,0)*VLOOKUP('Données projet'!$B$12,Paramètres!$A$1:$I$89,5,0)</f>
        <v>-1.2710188457276673E-13</v>
      </c>
      <c r="CA74" s="13" t="e">
        <f t="shared" si="93"/>
        <v>#NUM!</v>
      </c>
      <c r="CB74" s="20" t="e">
        <f t="shared" si="64"/>
        <v>#NUM!</v>
      </c>
      <c r="CC74" s="59" t="e">
        <f t="shared" si="65"/>
        <v>#NUM!</v>
      </c>
      <c r="CD74" s="59">
        <f ca="1">AVERAGE(OFFSET($CC$3,0,0,'Données projet'!$E$12+1,1))-AVERAGE(OFFSET($H$3,0,0,'Données projet'!$E$12+1,1))</f>
        <v>443.34220761968419</v>
      </c>
      <c r="CE74" s="59">
        <f t="shared" si="94"/>
        <v>546.58234447298014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204.6219595668089</v>
      </c>
      <c r="CL74" s="21">
        <f>EXP(-LN(2)/25)*CL73+(1-EXP(-LN(2)/25))/(LN(2)/25)*Calculateur!CG74*Calculateur!CI74*VLOOKUP('Données projet'!$B$12,Paramètres!$A$1:$I$89,3,0)*0.475*44/12</f>
        <v>44.696034095513042</v>
      </c>
      <c r="CM74" s="21">
        <f>EXP(-LN(2)/2)*CM73+(1-EXP(-LN(2)/2))/(LN(2)/2)*CG74*CJ74*VLOOKUP('Données projet'!$B$12,Paramètres!$A$1:$I$89,3,0)*0.475*44/12</f>
        <v>0.95433805332292732</v>
      </c>
      <c r="CN74" s="22">
        <f t="shared" si="66"/>
        <v>250.27233171564487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>
        <f>CT74*VLOOKUP('Données projet'!$B$13,Paramètres!$A$1:$I$89,3,0)*VLOOKUP('Données projet'!$B$13,Paramètres!$A$1:$I$89,5,0)</f>
        <v>0</v>
      </c>
      <c r="CV74" s="13" t="e">
        <f t="shared" si="95"/>
        <v>#NUM!</v>
      </c>
      <c r="CW74" s="20" t="e">
        <f t="shared" si="67"/>
        <v>#NUM!</v>
      </c>
      <c r="CX74" s="59" t="e">
        <f t="shared" si="68"/>
        <v>#NUM!</v>
      </c>
      <c r="CY74" s="59">
        <f ca="1">AVERAGE(OFFSET($CX$3,0,0,'Données projet'!$E$13+1,1))-AVERAGE(OFFSET($H$3,0,0,'Données projet'!$E$13+1,1))</f>
        <v>214.22606988805535</v>
      </c>
      <c r="CZ74" s="59">
        <f t="shared" si="96"/>
        <v>305.78163836959078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114.81179248857045</v>
      </c>
      <c r="DG74" s="21">
        <f>EXP(-LN(2)/25)*DG73+(1-EXP(-LN(2)/25))/(LN(2)/25)*Calculateur!DB74*Calculateur!DD74*VLOOKUP('Données projet'!$B$13,Paramètres!$A$1:$I$89,3,0)*0.475*44/12</f>
        <v>26.1948993929125</v>
      </c>
      <c r="DH74" s="21">
        <f>EXP(-LN(2)/2)*DH73+(1-EXP(-LN(2)/2))/(LN(2)/2)*DB74*DE74*VLOOKUP('Données projet'!$B$13,Paramètres!$A$1:$I$89,3,0)*0.475*44/12</f>
        <v>0.41709257852983489</v>
      </c>
      <c r="DI74" s="22">
        <f t="shared" si="69"/>
        <v>141.42378446001277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3.4</v>
      </c>
      <c r="DO74" s="12">
        <f>IF('Données projet'!$A$166&gt;35,DO73+DN74-DW73,IF(A74&lt;'Données projet'!$A$166,$DL$205^A74,IF(A74='Données projet'!$A$166,'Données projet'!$B$166,DO73+DN74-DW73)))</f>
        <v>256.39999999999986</v>
      </c>
      <c r="DP74" s="17">
        <f>DO74*VLOOKUP('Données projet'!$B$14,Paramètres!$A$1:$I$89,3,0)*VLOOKUP('Données projet'!$B$14,Paramètres!$A$1:$I$89,5,0)</f>
        <v>207.99167999999992</v>
      </c>
      <c r="DQ74" s="13">
        <f t="shared" si="97"/>
        <v>51.496472105486831</v>
      </c>
      <c r="DR74" s="20">
        <f t="shared" si="70"/>
        <v>451.94186491705608</v>
      </c>
      <c r="DS74" s="59">
        <f t="shared" si="71"/>
        <v>745.27519825038939</v>
      </c>
      <c r="DT74" s="59">
        <f ca="1">AVERAGE(OFFSET($DS$3,0,0,'Données projet'!$E$14+1,1))-AVERAGE(OFFSET($H$3,0,0,'Données projet'!$E$14+1,1))</f>
        <v>304.26232113495314</v>
      </c>
      <c r="DU74" s="59">
        <f t="shared" si="98"/>
        <v>297.47246687305056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13.388700847819077</v>
      </c>
      <c r="EB74" s="21">
        <f>EXP(-LN(2)/25)*EB73+(1-EXP(-LN(2)/25))/(LN(2)/25)*Calculateur!DW74*Calculateur!DY74*VLOOKUP('Données projet'!$B$14,Paramètres!$A$1:$I$89,3,0)*0.475*44/12</f>
        <v>3.7104652352801737</v>
      </c>
      <c r="EC74" s="21">
        <f>EXP(-LN(2)/2)*EC73+(1-EXP(-LN(2)/2))/(LN(2)/2)*DW74*DZ74*VLOOKUP('Données projet'!$B$14,Paramètres!$A$1:$I$89,3,0)*0.475*44/12</f>
        <v>2.0164924701953812</v>
      </c>
      <c r="ED74" s="22">
        <f t="shared" si="72"/>
        <v>19.115658553294633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3.4</v>
      </c>
      <c r="EJ74" s="12">
        <f>IF('Données projet'!$A$192&gt;35,EJ73+EI74-ER73,IF(A74&lt;'Données projet'!$A$192,$EG$205^A74,IF(A74='Données projet'!$A$192,'Données projet'!$B$192,EJ73+EI74-ER73)))</f>
        <v>256.39999999999986</v>
      </c>
      <c r="EK74" s="17">
        <f>EJ74*VLOOKUP('Données projet'!$B$15,Paramètres!$A$1:$I$89,3,0)*VLOOKUP('Données projet'!$B$15,Paramètres!$A$1:$I$89,5,0)</f>
        <v>247.99007999999986</v>
      </c>
      <c r="EL74" s="13">
        <f t="shared" si="99"/>
        <v>60.155344744419764</v>
      </c>
      <c r="EM74" s="20">
        <f t="shared" si="73"/>
        <v>536.68661476319755</v>
      </c>
      <c r="EN74" s="59">
        <f t="shared" si="74"/>
        <v>830.01994809653092</v>
      </c>
      <c r="EO74" s="59">
        <f ca="1">AVERAGE(OFFSET($EN$3,0,0,'Données projet'!$E$15+1,1))-AVERAGE(OFFSET($H$3,0,0,'Données projet'!$E$15+1,1))</f>
        <v>355.72173590705142</v>
      </c>
      <c r="EP74" s="59">
        <f t="shared" si="100"/>
        <v>346.30980704469363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12.951479122019474</v>
      </c>
      <c r="EW74" s="21">
        <f>EXP(-LN(2)/25)*EW73+(1-EXP(-LN(2)/25))/(LN(2)/25)*Calculateur!ER74*Calculateur!ET74*VLOOKUP('Données projet'!$B$15,Paramètres!$A$1:$I$89,3,0)*0.475*44/12</f>
        <v>3.5892961963922132</v>
      </c>
      <c r="EX74" s="21">
        <f>EXP(-LN(2)/2)*EX73+(1-EXP(-LN(2)/2))/(LN(2)/2)*ER74*EU74*VLOOKUP('Données projet'!$B$15,Paramètres!$A$1:$I$89,3,0)*0.475*44/12</f>
        <v>2.4042794836944927</v>
      </c>
      <c r="EY74" s="22">
        <f t="shared" si="75"/>
        <v>18.945054802106178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3.4</v>
      </c>
      <c r="FE74" s="12">
        <f>IF('Données projet'!$A$218&gt;35,FE73+FD74-FM73,IF(A74&lt;'Données projet'!$A$218,$FB$205^A74,IF(A74='Données projet'!$A$218,'Données projet'!$B$218,FE73+FD74-FM73)))</f>
        <v>256.39999999999986</v>
      </c>
      <c r="FF74" s="17">
        <f>FE74*VLOOKUP('Données projet'!$B$16,Paramètres!$A$1:$I$89,3,0)*VLOOKUP('Données projet'!$B$16,Paramètres!$A$1:$I$89,5,0)</f>
        <v>187.99247999999989</v>
      </c>
      <c r="FG74" s="13">
        <f t="shared" si="101"/>
        <v>47.095844674053957</v>
      </c>
      <c r="FH74" s="20">
        <f t="shared" si="76"/>
        <v>409.44549880731046</v>
      </c>
      <c r="FI74" s="59">
        <f t="shared" si="77"/>
        <v>702.77883214064377</v>
      </c>
      <c r="FJ74" s="59">
        <f ca="1">AVERAGE(OFFSET($FI$3,0,0,'Données projet'!$E$16+1,1))-AVERAGE(OFFSET($H$3,0,0,'Données projet'!$E$16+1,1))</f>
        <v>278.45534008146865</v>
      </c>
      <c r="FK74" s="59">
        <f t="shared" si="102"/>
        <v>272.97841038165217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9.8180567537889516</v>
      </c>
      <c r="FR74" s="21">
        <f>EXP(-LN(2)/25)*FR73+(1-EXP(-LN(2)/25))/(LN(2)/25)*Calculateur!FM74*Calculateur!FO74*VLOOKUP('Données projet'!$B$16,Paramètres!$A$1:$I$89,3,0)*0.475*44/12</f>
        <v>2.7209180843618395</v>
      </c>
      <c r="FS74" s="21">
        <f>EXP(-LN(2)/2)*FS73+(1-EXP(-LN(2)/2))/(LN(2)/2)*FM74*FP74*VLOOKUP('Données projet'!$B$16,Paramètres!$A$1:$I$89,3,0)*0.475*44/12</f>
        <v>1.8225989634458246</v>
      </c>
      <c r="FT74" s="22">
        <f t="shared" si="78"/>
        <v>14.361573801596617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6.333333333333333</v>
      </c>
      <c r="N75" s="13">
        <f>IF('Données projet'!$A$36&gt;35,N74+M75-V74,IF(A75&lt;'Données projet'!$A$36,$K$205^A75,IF(A75='Données projet'!$A$36,'Données projet'!$B$36,N74+M75-V74)))</f>
        <v>189.00000000000006</v>
      </c>
      <c r="O75" s="13">
        <f>N75*VLOOKUP('Données projet'!$B$9,Paramètres!$A$1:$I$89,3,0)*VLOOKUP('Données projet'!$B$9,Paramètres!$A$1:$I$89,5,0)</f>
        <v>171.00720000000004</v>
      </c>
      <c r="P75" s="13">
        <f t="shared" si="87"/>
        <v>43.315525267338089</v>
      </c>
      <c r="Q75" s="20">
        <f t="shared" si="54"/>
        <v>373.27874650728057</v>
      </c>
      <c r="R75" s="59">
        <f t="shared" si="55"/>
        <v>666.61207984061389</v>
      </c>
      <c r="S75" s="59">
        <f ca="1">AVERAGE(OFFSET($R$3,0,0,'Données projet'!$E$9+1,1))-AVERAGE(OFFSET($H$3,0,0,'Données projet'!$E$9+1,1))</f>
        <v>436.03161778768742</v>
      </c>
      <c r="T75" s="59">
        <f t="shared" si="88"/>
        <v>217.65884352525285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17.540244427740262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17.540244427740262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6.333333333333333</v>
      </c>
      <c r="AI75" s="13">
        <f>IF('Données projet'!$A$62&gt;35,AI74+AH75-AQ74,IF(A75&lt;'Données projet'!$A$62,$AF$205^A75,IF(A75='Données projet'!$A$62,'Données projet'!$B$62,AI74+AH75-AQ74)))</f>
        <v>189.00000000000006</v>
      </c>
      <c r="AJ75" s="13">
        <f>AI75*VLOOKUP('Données projet'!$B$10,Paramètres!$A$1:$I$89,3,0)*VLOOKUP('Données projet'!$B$10,Paramètres!$A$1:$I$89,5,0)</f>
        <v>191.64600000000007</v>
      </c>
      <c r="AK75" s="13">
        <f t="shared" si="89"/>
        <v>47.903677189291635</v>
      </c>
      <c r="AL75" s="20">
        <f t="shared" si="58"/>
        <v>417.21568777134968</v>
      </c>
      <c r="AM75" s="59">
        <f t="shared" si="59"/>
        <v>710.54902110468299</v>
      </c>
      <c r="AN75" s="59">
        <f ca="1">AVERAGE(OFFSET($AM$3,0,0,'Données projet'!$E$10+1,1))-AVERAGE(OFFSET($H$3,0,0,'Données projet'!$E$10+1,1))</f>
        <v>483.45320081988984</v>
      </c>
      <c r="AO75" s="59">
        <f t="shared" si="90"/>
        <v>238.92443174298893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19.65717047936409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19.65717047936409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1.7053025658242404E-13</v>
      </c>
      <c r="BE75" s="13">
        <f>BD75*VLOOKUP('Données projet'!$B$11,Paramètres!$A$1:$I$89,3,0)*VLOOKUP('Données projet'!$B$11,Paramètres!$A$1:$I$89,5,0)</f>
        <v>1.4897523215040567E-13</v>
      </c>
      <c r="BF75" s="13">
        <f t="shared" si="91"/>
        <v>2.136562777003313E-12</v>
      </c>
      <c r="BG75" s="20">
        <f t="shared" si="61"/>
        <v>3.9806453659427267E-12</v>
      </c>
      <c r="BH75" s="59">
        <f t="shared" si="62"/>
        <v>293.33333333333729</v>
      </c>
      <c r="BI75" s="59">
        <f ca="1">AVERAGE(OFFSET($BH$3,0,0,'Données projet'!$E$11+1,1))-AVERAGE(OFFSET($H$3,0,0,'Données projet'!$E$11+1,1))</f>
        <v>310.44153296396854</v>
      </c>
      <c r="BJ75" s="59">
        <f t="shared" si="92"/>
        <v>388.05195847800502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78.204724375345492</v>
      </c>
      <c r="BQ75" s="21">
        <f>EXP(-LN(2)/25)*BQ74+(1-EXP(-LN(2)/25))/(LN(2)/25)*Calculateur!BL75*Calculateur!BN75*VLOOKUP('Données projet'!$B$11,Paramètres!$A$1:$I$89,3,0)*0.475*44/12</f>
        <v>5.0184050435329119</v>
      </c>
      <c r="BR75" s="21">
        <f>EXP(-LN(2)/2)*BR74+(1-EXP(-LN(2)/2))/(LN(2)/2)*BL75*BO75*VLOOKUP('Données projet'!$B$11,Paramètres!$A$1:$I$89,3,0)*0.475*44/12</f>
        <v>20.595304483059184</v>
      </c>
      <c r="BS75" s="22">
        <f t="shared" si="63"/>
        <v>103.81843390193758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-2.2737367544323206E-13</v>
      </c>
      <c r="BZ75" s="13">
        <f>BY75*VLOOKUP('Données projet'!$B$12,Paramètres!$A$1:$I$89,3,0)*VLOOKUP('Données projet'!$B$12,Paramètres!$A$1:$I$89,5,0)</f>
        <v>-1.2710188457276673E-13</v>
      </c>
      <c r="CA75" s="13" t="e">
        <f t="shared" si="93"/>
        <v>#NUM!</v>
      </c>
      <c r="CB75" s="20" t="e">
        <f t="shared" si="64"/>
        <v>#NUM!</v>
      </c>
      <c r="CC75" s="59" t="e">
        <f t="shared" si="65"/>
        <v>#NUM!</v>
      </c>
      <c r="CD75" s="59">
        <f ca="1">AVERAGE(OFFSET($CC$3,0,0,'Données projet'!$E$12+1,1))-AVERAGE(OFFSET($H$3,0,0,'Données projet'!$E$12+1,1))</f>
        <v>443.34220761968419</v>
      </c>
      <c r="CE75" s="59">
        <f t="shared" si="94"/>
        <v>546.58234447298014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200.60944774677543</v>
      </c>
      <c r="CL75" s="21">
        <f>EXP(-LN(2)/25)*CL74+(1-EXP(-LN(2)/25))/(LN(2)/25)*Calculateur!CG75*Calculateur!CI75*VLOOKUP('Données projet'!$B$12,Paramètres!$A$1:$I$89,3,0)*0.475*44/12</f>
        <v>43.47381869270896</v>
      </c>
      <c r="CM75" s="21">
        <f>EXP(-LN(2)/2)*CM74+(1-EXP(-LN(2)/2))/(LN(2)/2)*CG75*CJ75*VLOOKUP('Données projet'!$B$12,Paramètres!$A$1:$I$89,3,0)*0.475*44/12</f>
        <v>0.67481890904901098</v>
      </c>
      <c r="CN75" s="22">
        <f t="shared" si="66"/>
        <v>244.7580853485334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>
        <f>CT75*VLOOKUP('Données projet'!$B$13,Paramètres!$A$1:$I$89,3,0)*VLOOKUP('Données projet'!$B$13,Paramètres!$A$1:$I$89,5,0)</f>
        <v>0</v>
      </c>
      <c r="CV75" s="13" t="e">
        <f t="shared" si="95"/>
        <v>#NUM!</v>
      </c>
      <c r="CW75" s="20" t="e">
        <f t="shared" si="67"/>
        <v>#NUM!</v>
      </c>
      <c r="CX75" s="59" t="e">
        <f t="shared" si="68"/>
        <v>#NUM!</v>
      </c>
      <c r="CY75" s="59">
        <f ca="1">AVERAGE(OFFSET($CX$3,0,0,'Données projet'!$E$13+1,1))-AVERAGE(OFFSET($H$3,0,0,'Données projet'!$E$13+1,1))</f>
        <v>214.22606988805535</v>
      </c>
      <c r="CZ75" s="59">
        <f t="shared" si="96"/>
        <v>305.78163836959078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112.56040326614828</v>
      </c>
      <c r="DG75" s="21">
        <f>EXP(-LN(2)/25)*DG74+(1-EXP(-LN(2)/25))/(LN(2)/25)*Calculateur!DB75*Calculateur!DD75*VLOOKUP('Données projet'!$B$13,Paramètres!$A$1:$I$89,3,0)*0.475*44/12</f>
        <v>25.478598491483417</v>
      </c>
      <c r="DH75" s="21">
        <f>EXP(-LN(2)/2)*DH74+(1-EXP(-LN(2)/2))/(LN(2)/2)*DB75*DE75*VLOOKUP('Données projet'!$B$13,Paramètres!$A$1:$I$89,3,0)*0.475*44/12</f>
        <v>0.29492899066102884</v>
      </c>
      <c r="DI75" s="22">
        <f t="shared" si="69"/>
        <v>138.33393074829272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3.4</v>
      </c>
      <c r="DO75" s="12">
        <f>IF('Données projet'!$A$166&gt;35,DO74+DN75-DW74,IF(A75&lt;'Données projet'!$A$166,$DL$205^A75,IF(A75='Données projet'!$A$166,'Données projet'!$B$166,DO74+DN75-DW74)))</f>
        <v>259.79999999999984</v>
      </c>
      <c r="DP75" s="17">
        <f>DO75*VLOOKUP('Données projet'!$B$14,Paramètres!$A$1:$I$89,3,0)*VLOOKUP('Données projet'!$B$14,Paramètres!$A$1:$I$89,5,0)</f>
        <v>210.74975999999987</v>
      </c>
      <c r="DQ75" s="13">
        <f t="shared" si="97"/>
        <v>52.099393122422597</v>
      </c>
      <c r="DR75" s="20">
        <f t="shared" si="70"/>
        <v>457.79560835488581</v>
      </c>
      <c r="DS75" s="59">
        <f t="shared" si="71"/>
        <v>751.12894168821913</v>
      </c>
      <c r="DT75" s="59">
        <f ca="1">AVERAGE(OFFSET($DS$3,0,0,'Données projet'!$E$14+1,1))-AVERAGE(OFFSET($H$3,0,0,'Données projet'!$E$14+1,1))</f>
        <v>304.26232113495314</v>
      </c>
      <c r="DU75" s="59">
        <f t="shared" si="98"/>
        <v>297.47246687305056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13.126156590494507</v>
      </c>
      <c r="EB75" s="21">
        <f>EXP(-LN(2)/25)*EB74+(1-EXP(-LN(2)/25))/(LN(2)/25)*Calculateur!DW75*Calculateur!DY75*VLOOKUP('Données projet'!$B$14,Paramètres!$A$1:$I$89,3,0)*0.475*44/12</f>
        <v>3.6090023682965509</v>
      </c>
      <c r="EC75" s="21">
        <f>EXP(-LN(2)/2)*EC74+(1-EXP(-LN(2)/2))/(LN(2)/2)*DW75*DZ75*VLOOKUP('Données projet'!$B$14,Paramètres!$A$1:$I$89,3,0)*0.475*44/12</f>
        <v>1.4258754998867662</v>
      </c>
      <c r="ED75" s="22">
        <f t="shared" si="72"/>
        <v>18.161034458677825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3.4</v>
      </c>
      <c r="EJ75" s="12">
        <f>IF('Données projet'!$A$192&gt;35,EJ74+EI75-ER74,IF(A75&lt;'Données projet'!$A$192,$EG$205^A75,IF(A75='Données projet'!$A$192,'Données projet'!$B$192,EJ74+EI75-ER74)))</f>
        <v>259.79999999999984</v>
      </c>
      <c r="EK75" s="17">
        <f>EJ75*VLOOKUP('Données projet'!$B$15,Paramètres!$A$1:$I$89,3,0)*VLOOKUP('Données projet'!$B$15,Paramètres!$A$1:$I$89,5,0)</f>
        <v>251.27855999999986</v>
      </c>
      <c r="EL75" s="13">
        <f t="shared" si="99"/>
        <v>60.859643896274868</v>
      </c>
      <c r="EM75" s="20">
        <f t="shared" si="73"/>
        <v>543.64070511934517</v>
      </c>
      <c r="EN75" s="59">
        <f t="shared" si="74"/>
        <v>836.97403845267854</v>
      </c>
      <c r="EO75" s="59">
        <f ca="1">AVERAGE(OFFSET($EN$3,0,0,'Données projet'!$E$15+1,1))-AVERAGE(OFFSET($H$3,0,0,'Données projet'!$E$15+1,1))</f>
        <v>355.72173590705142</v>
      </c>
      <c r="EP75" s="59">
        <f t="shared" si="100"/>
        <v>346.30980704469363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12.697508516058914</v>
      </c>
      <c r="EW75" s="21">
        <f>EXP(-LN(2)/25)*EW74+(1-EXP(-LN(2)/25))/(LN(2)/25)*Calculateur!ER75*Calculateur!ET75*VLOOKUP('Données projet'!$B$15,Paramètres!$A$1:$I$89,3,0)*0.475*44/12</f>
        <v>3.4911467031489845</v>
      </c>
      <c r="EX75" s="21">
        <f>EXP(-LN(2)/2)*EX74+(1-EXP(-LN(2)/2))/(LN(2)/2)*ER75*EU75*VLOOKUP('Données projet'!$B$15,Paramètres!$A$1:$I$89,3,0)*0.475*44/12</f>
        <v>1.7000823267880671</v>
      </c>
      <c r="EY75" s="22">
        <f t="shared" si="75"/>
        <v>17.888737545995966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3.4</v>
      </c>
      <c r="FE75" s="12">
        <f>IF('Données projet'!$A$218&gt;35,FE74+FD75-FM74,IF(A75&lt;'Données projet'!$A$218,$FB$205^A75,IF(A75='Données projet'!$A$218,'Données projet'!$B$218,FE74+FD75-FM74)))</f>
        <v>259.79999999999984</v>
      </c>
      <c r="FF75" s="17">
        <f>FE75*VLOOKUP('Données projet'!$B$16,Paramètres!$A$1:$I$89,3,0)*VLOOKUP('Données projet'!$B$16,Paramètres!$A$1:$I$89,5,0)</f>
        <v>190.4853599999999</v>
      </c>
      <c r="FG75" s="13">
        <f t="shared" si="101"/>
        <v>47.647243117546552</v>
      </c>
      <c r="FH75" s="20">
        <f t="shared" si="76"/>
        <v>414.74761709639341</v>
      </c>
      <c r="FI75" s="59">
        <f t="shared" si="77"/>
        <v>708.08095042972673</v>
      </c>
      <c r="FJ75" s="59">
        <f ca="1">AVERAGE(OFFSET($FI$3,0,0,'Données projet'!$E$16+1,1))-AVERAGE(OFFSET($H$3,0,0,'Données projet'!$E$16+1,1))</f>
        <v>278.45534008146865</v>
      </c>
      <c r="FK75" s="59">
        <f t="shared" si="102"/>
        <v>272.97841038165217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9.6255306492704626</v>
      </c>
      <c r="FR75" s="21">
        <f>EXP(-LN(2)/25)*FR74+(1-EXP(-LN(2)/25))/(LN(2)/25)*Calculateur!FM75*Calculateur!FO75*VLOOKUP('Données projet'!$B$16,Paramètres!$A$1:$I$89,3,0)*0.475*44/12</f>
        <v>2.6465144362581015</v>
      </c>
      <c r="FS75" s="21">
        <f>EXP(-LN(2)/2)*FS74+(1-EXP(-LN(2)/2))/(LN(2)/2)*FM75*FP75*VLOOKUP('Données projet'!$B$16,Paramètres!$A$1:$I$89,3,0)*0.475*44/12</f>
        <v>1.2887720864361152</v>
      </c>
      <c r="FT75" s="22">
        <f t="shared" si="78"/>
        <v>13.560817171964679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6.333333333333333</v>
      </c>
      <c r="N76" s="13">
        <f>IF('Données projet'!$A$36&gt;35,N75+M76-V75,IF(A76&lt;'Données projet'!$A$36,$K$205^A76,IF(A76='Données projet'!$A$36,'Données projet'!$B$36,N75+M76-V75)))</f>
        <v>195.3333333333334</v>
      </c>
      <c r="O76" s="13">
        <f>N76*VLOOKUP('Données projet'!$B$9,Paramètres!$A$1:$I$89,3,0)*VLOOKUP('Données projet'!$B$9,Paramètres!$A$1:$I$89,5,0)</f>
        <v>176.73760000000004</v>
      </c>
      <c r="P76" s="13">
        <f t="shared" si="87"/>
        <v>44.595591428666573</v>
      </c>
      <c r="Q76" s="20">
        <f t="shared" si="54"/>
        <v>385.48864173826104</v>
      </c>
      <c r="R76" s="59">
        <f t="shared" si="55"/>
        <v>678.82197507159435</v>
      </c>
      <c r="S76" s="59">
        <f ca="1">AVERAGE(OFFSET($R$3,0,0,'Données projet'!$E$9+1,1))-AVERAGE(OFFSET($H$3,0,0,'Données projet'!$E$9+1,1))</f>
        <v>436.03161778768742</v>
      </c>
      <c r="T76" s="59">
        <f t="shared" si="88"/>
        <v>217.65884352525285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17.060605521462339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17.060605521462339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6.333333333333333</v>
      </c>
      <c r="AI76" s="13">
        <f>IF('Données projet'!$A$62&gt;35,AI75+AH76-AQ75,IF(A76&lt;'Données projet'!$A$62,$AF$205^A76,IF(A76='Données projet'!$A$62,'Données projet'!$B$62,AI75+AH76-AQ75)))</f>
        <v>195.3333333333334</v>
      </c>
      <c r="AJ76" s="13">
        <f>AI76*VLOOKUP('Données projet'!$B$10,Paramètres!$A$1:$I$89,3,0)*VLOOKUP('Données projet'!$B$10,Paramètres!$A$1:$I$89,5,0)</f>
        <v>198.06800000000007</v>
      </c>
      <c r="AK76" s="13">
        <f t="shared" si="89"/>
        <v>49.319333026194421</v>
      </c>
      <c r="AL76" s="20">
        <f t="shared" si="58"/>
        <v>430.86627168728864</v>
      </c>
      <c r="AM76" s="59">
        <f t="shared" si="59"/>
        <v>724.1996050206219</v>
      </c>
      <c r="AN76" s="59">
        <f ca="1">AVERAGE(OFFSET($AM$3,0,0,'Données projet'!$E$10+1,1))-AVERAGE(OFFSET($H$3,0,0,'Données projet'!$E$10+1,1))</f>
        <v>483.45320081988984</v>
      </c>
      <c r="AO76" s="59">
        <f t="shared" si="90"/>
        <v>238.92443174298893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19.11964411888021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19.11964411888021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1.7053025658242404E-13</v>
      </c>
      <c r="BE76" s="13">
        <f>BD76*VLOOKUP('Données projet'!$B$11,Paramètres!$A$1:$I$89,3,0)*VLOOKUP('Données projet'!$B$11,Paramètres!$A$1:$I$89,5,0)</f>
        <v>1.4897523215040567E-13</v>
      </c>
      <c r="BF76" s="13">
        <f t="shared" si="91"/>
        <v>2.136562777003313E-12</v>
      </c>
      <c r="BG76" s="20">
        <f t="shared" si="61"/>
        <v>3.9806453659427267E-12</v>
      </c>
      <c r="BH76" s="59">
        <f t="shared" si="62"/>
        <v>293.33333333333729</v>
      </c>
      <c r="BI76" s="59">
        <f ca="1">AVERAGE(OFFSET($BH$3,0,0,'Données projet'!$E$11+1,1))-AVERAGE(OFFSET($H$3,0,0,'Données projet'!$E$11+1,1))</f>
        <v>310.44153296396854</v>
      </c>
      <c r="BJ76" s="59">
        <f t="shared" si="92"/>
        <v>388.05195847800502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76.671177430516835</v>
      </c>
      <c r="BQ76" s="21">
        <f>EXP(-LN(2)/25)*BQ75+(1-EXP(-LN(2)/25))/(LN(2)/25)*Calculateur!BL76*Calculateur!BN76*VLOOKUP('Données projet'!$B$11,Paramètres!$A$1:$I$89,3,0)*0.475*44/12</f>
        <v>4.8811764937110533</v>
      </c>
      <c r="BR76" s="21">
        <f>EXP(-LN(2)/2)*BR75+(1-EXP(-LN(2)/2))/(LN(2)/2)*BL76*BO76*VLOOKUP('Données projet'!$B$11,Paramètres!$A$1:$I$89,3,0)*0.475*44/12</f>
        <v>14.563079460572853</v>
      </c>
      <c r="BS76" s="22">
        <f t="shared" si="63"/>
        <v>96.115433384800738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-2.2737367544323206E-13</v>
      </c>
      <c r="BZ76" s="13">
        <f>BY76*VLOOKUP('Données projet'!$B$12,Paramètres!$A$1:$I$89,3,0)*VLOOKUP('Données projet'!$B$12,Paramètres!$A$1:$I$89,5,0)</f>
        <v>-1.2710188457276673E-13</v>
      </c>
      <c r="CA76" s="13" t="e">
        <f t="shared" si="93"/>
        <v>#NUM!</v>
      </c>
      <c r="CB76" s="20" t="e">
        <f t="shared" si="64"/>
        <v>#NUM!</v>
      </c>
      <c r="CC76" s="59" t="e">
        <f t="shared" si="65"/>
        <v>#NUM!</v>
      </c>
      <c r="CD76" s="59">
        <f ca="1">AVERAGE(OFFSET($CC$3,0,0,'Données projet'!$E$12+1,1))-AVERAGE(OFFSET($H$3,0,0,'Données projet'!$E$12+1,1))</f>
        <v>443.34220761968419</v>
      </c>
      <c r="CE76" s="59">
        <f t="shared" si="94"/>
        <v>546.58234447298014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196.67561883614226</v>
      </c>
      <c r="CL76" s="21">
        <f>EXP(-LN(2)/25)*CL75+(1-EXP(-LN(2)/25))/(LN(2)/25)*Calculateur!CG76*Calculateur!CI76*VLOOKUP('Données projet'!$B$12,Paramètres!$A$1:$I$89,3,0)*0.475*44/12</f>
        <v>42.285024834368066</v>
      </c>
      <c r="CM76" s="21">
        <f>EXP(-LN(2)/2)*CM75+(1-EXP(-LN(2)/2))/(LN(2)/2)*CG76*CJ76*VLOOKUP('Données projet'!$B$12,Paramètres!$A$1:$I$89,3,0)*0.475*44/12</f>
        <v>0.47716902666146377</v>
      </c>
      <c r="CN76" s="22">
        <f t="shared" si="66"/>
        <v>239.43781269717181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>
        <f>CT76*VLOOKUP('Données projet'!$B$13,Paramètres!$A$1:$I$89,3,0)*VLOOKUP('Données projet'!$B$13,Paramètres!$A$1:$I$89,5,0)</f>
        <v>0</v>
      </c>
      <c r="CV76" s="13" t="e">
        <f t="shared" si="95"/>
        <v>#NUM!</v>
      </c>
      <c r="CW76" s="20" t="e">
        <f t="shared" si="67"/>
        <v>#NUM!</v>
      </c>
      <c r="CX76" s="59" t="e">
        <f t="shared" si="68"/>
        <v>#NUM!</v>
      </c>
      <c r="CY76" s="59">
        <f ca="1">AVERAGE(OFFSET($CX$3,0,0,'Données projet'!$E$13+1,1))-AVERAGE(OFFSET($H$3,0,0,'Données projet'!$E$13+1,1))</f>
        <v>214.22606988805535</v>
      </c>
      <c r="CZ76" s="59">
        <f t="shared" si="96"/>
        <v>305.78163836959078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110.35316241316599</v>
      </c>
      <c r="DG76" s="21">
        <f>EXP(-LN(2)/25)*DG75+(1-EXP(-LN(2)/25))/(LN(2)/25)*Calculateur!DB76*Calculateur!DD76*VLOOKUP('Données projet'!$B$13,Paramètres!$A$1:$I$89,3,0)*0.475*44/12</f>
        <v>24.781884875872542</v>
      </c>
      <c r="DH76" s="21">
        <f>EXP(-LN(2)/2)*DH75+(1-EXP(-LN(2)/2))/(LN(2)/2)*DB76*DE76*VLOOKUP('Données projet'!$B$13,Paramètres!$A$1:$I$89,3,0)*0.475*44/12</f>
        <v>0.20854628926491744</v>
      </c>
      <c r="DI76" s="22">
        <f t="shared" si="69"/>
        <v>135.34359357830346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3.4</v>
      </c>
      <c r="DO76" s="12">
        <f>IF('Données projet'!$A$166&gt;35,DO75+DN76-DW75,IF(A76&lt;'Données projet'!$A$166,$DL$205^A76,IF(A76='Données projet'!$A$166,'Données projet'!$B$166,DO75+DN76-DW75)))</f>
        <v>263.19999999999982</v>
      </c>
      <c r="DP76" s="17">
        <f>DO76*VLOOKUP('Données projet'!$B$14,Paramètres!$A$1:$I$89,3,0)*VLOOKUP('Données projet'!$B$14,Paramètres!$A$1:$I$89,5,0)</f>
        <v>213.50783999999987</v>
      </c>
      <c r="DQ76" s="13">
        <f t="shared" si="97"/>
        <v>52.701396365805124</v>
      </c>
      <c r="DR76" s="20">
        <f t="shared" si="70"/>
        <v>463.64775333711032</v>
      </c>
      <c r="DS76" s="59">
        <f t="shared" si="71"/>
        <v>756.98108667044357</v>
      </c>
      <c r="DT76" s="59">
        <f ca="1">AVERAGE(OFFSET($DS$3,0,0,'Données projet'!$E$14+1,1))-AVERAGE(OFFSET($H$3,0,0,'Données projet'!$E$14+1,1))</f>
        <v>304.26232113495314</v>
      </c>
      <c r="DU76" s="59">
        <f t="shared" si="98"/>
        <v>297.47246687305056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12.868760665919886</v>
      </c>
      <c r="EB76" s="21">
        <f>EXP(-LN(2)/25)*EB75+(1-EXP(-LN(2)/25))/(LN(2)/25)*Calculateur!DW76*Calculateur!DY76*VLOOKUP('Données projet'!$B$14,Paramètres!$A$1:$I$89,3,0)*0.475*44/12</f>
        <v>3.5103140087462954</v>
      </c>
      <c r="EC76" s="21">
        <f>EXP(-LN(2)/2)*EC75+(1-EXP(-LN(2)/2))/(LN(2)/2)*DW76*DZ76*VLOOKUP('Données projet'!$B$14,Paramètres!$A$1:$I$89,3,0)*0.475*44/12</f>
        <v>1.0082462350976906</v>
      </c>
      <c r="ED76" s="22">
        <f t="shared" si="72"/>
        <v>17.387320909763872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3.4</v>
      </c>
      <c r="EJ76" s="12">
        <f>IF('Données projet'!$A$192&gt;35,EJ75+EI76-ER75,IF(A76&lt;'Données projet'!$A$192,$EG$205^A76,IF(A76='Données projet'!$A$192,'Données projet'!$B$192,EJ75+EI76-ER75)))</f>
        <v>263.19999999999982</v>
      </c>
      <c r="EK76" s="17">
        <f>EJ76*VLOOKUP('Données projet'!$B$15,Paramètres!$A$1:$I$89,3,0)*VLOOKUP('Données projet'!$B$15,Paramètres!$A$1:$I$89,5,0)</f>
        <v>254.56703999999982</v>
      </c>
      <c r="EL76" s="13">
        <f t="shared" si="99"/>
        <v>61.562870955572379</v>
      </c>
      <c r="EM76" s="20">
        <f t="shared" si="73"/>
        <v>550.59292824762156</v>
      </c>
      <c r="EN76" s="59">
        <f t="shared" si="74"/>
        <v>843.92626158095482</v>
      </c>
      <c r="EO76" s="59">
        <f ca="1">AVERAGE(OFFSET($EN$3,0,0,'Données projet'!$E$15+1,1))-AVERAGE(OFFSET($H$3,0,0,'Données projet'!$E$15+1,1))</f>
        <v>355.72173590705142</v>
      </c>
      <c r="EP76" s="59">
        <f t="shared" si="100"/>
        <v>346.30980704469363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12.448518118774466</v>
      </c>
      <c r="EW76" s="21">
        <f>EXP(-LN(2)/25)*EW75+(1-EXP(-LN(2)/25))/(LN(2)/25)*Calculateur!ER76*Calculateur!ET76*VLOOKUP('Données projet'!$B$15,Paramètres!$A$1:$I$89,3,0)*0.475*44/12</f>
        <v>3.3956811129599496</v>
      </c>
      <c r="EX76" s="21">
        <f>EXP(-LN(2)/2)*EX75+(1-EXP(-LN(2)/2))/(LN(2)/2)*ER76*EU76*VLOOKUP('Données projet'!$B$15,Paramètres!$A$1:$I$89,3,0)*0.475*44/12</f>
        <v>1.2021397418472464</v>
      </c>
      <c r="EY76" s="22">
        <f t="shared" si="75"/>
        <v>17.046338973581662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3.4</v>
      </c>
      <c r="FE76" s="12">
        <f>IF('Données projet'!$A$218&gt;35,FE75+FD76-FM75,IF(A76&lt;'Données projet'!$A$218,$FB$205^A76,IF(A76='Données projet'!$A$218,'Données projet'!$B$218,FE75+FD76-FM75)))</f>
        <v>263.19999999999982</v>
      </c>
      <c r="FF76" s="17">
        <f>FE76*VLOOKUP('Données projet'!$B$16,Paramètres!$A$1:$I$89,3,0)*VLOOKUP('Données projet'!$B$16,Paramètres!$A$1:$I$89,5,0)</f>
        <v>192.97823999999986</v>
      </c>
      <c r="FG76" s="13">
        <f t="shared" si="101"/>
        <v>48.197802215761001</v>
      </c>
      <c r="FH76" s="20">
        <f t="shared" si="76"/>
        <v>420.04827352578349</v>
      </c>
      <c r="FI76" s="59">
        <f t="shared" si="77"/>
        <v>713.3816068591168</v>
      </c>
      <c r="FJ76" s="59">
        <f ca="1">AVERAGE(OFFSET($FI$3,0,0,'Données projet'!$E$16+1,1))-AVERAGE(OFFSET($H$3,0,0,'Données projet'!$E$16+1,1))</f>
        <v>278.45534008146865</v>
      </c>
      <c r="FK76" s="59">
        <f t="shared" si="102"/>
        <v>272.97841038165217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9.4367798642322516</v>
      </c>
      <c r="FR76" s="21">
        <f>EXP(-LN(2)/25)*FR75+(1-EXP(-LN(2)/25))/(LN(2)/25)*Calculateur!FM76*Calculateur!FO76*VLOOKUP('Données projet'!$B$16,Paramètres!$A$1:$I$89,3,0)*0.475*44/12</f>
        <v>2.5741453598244783</v>
      </c>
      <c r="FS76" s="21">
        <f>EXP(-LN(2)/2)*FS75+(1-EXP(-LN(2)/2))/(LN(2)/2)*FM76*FP76*VLOOKUP('Données projet'!$B$16,Paramètres!$A$1:$I$89,3,0)*0.475*44/12</f>
        <v>0.91129948172291242</v>
      </c>
      <c r="FT76" s="22">
        <f t="shared" si="78"/>
        <v>12.922224705779643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6.333333333333333</v>
      </c>
      <c r="N77" s="13">
        <f>IF('Données projet'!$A$36&gt;35,N76+M77-V76,IF(A77&lt;'Données projet'!$A$36,$K$205^A77,IF(A77='Données projet'!$A$36,'Données projet'!$B$36,N76+M77-V76)))</f>
        <v>201.66666666666674</v>
      </c>
      <c r="O77" s="13">
        <f>N77*VLOOKUP('Données projet'!$B$9,Paramètres!$A$1:$I$89,3,0)*VLOOKUP('Données projet'!$B$9,Paramètres!$A$1:$I$89,5,0)</f>
        <v>182.46800000000005</v>
      </c>
      <c r="P77" s="13">
        <f t="shared" si="87"/>
        <v>45.870834753808552</v>
      </c>
      <c r="Q77" s="20">
        <f t="shared" si="54"/>
        <v>397.69013719621665</v>
      </c>
      <c r="R77" s="59">
        <f t="shared" si="55"/>
        <v>691.02347052954997</v>
      </c>
      <c r="S77" s="59">
        <f ca="1">AVERAGE(OFFSET($R$3,0,0,'Données projet'!$E$9+1,1))-AVERAGE(OFFSET($H$3,0,0,'Données projet'!$E$9+1,1))</f>
        <v>436.03161778768742</v>
      </c>
      <c r="T77" s="59">
        <f t="shared" si="88"/>
        <v>217.65884352525285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16.594082366299698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16.594082366299698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6.333333333333333</v>
      </c>
      <c r="AI77" s="13">
        <f>IF('Données projet'!$A$62&gt;35,AI76+AH77-AQ76,IF(A77&lt;'Données projet'!$A$62,$AF$205^A77,IF(A77='Données projet'!$A$62,'Données projet'!$B$62,AI76+AH77-AQ76)))</f>
        <v>201.66666666666674</v>
      </c>
      <c r="AJ77" s="13">
        <f>AI77*VLOOKUP('Données projet'!$B$10,Paramètres!$A$1:$I$89,3,0)*VLOOKUP('Données projet'!$B$10,Paramètres!$A$1:$I$89,5,0)</f>
        <v>204.49000000000012</v>
      </c>
      <c r="AK77" s="13">
        <f t="shared" si="89"/>
        <v>50.72965517300824</v>
      </c>
      <c r="AL77" s="20">
        <f t="shared" si="58"/>
        <v>444.50756609298952</v>
      </c>
      <c r="AM77" s="59">
        <f t="shared" si="59"/>
        <v>737.84089942632284</v>
      </c>
      <c r="AN77" s="59">
        <f ca="1">AVERAGE(OFFSET($AM$3,0,0,'Données projet'!$E$10+1,1))-AVERAGE(OFFSET($H$3,0,0,'Données projet'!$E$10+1,1))</f>
        <v>483.45320081988984</v>
      </c>
      <c r="AO77" s="59">
        <f t="shared" si="90"/>
        <v>238.92443174298893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18.596816444991045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18.596816444991045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1.7053025658242404E-13</v>
      </c>
      <c r="BE77" s="13">
        <f>BD77*VLOOKUP('Données projet'!$B$11,Paramètres!$A$1:$I$89,3,0)*VLOOKUP('Données projet'!$B$11,Paramètres!$A$1:$I$89,5,0)</f>
        <v>1.4897523215040567E-13</v>
      </c>
      <c r="BF77" s="13">
        <f t="shared" si="91"/>
        <v>2.136562777003313E-12</v>
      </c>
      <c r="BG77" s="20">
        <f t="shared" si="61"/>
        <v>3.9806453659427267E-12</v>
      </c>
      <c r="BH77" s="59">
        <f t="shared" si="62"/>
        <v>293.33333333333729</v>
      </c>
      <c r="BI77" s="59">
        <f ca="1">AVERAGE(OFFSET($BH$3,0,0,'Données projet'!$E$11+1,1))-AVERAGE(OFFSET($H$3,0,0,'Données projet'!$E$11+1,1))</f>
        <v>310.44153296396854</v>
      </c>
      <c r="BJ77" s="59">
        <f t="shared" si="92"/>
        <v>388.05195847800502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75.16770240590499</v>
      </c>
      <c r="BQ77" s="21">
        <f>EXP(-LN(2)/25)*BQ76+(1-EXP(-LN(2)/25))/(LN(2)/25)*Calculateur!BL77*Calculateur!BN77*VLOOKUP('Données projet'!$B$11,Paramètres!$A$1:$I$89,3,0)*0.475*44/12</f>
        <v>4.7477004658006088</v>
      </c>
      <c r="BR77" s="21">
        <f>EXP(-LN(2)/2)*BR76+(1-EXP(-LN(2)/2))/(LN(2)/2)*BL77*BO77*VLOOKUP('Données projet'!$B$11,Paramètres!$A$1:$I$89,3,0)*0.475*44/12</f>
        <v>10.297652241529594</v>
      </c>
      <c r="BS77" s="22">
        <f t="shared" si="63"/>
        <v>90.213055113235185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-2.2737367544323206E-13</v>
      </c>
      <c r="BZ77" s="13">
        <f>BY77*VLOOKUP('Données projet'!$B$12,Paramètres!$A$1:$I$89,3,0)*VLOOKUP('Données projet'!$B$12,Paramètres!$A$1:$I$89,5,0)</f>
        <v>-1.2710188457276673E-13</v>
      </c>
      <c r="CA77" s="13" t="e">
        <f t="shared" si="93"/>
        <v>#NUM!</v>
      </c>
      <c r="CB77" s="20" t="e">
        <f t="shared" si="64"/>
        <v>#NUM!</v>
      </c>
      <c r="CC77" s="59" t="e">
        <f t="shared" si="65"/>
        <v>#NUM!</v>
      </c>
      <c r="CD77" s="59">
        <f ca="1">AVERAGE(OFFSET($CC$3,0,0,'Données projet'!$E$12+1,1))-AVERAGE(OFFSET($H$3,0,0,'Données projet'!$E$12+1,1))</f>
        <v>443.34220761968419</v>
      </c>
      <c r="CE77" s="59">
        <f t="shared" si="94"/>
        <v>546.58234447298014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192.81892991104792</v>
      </c>
      <c r="CL77" s="21">
        <f>EXP(-LN(2)/25)*CL76+(1-EXP(-LN(2)/25))/(LN(2)/25)*Calculateur!CG77*Calculateur!CI77*VLOOKUP('Données projet'!$B$12,Paramètres!$A$1:$I$89,3,0)*0.475*44/12</f>
        <v>41.128738606599462</v>
      </c>
      <c r="CM77" s="21">
        <f>EXP(-LN(2)/2)*CM76+(1-EXP(-LN(2)/2))/(LN(2)/2)*CG77*CJ77*VLOOKUP('Données projet'!$B$12,Paramètres!$A$1:$I$89,3,0)*0.475*44/12</f>
        <v>0.33740945452450555</v>
      </c>
      <c r="CN77" s="22">
        <f t="shared" si="66"/>
        <v>234.28507797217188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>
        <f>CT77*VLOOKUP('Données projet'!$B$13,Paramètres!$A$1:$I$89,3,0)*VLOOKUP('Données projet'!$B$13,Paramètres!$A$1:$I$89,5,0)</f>
        <v>0</v>
      </c>
      <c r="CV77" s="13" t="e">
        <f t="shared" si="95"/>
        <v>#NUM!</v>
      </c>
      <c r="CW77" s="20" t="e">
        <f t="shared" si="67"/>
        <v>#NUM!</v>
      </c>
      <c r="CX77" s="59" t="e">
        <f t="shared" si="68"/>
        <v>#NUM!</v>
      </c>
      <c r="CY77" s="59">
        <f ca="1">AVERAGE(OFFSET($CX$3,0,0,'Données projet'!$E$13+1,1))-AVERAGE(OFFSET($H$3,0,0,'Données projet'!$E$13+1,1))</f>
        <v>214.22606988805535</v>
      </c>
      <c r="CZ77" s="59">
        <f t="shared" si="96"/>
        <v>305.78163836959078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108.18920420702669</v>
      </c>
      <c r="DG77" s="21">
        <f>EXP(-LN(2)/25)*DG76+(1-EXP(-LN(2)/25))/(LN(2)/25)*Calculateur!DB77*Calculateur!DD77*VLOOKUP('Données projet'!$B$13,Paramètres!$A$1:$I$89,3,0)*0.475*44/12</f>
        <v>24.104222930719121</v>
      </c>
      <c r="DH77" s="21">
        <f>EXP(-LN(2)/2)*DH76+(1-EXP(-LN(2)/2))/(LN(2)/2)*DB77*DE77*VLOOKUP('Données projet'!$B$13,Paramètres!$A$1:$I$89,3,0)*0.475*44/12</f>
        <v>0.14746449533051442</v>
      </c>
      <c r="DI77" s="22">
        <f t="shared" si="69"/>
        <v>132.44089163307635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3.4</v>
      </c>
      <c r="DO77" s="12">
        <f>IF('Données projet'!$A$166&gt;35,DO76+DN77-DW76,IF(A77&lt;'Données projet'!$A$166,$DL$205^A77,IF(A77='Données projet'!$A$166,'Données projet'!$B$166,DO76+DN77-DW76)))</f>
        <v>266.5999999999998</v>
      </c>
      <c r="DP77" s="17">
        <f>DO77*VLOOKUP('Données projet'!$B$14,Paramètres!$A$1:$I$89,3,0)*VLOOKUP('Données projet'!$B$14,Paramètres!$A$1:$I$89,5,0)</f>
        <v>216.26591999999982</v>
      </c>
      <c r="DQ77" s="13">
        <f t="shared" si="97"/>
        <v>53.302495062173776</v>
      </c>
      <c r="DR77" s="20">
        <f t="shared" si="70"/>
        <v>469.49832289995226</v>
      </c>
      <c r="DS77" s="59">
        <f t="shared" si="71"/>
        <v>762.83165623328557</v>
      </c>
      <c r="DT77" s="59">
        <f ca="1">AVERAGE(OFFSET($DS$3,0,0,'Données projet'!$E$14+1,1))-AVERAGE(OFFSET($H$3,0,0,'Données projet'!$E$14+1,1))</f>
        <v>304.26232113495314</v>
      </c>
      <c r="DU77" s="59">
        <f t="shared" si="98"/>
        <v>297.47246687305056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12.616412118430162</v>
      </c>
      <c r="EB77" s="21">
        <f>EXP(-LN(2)/25)*EB76+(1-EXP(-LN(2)/25))/(LN(2)/25)*Calculateur!DW77*Calculateur!DY77*VLOOKUP('Données projet'!$B$14,Paramètres!$A$1:$I$89,3,0)*0.475*44/12</f>
        <v>3.4143242875777373</v>
      </c>
      <c r="EC77" s="21">
        <f>EXP(-LN(2)/2)*EC76+(1-EXP(-LN(2)/2))/(LN(2)/2)*DW77*DZ77*VLOOKUP('Données projet'!$B$14,Paramètres!$A$1:$I$89,3,0)*0.475*44/12</f>
        <v>0.7129377499433831</v>
      </c>
      <c r="ED77" s="22">
        <f t="shared" si="72"/>
        <v>16.743674155951283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3.4</v>
      </c>
      <c r="EJ77" s="12">
        <f>IF('Données projet'!$A$192&gt;35,EJ76+EI77-ER76,IF(A77&lt;'Données projet'!$A$192,$EG$205^A77,IF(A77='Données projet'!$A$192,'Données projet'!$B$192,EJ76+EI77-ER76)))</f>
        <v>266.5999999999998</v>
      </c>
      <c r="EK77" s="17">
        <f>EJ77*VLOOKUP('Données projet'!$B$15,Paramètres!$A$1:$I$89,3,0)*VLOOKUP('Données projet'!$B$15,Paramètres!$A$1:$I$89,5,0)</f>
        <v>257.85551999999979</v>
      </c>
      <c r="EL77" s="13">
        <f t="shared" si="99"/>
        <v>62.265041372827518</v>
      </c>
      <c r="EM77" s="20">
        <f t="shared" si="73"/>
        <v>557.54331105767415</v>
      </c>
      <c r="EN77" s="59">
        <f t="shared" si="74"/>
        <v>850.8766443910074</v>
      </c>
      <c r="EO77" s="59">
        <f ca="1">AVERAGE(OFFSET($EN$3,0,0,'Données projet'!$E$15+1,1))-AVERAGE(OFFSET($H$3,0,0,'Données projet'!$E$15+1,1))</f>
        <v>355.72173590705142</v>
      </c>
      <c r="EP77" s="59">
        <f t="shared" si="100"/>
        <v>346.30980704469363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12.20441027131162</v>
      </c>
      <c r="EW77" s="21">
        <f>EXP(-LN(2)/25)*EW76+(1-EXP(-LN(2)/25))/(LN(2)/25)*Calculateur!ER77*Calculateur!ET77*VLOOKUP('Données projet'!$B$15,Paramètres!$A$1:$I$89,3,0)*0.475*44/12</f>
        <v>3.3028260343549509</v>
      </c>
      <c r="EX77" s="21">
        <f>EXP(-LN(2)/2)*EX76+(1-EXP(-LN(2)/2))/(LN(2)/2)*ER77*EU77*VLOOKUP('Données projet'!$B$15,Paramètres!$A$1:$I$89,3,0)*0.475*44/12</f>
        <v>0.85004116339403357</v>
      </c>
      <c r="EY77" s="22">
        <f t="shared" si="75"/>
        <v>16.357277469060605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3.4</v>
      </c>
      <c r="FE77" s="12">
        <f>IF('Données projet'!$A$218&gt;35,FE76+FD77-FM76,IF(A77&lt;'Données projet'!$A$218,$FB$205^A77,IF(A77='Données projet'!$A$218,'Données projet'!$B$218,FE76+FD77-FM76)))</f>
        <v>266.5999999999998</v>
      </c>
      <c r="FF77" s="17">
        <f>FE77*VLOOKUP('Données projet'!$B$16,Paramètres!$A$1:$I$89,3,0)*VLOOKUP('Données projet'!$B$16,Paramètres!$A$1:$I$89,5,0)</f>
        <v>195.47111999999984</v>
      </c>
      <c r="FG77" s="13">
        <f t="shared" si="101"/>
        <v>48.747534064963503</v>
      </c>
      <c r="FH77" s="20">
        <f t="shared" si="76"/>
        <v>425.34748916314447</v>
      </c>
      <c r="FI77" s="59">
        <f t="shared" si="77"/>
        <v>718.68082249647773</v>
      </c>
      <c r="FJ77" s="59">
        <f ca="1">AVERAGE(OFFSET($FI$3,0,0,'Données projet'!$E$16+1,1))-AVERAGE(OFFSET($H$3,0,0,'Données projet'!$E$16+1,1))</f>
        <v>278.45534008146865</v>
      </c>
      <c r="FK77" s="59">
        <f t="shared" si="102"/>
        <v>272.97841038165217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9.251730366962029</v>
      </c>
      <c r="FR77" s="21">
        <f>EXP(-LN(2)/25)*FR76+(1-EXP(-LN(2)/25))/(LN(2)/25)*Calculateur!FM77*Calculateur!FO77*VLOOKUP('Données projet'!$B$16,Paramètres!$A$1:$I$89,3,0)*0.475*44/12</f>
        <v>2.5037552195916568</v>
      </c>
      <c r="FS77" s="21">
        <f>EXP(-LN(2)/2)*FS76+(1-EXP(-LN(2)/2))/(LN(2)/2)*FM77*FP77*VLOOKUP('Données projet'!$B$16,Paramètres!$A$1:$I$89,3,0)*0.475*44/12</f>
        <v>0.64438604321805759</v>
      </c>
      <c r="FT77" s="22">
        <f t="shared" si="78"/>
        <v>12.399871629771743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208</v>
      </c>
      <c r="L78" s="12">
        <f>VLOOKUP(A78,'Données projet'!$A$35:$I$55,9,0)</f>
        <v>6.333333333333333</v>
      </c>
      <c r="M78" s="12">
        <f t="array" ref="M78">INDEX(L:L,MIN(IF(ISNUMBER(L78:L274),ROW(L78:L274),"")))</f>
        <v>6.333333333333333</v>
      </c>
      <c r="N78" s="13">
        <f>IF('Données projet'!$A$36&gt;35,N77+M78-V77,IF(A78&lt;'Données projet'!$A$36,$K$205^A78,IF(A78='Données projet'!$A$36,'Données projet'!$B$36,N77+M78-V77)))</f>
        <v>208.00000000000009</v>
      </c>
      <c r="O78" s="13">
        <f>N78*VLOOKUP('Données projet'!$B$9,Paramètres!$A$1:$I$89,3,0)*VLOOKUP('Données projet'!$B$9,Paramètres!$A$1:$I$89,5,0)</f>
        <v>188.19840000000008</v>
      </c>
      <c r="P78" s="13">
        <f t="shared" si="87"/>
        <v>47.141424081428056</v>
      </c>
      <c r="Q78" s="20">
        <f t="shared" si="54"/>
        <v>409.88352694182066</v>
      </c>
      <c r="R78" s="59">
        <f t="shared" si="55"/>
        <v>703.21686027515398</v>
      </c>
      <c r="S78" s="59">
        <f ca="1">AVERAGE(OFFSET($R$3,0,0,'Données projet'!$E$9+1,1))-AVERAGE(OFFSET($H$3,0,0,'Données projet'!$E$9+1,1))</f>
        <v>436.03161778768742</v>
      </c>
      <c r="T78" s="59">
        <f t="shared" si="88"/>
        <v>217.65884352525285</v>
      </c>
      <c r="U78" s="15">
        <f>IF(ISNA(VLOOKUP(A78,'Données projet'!$A$35:$I$55,3,0)),0,VLOOKUP(A78,'Données projet'!$A$35:$I$55,3,0))</f>
        <v>5</v>
      </c>
      <c r="V78" s="15">
        <f>IF(ISNA(VLOOKUP(A78,'Données projet'!$A$35:$I$55,4,0)),0,VLOOKUP(A78,'Données projet'!$A$35:$I$55,4,0))</f>
        <v>37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0.215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24.065813717012269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24.065813717012269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208</v>
      </c>
      <c r="AG78" s="12">
        <f>VLOOKUP(A78,'Données projet'!$A$61:$I$81,9,0)</f>
        <v>6.333333333333333</v>
      </c>
      <c r="AH78" s="12">
        <f t="array" ref="AH78">INDEX(AG:AG,MIN(IF(ISNUMBER(AG78:AG274),ROW(AG78:AG274),"")))</f>
        <v>6.333333333333333</v>
      </c>
      <c r="AI78" s="13">
        <f>IF('Données projet'!$A$62&gt;35,AI77+AH78-AQ77,IF(A78&lt;'Données projet'!$A$62,$AF$205^A78,IF(A78='Données projet'!$A$62,'Données projet'!$B$62,AI77+AH78-AQ77)))</f>
        <v>208.00000000000009</v>
      </c>
      <c r="AJ78" s="13">
        <f>AI78*VLOOKUP('Données projet'!$B$10,Paramètres!$A$1:$I$89,3,0)*VLOOKUP('Données projet'!$B$10,Paramètres!$A$1:$I$89,5,0)</f>
        <v>210.91200000000012</v>
      </c>
      <c r="AK78" s="13">
        <f t="shared" si="89"/>
        <v>52.134830352456831</v>
      </c>
      <c r="AL78" s="20">
        <f t="shared" si="58"/>
        <v>458.13989619719581</v>
      </c>
      <c r="AM78" s="59">
        <f t="shared" si="59"/>
        <v>751.47322953052912</v>
      </c>
      <c r="AN78" s="59">
        <f ca="1">AVERAGE(OFFSET($AM$3,0,0,'Données projet'!$E$10+1,1))-AVERAGE(OFFSET($H$3,0,0,'Données projet'!$E$10+1,1))</f>
        <v>483.45320081988984</v>
      </c>
      <c r="AO78" s="59">
        <f t="shared" si="90"/>
        <v>238.92443174298893</v>
      </c>
      <c r="AP78" s="15">
        <f>IF(ISNA(VLOOKUP(A78,'Données projet'!$A$61:$I$81,3,0)),0,VLOOKUP(A78,'Données projet'!$A$61:$I$81,3,0))</f>
        <v>5</v>
      </c>
      <c r="AQ78" s="15">
        <f>IF(ISNA(VLOOKUP(A78,'Données projet'!$A$61:$I$81,4,0)),0,VLOOKUP(A78,'Données projet'!$A$61:$I$81,4,0))</f>
        <v>37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0.215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26.970308475962028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26.970308475962028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1.7053025658242404E-13</v>
      </c>
      <c r="BE78" s="13">
        <f>BD78*VLOOKUP('Données projet'!$B$11,Paramètres!$A$1:$I$89,3,0)*VLOOKUP('Données projet'!$B$11,Paramètres!$A$1:$I$89,5,0)</f>
        <v>1.4897523215040567E-13</v>
      </c>
      <c r="BF78" s="13">
        <f t="shared" si="91"/>
        <v>2.136562777003313E-12</v>
      </c>
      <c r="BG78" s="20">
        <f t="shared" si="61"/>
        <v>3.9806453659427267E-12</v>
      </c>
      <c r="BH78" s="59">
        <f t="shared" si="62"/>
        <v>293.33333333333729</v>
      </c>
      <c r="BI78" s="59">
        <f ca="1">AVERAGE(OFFSET($BH$3,0,0,'Données projet'!$E$11+1,1))-AVERAGE(OFFSET($H$3,0,0,'Données projet'!$E$11+1,1))</f>
        <v>310.44153296396854</v>
      </c>
      <c r="BJ78" s="59">
        <f t="shared" si="92"/>
        <v>388.05195847800502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73.693709609496565</v>
      </c>
      <c r="BQ78" s="21">
        <f>EXP(-LN(2)/25)*BQ77+(1-EXP(-LN(2)/25))/(LN(2)/25)*Calculateur!BL78*Calculateur!BN78*VLOOKUP('Données projet'!$B$11,Paramètres!$A$1:$I$89,3,0)*0.475*44/12</f>
        <v>4.6178743468925747</v>
      </c>
      <c r="BR78" s="21">
        <f>EXP(-LN(2)/2)*BR77+(1-EXP(-LN(2)/2))/(LN(2)/2)*BL78*BO78*VLOOKUP('Données projet'!$B$11,Paramètres!$A$1:$I$89,3,0)*0.475*44/12</f>
        <v>7.2815397302864273</v>
      </c>
      <c r="BS78" s="22">
        <f t="shared" si="63"/>
        <v>85.593123686675568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-2.2737367544323206E-13</v>
      </c>
      <c r="BZ78" s="13">
        <f>BY78*VLOOKUP('Données projet'!$B$12,Paramètres!$A$1:$I$89,3,0)*VLOOKUP('Données projet'!$B$12,Paramètres!$A$1:$I$89,5,0)</f>
        <v>-1.2710188457276673E-13</v>
      </c>
      <c r="CA78" s="13" t="e">
        <f t="shared" si="93"/>
        <v>#NUM!</v>
      </c>
      <c r="CB78" s="20" t="e">
        <f t="shared" si="64"/>
        <v>#NUM!</v>
      </c>
      <c r="CC78" s="59" t="e">
        <f t="shared" si="65"/>
        <v>#NUM!</v>
      </c>
      <c r="CD78" s="59">
        <f ca="1">AVERAGE(OFFSET($CC$3,0,0,'Données projet'!$E$12+1,1))-AVERAGE(OFFSET($H$3,0,0,'Données projet'!$E$12+1,1))</f>
        <v>443.34220761968419</v>
      </c>
      <c r="CE78" s="59">
        <f t="shared" si="94"/>
        <v>546.58234447298014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189.03786830342671</v>
      </c>
      <c r="CL78" s="21">
        <f>EXP(-LN(2)/25)*CL77+(1-EXP(-LN(2)/25))/(LN(2)/25)*Calculateur!CG78*Calculateur!CI78*VLOOKUP('Données projet'!$B$12,Paramètres!$A$1:$I$89,3,0)*0.475*44/12</f>
        <v>40.004071086535639</v>
      </c>
      <c r="CM78" s="21">
        <f>EXP(-LN(2)/2)*CM77+(1-EXP(-LN(2)/2))/(LN(2)/2)*CG78*CJ78*VLOOKUP('Données projet'!$B$12,Paramètres!$A$1:$I$89,3,0)*0.475*44/12</f>
        <v>0.23858451333073191</v>
      </c>
      <c r="CN78" s="22">
        <f t="shared" si="66"/>
        <v>229.28052390329307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>
        <f>CT78*VLOOKUP('Données projet'!$B$13,Paramètres!$A$1:$I$89,3,0)*VLOOKUP('Données projet'!$B$13,Paramètres!$A$1:$I$89,5,0)</f>
        <v>0</v>
      </c>
      <c r="CV78" s="13" t="e">
        <f t="shared" si="95"/>
        <v>#NUM!</v>
      </c>
      <c r="CW78" s="20" t="e">
        <f t="shared" si="67"/>
        <v>#NUM!</v>
      </c>
      <c r="CX78" s="59" t="e">
        <f t="shared" si="68"/>
        <v>#NUM!</v>
      </c>
      <c r="CY78" s="59">
        <f ca="1">AVERAGE(OFFSET($CX$3,0,0,'Données projet'!$E$13+1,1))-AVERAGE(OFFSET($H$3,0,0,'Données projet'!$E$13+1,1))</f>
        <v>214.22606988805535</v>
      </c>
      <c r="CZ78" s="59">
        <f t="shared" si="96"/>
        <v>305.78163836959078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106.06767990142561</v>
      </c>
      <c r="DG78" s="21">
        <f>EXP(-LN(2)/25)*DG77+(1-EXP(-LN(2)/25))/(LN(2)/25)*Calculateur!DB78*Calculateur!DD78*VLOOKUP('Données projet'!$B$13,Paramètres!$A$1:$I$89,3,0)*0.475*44/12</f>
        <v>23.445091687092614</v>
      </c>
      <c r="DH78" s="21">
        <f>EXP(-LN(2)/2)*DH77+(1-EXP(-LN(2)/2))/(LN(2)/2)*DB78*DE78*VLOOKUP('Données projet'!$B$13,Paramètres!$A$1:$I$89,3,0)*0.475*44/12</f>
        <v>0.10427314463245872</v>
      </c>
      <c r="DI78" s="22">
        <f t="shared" si="69"/>
        <v>129.61704473315066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270</v>
      </c>
      <c r="DM78" s="12">
        <f>VLOOKUP(A78,'Données projet'!$A$165:$I$185,9,0)</f>
        <v>3.4</v>
      </c>
      <c r="DN78" s="12">
        <f t="array" ref="DN78">INDEX(DM:DM,MIN(IF(ISNUMBER(DM78:DM274),ROW(DM78:DM274),"")))</f>
        <v>3.4</v>
      </c>
      <c r="DO78" s="12">
        <f>IF('Données projet'!$A$166&gt;35,DO77+DN78-DW77,IF(A78&lt;'Données projet'!$A$166,$DL$205^A78,IF(A78='Données projet'!$A$166,'Données projet'!$B$166,DO77+DN78-DW77)))</f>
        <v>269.99999999999977</v>
      </c>
      <c r="DP78" s="17">
        <f>DO78*VLOOKUP('Données projet'!$B$14,Paramètres!$A$1:$I$89,3,0)*VLOOKUP('Données projet'!$B$14,Paramètres!$A$1:$I$89,5,0)</f>
        <v>219.02399999999983</v>
      </c>
      <c r="DQ78" s="13">
        <f t="shared" si="97"/>
        <v>53.902702081308306</v>
      </c>
      <c r="DR78" s="20">
        <f t="shared" si="70"/>
        <v>475.34733945827821</v>
      </c>
      <c r="DS78" s="59">
        <f t="shared" si="71"/>
        <v>768.68067279161153</v>
      </c>
      <c r="DT78" s="59">
        <f ca="1">AVERAGE(OFFSET($DS$3,0,0,'Données projet'!$E$14+1,1))-AVERAGE(OFFSET($H$3,0,0,'Données projet'!$E$14+1,1))</f>
        <v>304.26232113495314</v>
      </c>
      <c r="DU78" s="59">
        <f t="shared" si="98"/>
        <v>297.47246687305056</v>
      </c>
      <c r="DV78" s="15">
        <f>IF(ISNA(VLOOKUP(A78,'Données projet'!$A$165:$I$185,3,0)),0,VLOOKUP(A78,'Données projet'!$A$165:$I$185,3,0))</f>
        <v>13</v>
      </c>
      <c r="DW78" s="15">
        <f>IF(ISNA(VLOOKUP(A78,'Données projet'!$A$165:$I$185,4,0)),0,VLOOKUP(A78,'Données projet'!$A$165:$I$185,4,0))</f>
        <v>9</v>
      </c>
      <c r="DX78" s="16">
        <f>IF(ISNA(VLOOKUP(A78,'Données projet'!$A$165:$I$185,5,0)),0%,VLOOKUP(A78,'Données projet'!$A$165:$I$185,5,0)*VLOOKUP('Données projet'!$B$14,Paramètres!$A$1:$I$89,7,0))</f>
        <v>0.371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0.2</v>
      </c>
      <c r="EA78" s="21">
        <f>EXP(-LN(2)/35)*EA77+(1-EXP(-LN(2)/35))/(LN(2)/35)*DW78*DX78*VLOOKUP('Données projet'!$B$14,Paramètres!$A$1:$I$89,3,0)*0.475*44/12</f>
        <v>15.36328550453703</v>
      </c>
      <c r="EB78" s="21">
        <f>EXP(-LN(2)/25)*EB77+(1-EXP(-LN(2)/25))/(LN(2)/25)*Calculateur!DW78*Calculateur!DY78*VLOOKUP('Données projet'!$B$14,Paramètres!$A$1:$I$89,3,0)*0.475*44/12</f>
        <v>3.3209594103824132</v>
      </c>
      <c r="EC78" s="21">
        <f>EXP(-LN(2)/2)*EC77+(1-EXP(-LN(2)/2))/(LN(2)/2)*DW78*DZ78*VLOOKUP('Données projet'!$B$14,Paramètres!$A$1:$I$89,3,0)*0.475*44/12</f>
        <v>1.8818233771790491</v>
      </c>
      <c r="ED78" s="22">
        <f t="shared" si="72"/>
        <v>20.566068292098493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270</v>
      </c>
      <c r="EH78" s="12">
        <f>VLOOKUP(A78,'Données projet'!$A$191:$I$211,9,0)</f>
        <v>3.4</v>
      </c>
      <c r="EI78" s="12">
        <f t="array" ref="EI78">INDEX(EH:EH,MIN(IF(ISNUMBER(EH78:EH274),ROW(EH78:EH274),"")))</f>
        <v>3.4</v>
      </c>
      <c r="EJ78" s="12">
        <f>IF('Données projet'!$A$192&gt;35,EJ77+EI78-ER77,IF(A78&lt;'Données projet'!$A$192,$EG$205^A78,IF(A78='Données projet'!$A$192,'Données projet'!$B$192,EJ77+EI78-ER77)))</f>
        <v>269.99999999999977</v>
      </c>
      <c r="EK78" s="17">
        <f>EJ78*VLOOKUP('Données projet'!$B$15,Paramètres!$A$1:$I$89,3,0)*VLOOKUP('Données projet'!$B$15,Paramètres!$A$1:$I$89,5,0)</f>
        <v>261.14399999999978</v>
      </c>
      <c r="EL78" s="13">
        <f t="shared" si="99"/>
        <v>62.966170181808813</v>
      </c>
      <c r="EM78" s="20">
        <f t="shared" si="73"/>
        <v>564.49187973331652</v>
      </c>
      <c r="EN78" s="59">
        <f t="shared" si="74"/>
        <v>857.82521306664989</v>
      </c>
      <c r="EO78" s="59">
        <f ca="1">AVERAGE(OFFSET($EN$3,0,0,'Données projet'!$E$15+1,1))-AVERAGE(OFFSET($H$3,0,0,'Données projet'!$E$15+1,1))</f>
        <v>355.72173590705142</v>
      </c>
      <c r="EP78" s="59">
        <f t="shared" si="100"/>
        <v>346.30980704469363</v>
      </c>
      <c r="EQ78" s="15">
        <f>IF(ISNA(VLOOKUP(A78,'Données projet'!$A$191:$I$211,3,0)),0,VLOOKUP(A78,'Données projet'!$A$191:$I$211,3,0))</f>
        <v>13</v>
      </c>
      <c r="ER78" s="15">
        <f>IF(ISNA(VLOOKUP(A78,'Données projet'!$A$191:$I$211,4,0)),0,VLOOKUP(A78,'Données projet'!$A$191:$I$211,4,0))</f>
        <v>9</v>
      </c>
      <c r="ES78" s="16">
        <f>IF(ISNA(VLOOKUP(A78,'Données projet'!$A$191:$I$211,5,0)),0%,VLOOKUP(A78,'Données projet'!$A$191:$I$211,5,0)*VLOOKUP('Données projet'!$B$15,Paramètres!$A$1:$I$89,7,0))</f>
        <v>0.30099999999999999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0.2</v>
      </c>
      <c r="EV78" s="21">
        <f>EXP(-LN(2)/35)*EV77+(1-EXP(-LN(2)/35))/(LN(2)/35)*ER78*ES78*VLOOKUP('Données projet'!$B$15,Paramètres!$A$1:$I$89,3,0)*0.475*44/12</f>
        <v>14.861581696333719</v>
      </c>
      <c r="EW78" s="21">
        <f>EXP(-LN(2)/25)*EW77+(1-EXP(-LN(2)/25))/(LN(2)/25)*Calculateur!ER78*Calculateur!ET78*VLOOKUP('Données projet'!$B$15,Paramètres!$A$1:$I$89,3,0)*0.475*44/12</f>
        <v>3.2125100827574422</v>
      </c>
      <c r="EX78" s="21">
        <f>EXP(-LN(2)/2)*EX77+(1-EXP(-LN(2)/2))/(LN(2)/2)*ER78*EU78*VLOOKUP('Données projet'!$B$15,Paramètres!$A$1:$I$89,3,0)*0.475*44/12</f>
        <v>2.2437124881750199</v>
      </c>
      <c r="EY78" s="22">
        <f t="shared" si="75"/>
        <v>20.317804267266183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270</v>
      </c>
      <c r="FC78" s="12">
        <f>VLOOKUP(A78,'Données projet'!$A$217:$I$237,9,0)</f>
        <v>3.4</v>
      </c>
      <c r="FD78" s="12">
        <f t="array" ref="FD78">INDEX(FC:FC,MIN(IF(ISNUMBER(FC78:FC274),ROW(FC78:FC274),"")))</f>
        <v>3.4</v>
      </c>
      <c r="FE78" s="12">
        <f>IF('Données projet'!$A$218&gt;35,FE77+FD78-FM77,IF(A78&lt;'Données projet'!$A$218,$FB$205^A78,IF(A78='Données projet'!$A$218,'Données projet'!$B$218,FE77+FD78-FM77)))</f>
        <v>269.99999999999977</v>
      </c>
      <c r="FF78" s="17">
        <f>FE78*VLOOKUP('Données projet'!$B$16,Paramètres!$A$1:$I$89,3,0)*VLOOKUP('Données projet'!$B$16,Paramètres!$A$1:$I$89,5,0)</f>
        <v>197.96399999999983</v>
      </c>
      <c r="FG78" s="13">
        <f t="shared" si="101"/>
        <v>49.296450435147719</v>
      </c>
      <c r="FH78" s="20">
        <f t="shared" si="76"/>
        <v>430.64528450788202</v>
      </c>
      <c r="FI78" s="59">
        <f t="shared" si="77"/>
        <v>723.97861784121528</v>
      </c>
      <c r="FJ78" s="59">
        <f ca="1">AVERAGE(OFFSET($FI$3,0,0,'Données projet'!$E$16+1,1))-AVERAGE(OFFSET($H$3,0,0,'Données projet'!$E$16+1,1))</f>
        <v>278.45534008146865</v>
      </c>
      <c r="FK78" s="59">
        <f t="shared" si="102"/>
        <v>272.97841038165217</v>
      </c>
      <c r="FL78" s="15">
        <f>IF(ISNA(VLOOKUP(A78,'Données projet'!$A$217:$I$237,3,0)),0,VLOOKUP(A78,'Données projet'!$A$217:$I$237,3,0))</f>
        <v>13</v>
      </c>
      <c r="FM78" s="15">
        <f>IF(ISNA(VLOOKUP(A78,'Données projet'!$A$217:$I$237,4,0)),0,VLOOKUP(A78,'Données projet'!$A$217:$I$237,4,0))</f>
        <v>9</v>
      </c>
      <c r="FN78" s="16">
        <f>IF(ISNA(VLOOKUP(A78,'Données projet'!$A$217:$I$237,5,0)),0%,VLOOKUP(A78,'Données projet'!$A$217:$I$237,5,0)*VLOOKUP('Données projet'!$B$16,Paramètres!$A$1:$I$89,7,0))</f>
        <v>0.30099999999999999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0.2</v>
      </c>
      <c r="FQ78" s="21">
        <f>EXP(-LN(2)/35)*FQ77+(1-EXP(-LN(2)/35))/(LN(2)/35)*FM78*FN78*VLOOKUP('Données projet'!$B$16,Paramètres!$A$1:$I$89,3,0)*0.475*44/12</f>
        <v>11.266037737543298</v>
      </c>
      <c r="FR78" s="21">
        <f>EXP(-LN(2)/25)*FR77+(1-EXP(-LN(2)/25))/(LN(2)/25)*Calculateur!FM78*Calculateur!FO78*VLOOKUP('Données projet'!$B$16,Paramètres!$A$1:$I$89,3,0)*0.475*44/12</f>
        <v>2.4352899014451586</v>
      </c>
      <c r="FS78" s="21">
        <f>EXP(-LN(2)/2)*FS77+(1-EXP(-LN(2)/2))/(LN(2)/2)*FM78*FP78*VLOOKUP('Données projet'!$B$16,Paramètres!$A$1:$I$89,3,0)*0.475*44/12</f>
        <v>1.7008788216810633</v>
      </c>
      <c r="FT78" s="22">
        <f t="shared" si="78"/>
        <v>15.40220646066952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5.8888888888888893</v>
      </c>
      <c r="N79" s="13">
        <f>IF('Données projet'!$A$36&gt;35,N78+M79-V78,IF(A79&lt;'Données projet'!$A$36,$K$205^A79,IF(A79='Données projet'!$A$36,'Données projet'!$B$36,N78+M79-V78)))</f>
        <v>176.88888888888897</v>
      </c>
      <c r="O79" s="13">
        <f>N79*VLOOKUP('Données projet'!$B$9,Paramètres!$A$1:$I$89,3,0)*VLOOKUP('Données projet'!$B$9,Paramètres!$A$1:$I$89,5,0)</f>
        <v>160.04906666666673</v>
      </c>
      <c r="P79" s="13">
        <f t="shared" si="87"/>
        <v>40.853582332820466</v>
      </c>
      <c r="Q79" s="20">
        <f t="shared" si="54"/>
        <v>349.90544700744022</v>
      </c>
      <c r="R79" s="59">
        <f t="shared" si="55"/>
        <v>643.23878034077347</v>
      </c>
      <c r="S79" s="59">
        <f ca="1">AVERAGE(OFFSET($R$3,0,0,'Données projet'!$E$9+1,1))-AVERAGE(OFFSET($H$3,0,0,'Données projet'!$E$9+1,1))</f>
        <v>436.03161778768742</v>
      </c>
      <c r="T79" s="59">
        <f t="shared" si="88"/>
        <v>217.65884352525285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23.407732775354429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23.407732775354429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5.8888888888888893</v>
      </c>
      <c r="AI79" s="13">
        <f>IF('Données projet'!$A$62&gt;35,AI78+AH79-AQ78,IF(A79&lt;'Données projet'!$A$62,$AF$205^A79,IF(A79='Données projet'!$A$62,'Données projet'!$B$62,AI78+AH79-AQ78)))</f>
        <v>176.88888888888897</v>
      </c>
      <c r="AJ79" s="13">
        <f>AI79*VLOOKUP('Données projet'!$B$10,Paramètres!$A$1:$I$89,3,0)*VLOOKUP('Données projet'!$B$10,Paramètres!$A$1:$I$89,5,0)</f>
        <v>179.36533333333341</v>
      </c>
      <c r="AK79" s="13">
        <f t="shared" si="89"/>
        <v>45.180955512347808</v>
      </c>
      <c r="AL79" s="20">
        <f t="shared" si="58"/>
        <v>391.08478640622803</v>
      </c>
      <c r="AM79" s="59">
        <f t="shared" si="59"/>
        <v>684.41811973956135</v>
      </c>
      <c r="AN79" s="59">
        <f ca="1">AVERAGE(OFFSET($AM$3,0,0,'Données projet'!$E$10+1,1))-AVERAGE(OFFSET($H$3,0,0,'Données projet'!$E$10+1,1))</f>
        <v>483.45320081988984</v>
      </c>
      <c r="AO79" s="59">
        <f t="shared" si="90"/>
        <v>238.92443174298893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26.232803972379966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26.232803972379966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1.7053025658242404E-13</v>
      </c>
      <c r="BE79" s="13">
        <f>BD79*VLOOKUP('Données projet'!$B$11,Paramètres!$A$1:$I$89,3,0)*VLOOKUP('Données projet'!$B$11,Paramètres!$A$1:$I$89,5,0)</f>
        <v>1.4897523215040567E-13</v>
      </c>
      <c r="BF79" s="13">
        <f t="shared" si="91"/>
        <v>2.136562777003313E-12</v>
      </c>
      <c r="BG79" s="20">
        <f t="shared" si="61"/>
        <v>3.9806453659427267E-12</v>
      </c>
      <c r="BH79" s="59">
        <f t="shared" si="62"/>
        <v>293.33333333333729</v>
      </c>
      <c r="BI79" s="59">
        <f ca="1">AVERAGE(OFFSET($BH$3,0,0,'Données projet'!$E$11+1,1))-AVERAGE(OFFSET($H$3,0,0,'Données projet'!$E$11+1,1))</f>
        <v>310.44153296396854</v>
      </c>
      <c r="BJ79" s="59">
        <f t="shared" si="92"/>
        <v>388.05195847800502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72.248620912778875</v>
      </c>
      <c r="BQ79" s="21">
        <f>EXP(-LN(2)/25)*BQ78+(1-EXP(-LN(2)/25))/(LN(2)/25)*Calculateur!BL79*Calculateur!BN79*VLOOKUP('Données projet'!$B$11,Paramètres!$A$1:$I$89,3,0)*0.475*44/12</f>
        <v>4.49159833003334</v>
      </c>
      <c r="BR79" s="21">
        <f>EXP(-LN(2)/2)*BR78+(1-EXP(-LN(2)/2))/(LN(2)/2)*BL79*BO79*VLOOKUP('Données projet'!$B$11,Paramètres!$A$1:$I$89,3,0)*0.475*44/12</f>
        <v>5.148826120764797</v>
      </c>
      <c r="BS79" s="22">
        <f t="shared" si="63"/>
        <v>81.889045363577011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-2.2737367544323206E-13</v>
      </c>
      <c r="BZ79" s="13">
        <f>BY79*VLOOKUP('Données projet'!$B$12,Paramètres!$A$1:$I$89,3,0)*VLOOKUP('Données projet'!$B$12,Paramètres!$A$1:$I$89,5,0)</f>
        <v>-1.2710188457276673E-13</v>
      </c>
      <c r="CA79" s="13" t="e">
        <f t="shared" si="93"/>
        <v>#NUM!</v>
      </c>
      <c r="CB79" s="20" t="e">
        <f t="shared" si="64"/>
        <v>#NUM!</v>
      </c>
      <c r="CC79" s="59" t="e">
        <f t="shared" si="65"/>
        <v>#NUM!</v>
      </c>
      <c r="CD79" s="59">
        <f ca="1">AVERAGE(OFFSET($CC$3,0,0,'Données projet'!$E$12+1,1))-AVERAGE(OFFSET($H$3,0,0,'Données projet'!$E$12+1,1))</f>
        <v>443.34220761968419</v>
      </c>
      <c r="CE79" s="59">
        <f t="shared" si="94"/>
        <v>546.58234447298014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185.33095100771106</v>
      </c>
      <c r="CL79" s="21">
        <f>EXP(-LN(2)/25)*CL78+(1-EXP(-LN(2)/25))/(LN(2)/25)*Calculateur!CG79*Calculateur!CI79*VLOOKUP('Données projet'!$B$12,Paramètres!$A$1:$I$89,3,0)*0.475*44/12</f>
        <v>38.910157658951654</v>
      </c>
      <c r="CM79" s="21">
        <f>EXP(-LN(2)/2)*CM78+(1-EXP(-LN(2)/2))/(LN(2)/2)*CG79*CJ79*VLOOKUP('Données projet'!$B$12,Paramètres!$A$1:$I$89,3,0)*0.475*44/12</f>
        <v>0.1687047272622528</v>
      </c>
      <c r="CN79" s="22">
        <f t="shared" si="66"/>
        <v>224.40981339392496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>
        <f>CT79*VLOOKUP('Données projet'!$B$13,Paramètres!$A$1:$I$89,3,0)*VLOOKUP('Données projet'!$B$13,Paramètres!$A$1:$I$89,5,0)</f>
        <v>0</v>
      </c>
      <c r="CV79" s="13" t="e">
        <f t="shared" si="95"/>
        <v>#NUM!</v>
      </c>
      <c r="CW79" s="20" t="e">
        <f t="shared" si="67"/>
        <v>#NUM!</v>
      </c>
      <c r="CX79" s="59" t="e">
        <f t="shared" si="68"/>
        <v>#NUM!</v>
      </c>
      <c r="CY79" s="59">
        <f ca="1">AVERAGE(OFFSET($CX$3,0,0,'Données projet'!$E$13+1,1))-AVERAGE(OFFSET($H$3,0,0,'Données projet'!$E$13+1,1))</f>
        <v>214.22606988805535</v>
      </c>
      <c r="CZ79" s="59">
        <f t="shared" si="96"/>
        <v>305.78163836959078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103.9877573934553</v>
      </c>
      <c r="DG79" s="21">
        <f>EXP(-LN(2)/25)*DG78+(1-EXP(-LN(2)/25))/(LN(2)/25)*Calculateur!DB79*Calculateur!DD79*VLOOKUP('Données projet'!$B$13,Paramètres!$A$1:$I$89,3,0)*0.475*44/12</f>
        <v>22.80398442198528</v>
      </c>
      <c r="DH79" s="21">
        <f>EXP(-LN(2)/2)*DH78+(1-EXP(-LN(2)/2))/(LN(2)/2)*DB79*DE79*VLOOKUP('Données projet'!$B$13,Paramètres!$A$1:$I$89,3,0)*0.475*44/12</f>
        <v>7.3732247665257211E-2</v>
      </c>
      <c r="DI79" s="22">
        <f t="shared" si="69"/>
        <v>126.86547406310584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2.8</v>
      </c>
      <c r="DO79" s="12">
        <f>IF('Données projet'!$A$166&gt;35,DO78+DN79-DW78,IF(A79&lt;'Données projet'!$A$166,$DL$205^A79,IF(A79='Données projet'!$A$166,'Données projet'!$B$166,DO78+DN79-DW78)))</f>
        <v>263.79999999999978</v>
      </c>
      <c r="DP79" s="17">
        <f>DO79*VLOOKUP('Données projet'!$B$14,Paramètres!$A$1:$I$89,3,0)*VLOOKUP('Données projet'!$B$14,Paramètres!$A$1:$I$89,5,0)</f>
        <v>213.99455999999986</v>
      </c>
      <c r="DQ79" s="13">
        <f t="shared" si="97"/>
        <v>52.807537963382018</v>
      </c>
      <c r="DR79" s="20">
        <f t="shared" si="70"/>
        <v>464.68032061955677</v>
      </c>
      <c r="DS79" s="59">
        <f t="shared" si="71"/>
        <v>758.01365395289008</v>
      </c>
      <c r="DT79" s="59">
        <f ca="1">AVERAGE(OFFSET($DS$3,0,0,'Données projet'!$E$14+1,1))-AVERAGE(OFFSET($H$3,0,0,'Données projet'!$E$14+1,1))</f>
        <v>304.26232113495314</v>
      </c>
      <c r="DU79" s="59">
        <f t="shared" si="98"/>
        <v>297.47246687305056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15.062020846471938</v>
      </c>
      <c r="EB79" s="21">
        <f>EXP(-LN(2)/25)*EB78+(1-EXP(-LN(2)/25))/(LN(2)/25)*Calculateur!DW79*Calculateur!DY79*VLOOKUP('Données projet'!$B$14,Paramètres!$A$1:$I$89,3,0)*0.475*44/12</f>
        <v>3.230147600663841</v>
      </c>
      <c r="EC79" s="21">
        <f>EXP(-LN(2)/2)*EC78+(1-EXP(-LN(2)/2))/(LN(2)/2)*DW79*DZ79*VLOOKUP('Données projet'!$B$14,Paramètres!$A$1:$I$89,3,0)*0.475*44/12</f>
        <v>1.3306500709986759</v>
      </c>
      <c r="ED79" s="22">
        <f t="shared" si="72"/>
        <v>19.622818518134455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2.8</v>
      </c>
      <c r="EJ79" s="12">
        <f>IF('Données projet'!$A$192&gt;35,EJ78+EI79-ER78,IF(A79&lt;'Données projet'!$A$192,$EG$205^A79,IF(A79='Données projet'!$A$192,'Données projet'!$B$192,EJ78+EI79-ER78)))</f>
        <v>263.79999999999978</v>
      </c>
      <c r="EK79" s="17">
        <f>EJ79*VLOOKUP('Données projet'!$B$15,Paramètres!$A$1:$I$89,3,0)*VLOOKUP('Données projet'!$B$15,Paramètres!$A$1:$I$89,5,0)</f>
        <v>255.14735999999979</v>
      </c>
      <c r="EL79" s="13">
        <f t="shared" si="99"/>
        <v>61.686859728645594</v>
      </c>
      <c r="EM79" s="20">
        <f t="shared" si="73"/>
        <v>551.81959936072406</v>
      </c>
      <c r="EN79" s="59">
        <f t="shared" si="74"/>
        <v>845.15293269405743</v>
      </c>
      <c r="EO79" s="59">
        <f ca="1">AVERAGE(OFFSET($EN$3,0,0,'Données projet'!$E$15+1,1))-AVERAGE(OFFSET($H$3,0,0,'Données projet'!$E$15+1,1))</f>
        <v>355.72173590705142</v>
      </c>
      <c r="EP79" s="59">
        <f t="shared" si="100"/>
        <v>346.30980704469363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14.570155143938388</v>
      </c>
      <c r="EW79" s="21">
        <f>EXP(-LN(2)/25)*EW78+(1-EXP(-LN(2)/25))/(LN(2)/25)*Calculateur!ER79*Calculateur!ET79*VLOOKUP('Données projet'!$B$15,Paramètres!$A$1:$I$89,3,0)*0.475*44/12</f>
        <v>3.124663825605877</v>
      </c>
      <c r="EX79" s="21">
        <f>EXP(-LN(2)/2)*EX78+(1-EXP(-LN(2)/2))/(LN(2)/2)*ER79*EU79*VLOOKUP('Données projet'!$B$15,Paramètres!$A$1:$I$89,3,0)*0.475*44/12</f>
        <v>1.586544315421498</v>
      </c>
      <c r="EY79" s="22">
        <f t="shared" si="75"/>
        <v>19.281363284965764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2.8</v>
      </c>
      <c r="FE79" s="12">
        <f>IF('Données projet'!$A$218&gt;35,FE78+FD79-FM78,IF(A79&lt;'Données projet'!$A$218,$FB$205^A79,IF(A79='Données projet'!$A$218,'Données projet'!$B$218,FE78+FD79-FM78)))</f>
        <v>263.79999999999978</v>
      </c>
      <c r="FF79" s="17">
        <f>FE79*VLOOKUP('Données projet'!$B$16,Paramètres!$A$1:$I$89,3,0)*VLOOKUP('Données projet'!$B$16,Paramètres!$A$1:$I$89,5,0)</f>
        <v>193.41815999999983</v>
      </c>
      <c r="FG79" s="13">
        <f t="shared" si="101"/>
        <v>48.29487349052124</v>
      </c>
      <c r="FH79" s="20">
        <f t="shared" si="76"/>
        <v>420.98353332932419</v>
      </c>
      <c r="FI79" s="59">
        <f t="shared" si="77"/>
        <v>714.3168666626575</v>
      </c>
      <c r="FJ79" s="59">
        <f ca="1">AVERAGE(OFFSET($FI$3,0,0,'Données projet'!$E$16+1,1))-AVERAGE(OFFSET($H$3,0,0,'Données projet'!$E$16+1,1))</f>
        <v>278.45534008146865</v>
      </c>
      <c r="FK79" s="59">
        <f t="shared" si="102"/>
        <v>272.97841038165217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11.04511760911458</v>
      </c>
      <c r="FR79" s="21">
        <f>EXP(-LN(2)/25)*FR78+(1-EXP(-LN(2)/25))/(LN(2)/25)*Calculateur!FM79*Calculateur!FO79*VLOOKUP('Données projet'!$B$16,Paramètres!$A$1:$I$89,3,0)*0.475*44/12</f>
        <v>2.3686967710238105</v>
      </c>
      <c r="FS79" s="21">
        <f>EXP(-LN(2)/2)*FS78+(1-EXP(-LN(2)/2))/(LN(2)/2)*FM79*FP79*VLOOKUP('Données projet'!$B$16,Paramètres!$A$1:$I$89,3,0)*0.475*44/12</f>
        <v>1.2027029487872645</v>
      </c>
      <c r="FT79" s="22">
        <f t="shared" si="78"/>
        <v>14.616517328925655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5.8888888888888893</v>
      </c>
      <c r="N80" s="13">
        <f>IF('Données projet'!$A$36&gt;35,N79+M80-V79,IF(A80&lt;'Données projet'!$A$36,$K$205^A80,IF(A80='Données projet'!$A$36,'Données projet'!$B$36,N79+M80-V79)))</f>
        <v>182.77777777777786</v>
      </c>
      <c r="O80" s="13">
        <f>N80*VLOOKUP('Données projet'!$B$9,Paramètres!$A$1:$I$89,3,0)*VLOOKUP('Données projet'!$B$9,Paramètres!$A$1:$I$89,5,0)</f>
        <v>165.37733333333341</v>
      </c>
      <c r="P80" s="13">
        <f t="shared" si="87"/>
        <v>42.053044719288117</v>
      </c>
      <c r="Q80" s="20">
        <f t="shared" si="54"/>
        <v>361.27457510831579</v>
      </c>
      <c r="R80" s="59">
        <f t="shared" si="55"/>
        <v>654.6079084416491</v>
      </c>
      <c r="S80" s="59">
        <f ca="1">AVERAGE(OFFSET($R$3,0,0,'Données projet'!$E$9+1,1))-AVERAGE(OFFSET($H$3,0,0,'Données projet'!$E$9+1,1))</f>
        <v>436.03161778768742</v>
      </c>
      <c r="T80" s="59">
        <f t="shared" si="88"/>
        <v>217.65884352525285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22.767647091653195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22.767647091653195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5.8888888888888893</v>
      </c>
      <c r="AI80" s="13">
        <f>IF('Données projet'!$A$62&gt;35,AI79+AH80-AQ79,IF(A80&lt;'Données projet'!$A$62,$AF$205^A80,IF(A80='Données projet'!$A$62,'Données projet'!$B$62,AI79+AH80-AQ79)))</f>
        <v>182.77777777777786</v>
      </c>
      <c r="AJ80" s="13">
        <f>AI80*VLOOKUP('Données projet'!$B$10,Paramètres!$A$1:$I$89,3,0)*VLOOKUP('Données projet'!$B$10,Paramètres!$A$1:$I$89,5,0)</f>
        <v>185.33666666666676</v>
      </c>
      <c r="AK80" s="13">
        <f t="shared" si="89"/>
        <v>46.507469703447093</v>
      </c>
      <c r="AL80" s="20">
        <f t="shared" si="58"/>
        <v>403.79520417794828</v>
      </c>
      <c r="AM80" s="59">
        <f t="shared" si="59"/>
        <v>697.12853751128159</v>
      </c>
      <c r="AN80" s="59">
        <f ca="1">AVERAGE(OFFSET($AM$3,0,0,'Données projet'!$E$10+1,1))-AVERAGE(OFFSET($H$3,0,0,'Données projet'!$E$10+1,1))</f>
        <v>483.45320081988984</v>
      </c>
      <c r="AO80" s="59">
        <f t="shared" si="90"/>
        <v>238.92443174298893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25.515466568232032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25.515466568232032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1.7053025658242404E-13</v>
      </c>
      <c r="BE80" s="13">
        <f>BD80*VLOOKUP('Données projet'!$B$11,Paramètres!$A$1:$I$89,3,0)*VLOOKUP('Données projet'!$B$11,Paramètres!$A$1:$I$89,5,0)</f>
        <v>1.4897523215040567E-13</v>
      </c>
      <c r="BF80" s="13">
        <f t="shared" si="91"/>
        <v>2.136562777003313E-12</v>
      </c>
      <c r="BG80" s="20">
        <f t="shared" si="61"/>
        <v>3.9806453659427267E-12</v>
      </c>
      <c r="BH80" s="59">
        <f t="shared" si="62"/>
        <v>293.33333333333729</v>
      </c>
      <c r="BI80" s="59">
        <f ca="1">AVERAGE(OFFSET($BH$3,0,0,'Données projet'!$E$11+1,1))-AVERAGE(OFFSET($H$3,0,0,'Données projet'!$E$11+1,1))</f>
        <v>310.44153296396854</v>
      </c>
      <c r="BJ80" s="59">
        <f t="shared" si="92"/>
        <v>388.05195847800502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70.831869523986754</v>
      </c>
      <c r="BQ80" s="21">
        <f>EXP(-LN(2)/25)*BQ79+(1-EXP(-LN(2)/25))/(LN(2)/25)*Calculateur!BL80*Calculateur!BN80*VLOOKUP('Données projet'!$B$11,Paramètres!$A$1:$I$89,3,0)*0.475*44/12</f>
        <v>4.3687753374956877</v>
      </c>
      <c r="BR80" s="21">
        <f>EXP(-LN(2)/2)*BR79+(1-EXP(-LN(2)/2))/(LN(2)/2)*BL80*BO80*VLOOKUP('Données projet'!$B$11,Paramètres!$A$1:$I$89,3,0)*0.475*44/12</f>
        <v>3.6407698651432137</v>
      </c>
      <c r="BS80" s="22">
        <f t="shared" si="63"/>
        <v>78.841414726625658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-2.2737367544323206E-13</v>
      </c>
      <c r="BZ80" s="13">
        <f>BY80*VLOOKUP('Données projet'!$B$12,Paramètres!$A$1:$I$89,3,0)*VLOOKUP('Données projet'!$B$12,Paramètres!$A$1:$I$89,5,0)</f>
        <v>-1.2710188457276673E-13</v>
      </c>
      <c r="CA80" s="13" t="e">
        <f t="shared" si="93"/>
        <v>#NUM!</v>
      </c>
      <c r="CB80" s="20" t="e">
        <f t="shared" si="64"/>
        <v>#NUM!</v>
      </c>
      <c r="CC80" s="59" t="e">
        <f t="shared" si="65"/>
        <v>#NUM!</v>
      </c>
      <c r="CD80" s="59">
        <f ca="1">AVERAGE(OFFSET($CC$3,0,0,'Données projet'!$E$12+1,1))-AVERAGE(OFFSET($H$3,0,0,'Données projet'!$E$12+1,1))</f>
        <v>443.34220761968419</v>
      </c>
      <c r="CE80" s="59">
        <f t="shared" si="94"/>
        <v>546.58234447298014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181.69672409916811</v>
      </c>
      <c r="CL80" s="21">
        <f>EXP(-LN(2)/25)*CL79+(1-EXP(-LN(2)/25))/(LN(2)/25)*Calculateur!CG80*Calculateur!CI80*VLOOKUP('Données projet'!$B$12,Paramètres!$A$1:$I$89,3,0)*0.475*44/12</f>
        <v>37.846157351571357</v>
      </c>
      <c r="CM80" s="21">
        <f>EXP(-LN(2)/2)*CM79+(1-EXP(-LN(2)/2))/(LN(2)/2)*CG80*CJ80*VLOOKUP('Données projet'!$B$12,Paramètres!$A$1:$I$89,3,0)*0.475*44/12</f>
        <v>0.11929225666536598</v>
      </c>
      <c r="CN80" s="22">
        <f t="shared" si="66"/>
        <v>219.66217370740483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>
        <f>CT80*VLOOKUP('Données projet'!$B$13,Paramètres!$A$1:$I$89,3,0)*VLOOKUP('Données projet'!$B$13,Paramètres!$A$1:$I$89,5,0)</f>
        <v>0</v>
      </c>
      <c r="CV80" s="13" t="e">
        <f t="shared" si="95"/>
        <v>#NUM!</v>
      </c>
      <c r="CW80" s="20" t="e">
        <f t="shared" si="67"/>
        <v>#NUM!</v>
      </c>
      <c r="CX80" s="59" t="e">
        <f t="shared" si="68"/>
        <v>#NUM!</v>
      </c>
      <c r="CY80" s="59">
        <f ca="1">AVERAGE(OFFSET($CX$3,0,0,'Données projet'!$E$13+1,1))-AVERAGE(OFFSET($H$3,0,0,'Données projet'!$E$13+1,1))</f>
        <v>214.22606988805535</v>
      </c>
      <c r="CZ80" s="59">
        <f t="shared" si="96"/>
        <v>305.78163836959078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101.94862089723883</v>
      </c>
      <c r="DG80" s="21">
        <f>EXP(-LN(2)/25)*DG79+(1-EXP(-LN(2)/25))/(LN(2)/25)*Calculateur!DB80*Calculateur!DD80*VLOOKUP('Données projet'!$B$13,Paramètres!$A$1:$I$89,3,0)*0.475*44/12</f>
        <v>22.180408268756672</v>
      </c>
      <c r="DH80" s="21">
        <f>EXP(-LN(2)/2)*DH79+(1-EXP(-LN(2)/2))/(LN(2)/2)*DB80*DE80*VLOOKUP('Données projet'!$B$13,Paramètres!$A$1:$I$89,3,0)*0.475*44/12</f>
        <v>5.2136572316229361E-2</v>
      </c>
      <c r="DI80" s="22">
        <f t="shared" si="69"/>
        <v>124.18116573831172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2.8</v>
      </c>
      <c r="DO80" s="12">
        <f>IF('Données projet'!$A$166&gt;35,DO79+DN80-DW79,IF(A80&lt;'Données projet'!$A$166,$DL$205^A80,IF(A80='Données projet'!$A$166,'Données projet'!$B$166,DO79+DN80-DW79)))</f>
        <v>266.5999999999998</v>
      </c>
      <c r="DP80" s="17">
        <f>DO80*VLOOKUP('Données projet'!$B$14,Paramètres!$A$1:$I$89,3,0)*VLOOKUP('Données projet'!$B$14,Paramètres!$A$1:$I$89,5,0)</f>
        <v>216.26591999999982</v>
      </c>
      <c r="DQ80" s="13">
        <f t="shared" si="97"/>
        <v>53.302495062173776</v>
      </c>
      <c r="DR80" s="20">
        <f t="shared" si="70"/>
        <v>469.49832289995226</v>
      </c>
      <c r="DS80" s="59">
        <f t="shared" si="71"/>
        <v>762.83165623328557</v>
      </c>
      <c r="DT80" s="59">
        <f ca="1">AVERAGE(OFFSET($DS$3,0,0,'Données projet'!$E$14+1,1))-AVERAGE(OFFSET($H$3,0,0,'Données projet'!$E$14+1,1))</f>
        <v>304.26232113495314</v>
      </c>
      <c r="DU80" s="59">
        <f t="shared" si="98"/>
        <v>297.47246687305056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14.766663804598206</v>
      </c>
      <c r="EB80" s="21">
        <f>EXP(-LN(2)/25)*EB79+(1-EXP(-LN(2)/25))/(LN(2)/25)*Calculateur!DW80*Calculateur!DY80*VLOOKUP('Données projet'!$B$14,Paramètres!$A$1:$I$89,3,0)*0.475*44/12</f>
        <v>3.1418190446576086</v>
      </c>
      <c r="EC80" s="21">
        <f>EXP(-LN(2)/2)*EC79+(1-EXP(-LN(2)/2))/(LN(2)/2)*DW80*DZ80*VLOOKUP('Données projet'!$B$14,Paramètres!$A$1:$I$89,3,0)*0.475*44/12</f>
        <v>0.94091168858952479</v>
      </c>
      <c r="ED80" s="22">
        <f t="shared" si="72"/>
        <v>18.849394537845342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2.8</v>
      </c>
      <c r="EJ80" s="12">
        <f>IF('Données projet'!$A$192&gt;35,EJ79+EI80-ER79,IF(A80&lt;'Données projet'!$A$192,$EG$205^A80,IF(A80='Données projet'!$A$192,'Données projet'!$B$192,EJ79+EI80-ER79)))</f>
        <v>266.5999999999998</v>
      </c>
      <c r="EK80" s="17">
        <f>EJ80*VLOOKUP('Données projet'!$B$15,Paramètres!$A$1:$I$89,3,0)*VLOOKUP('Données projet'!$B$15,Paramètres!$A$1:$I$89,5,0)</f>
        <v>257.85551999999979</v>
      </c>
      <c r="EL80" s="13">
        <f t="shared" si="99"/>
        <v>62.265041372827518</v>
      </c>
      <c r="EM80" s="20">
        <f t="shared" si="73"/>
        <v>557.54331105767415</v>
      </c>
      <c r="EN80" s="59">
        <f t="shared" si="74"/>
        <v>850.8766443910074</v>
      </c>
      <c r="EO80" s="59">
        <f ca="1">AVERAGE(OFFSET($EN$3,0,0,'Données projet'!$E$15+1,1))-AVERAGE(OFFSET($H$3,0,0,'Données projet'!$E$15+1,1))</f>
        <v>355.72173590705142</v>
      </c>
      <c r="EP80" s="59">
        <f t="shared" si="100"/>
        <v>346.30980704469363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14.284443288482883</v>
      </c>
      <c r="EW80" s="21">
        <f>EXP(-LN(2)/25)*EW79+(1-EXP(-LN(2)/25))/(LN(2)/25)*Calculateur!ER80*Calculateur!ET80*VLOOKUP('Données projet'!$B$15,Paramètres!$A$1:$I$89,3,0)*0.475*44/12</f>
        <v>3.039219728975755</v>
      </c>
      <c r="EX80" s="21">
        <f>EXP(-LN(2)/2)*EX79+(1-EXP(-LN(2)/2))/(LN(2)/2)*ER80*EU80*VLOOKUP('Données projet'!$B$15,Paramètres!$A$1:$I$89,3,0)*0.475*44/12</f>
        <v>1.1218562440875102</v>
      </c>
      <c r="EY80" s="22">
        <f t="shared" si="75"/>
        <v>18.445519261546149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2.8</v>
      </c>
      <c r="FE80" s="12">
        <f>IF('Données projet'!$A$218&gt;35,FE79+FD80-FM79,IF(A80&lt;'Données projet'!$A$218,$FB$205^A80,IF(A80='Données projet'!$A$218,'Données projet'!$B$218,FE79+FD80-FM79)))</f>
        <v>266.5999999999998</v>
      </c>
      <c r="FF80" s="17">
        <f>FE80*VLOOKUP('Données projet'!$B$16,Paramètres!$A$1:$I$89,3,0)*VLOOKUP('Données projet'!$B$16,Paramètres!$A$1:$I$89,5,0)</f>
        <v>195.47111999999984</v>
      </c>
      <c r="FG80" s="13">
        <f t="shared" si="101"/>
        <v>48.747534064963503</v>
      </c>
      <c r="FH80" s="20">
        <f t="shared" si="76"/>
        <v>425.34748916314447</v>
      </c>
      <c r="FI80" s="59">
        <f t="shared" si="77"/>
        <v>718.68082249647773</v>
      </c>
      <c r="FJ80" s="59">
        <f ca="1">AVERAGE(OFFSET($FI$3,0,0,'Données projet'!$E$16+1,1))-AVERAGE(OFFSET($H$3,0,0,'Données projet'!$E$16+1,1))</f>
        <v>278.45534008146865</v>
      </c>
      <c r="FK80" s="59">
        <f t="shared" si="102"/>
        <v>272.97841038165217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10.828529589656375</v>
      </c>
      <c r="FR80" s="21">
        <f>EXP(-LN(2)/25)*FR79+(1-EXP(-LN(2)/25))/(LN(2)/25)*Calculateur!FM80*Calculateur!FO80*VLOOKUP('Données projet'!$B$16,Paramètres!$A$1:$I$89,3,0)*0.475*44/12</f>
        <v>2.3039246332558148</v>
      </c>
      <c r="FS80" s="21">
        <f>EXP(-LN(2)/2)*FS79+(1-EXP(-LN(2)/2))/(LN(2)/2)*FM80*FP80*VLOOKUP('Données projet'!$B$16,Paramètres!$A$1:$I$89,3,0)*0.475*44/12</f>
        <v>0.85043941084053176</v>
      </c>
      <c r="FT80" s="22">
        <f t="shared" si="78"/>
        <v>13.98289363375272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5.8888888888888893</v>
      </c>
      <c r="N81" s="13">
        <f>IF('Données projet'!$A$36&gt;35,N80+M81-V80,IF(A81&lt;'Données projet'!$A$36,$K$205^A81,IF(A81='Données projet'!$A$36,'Données projet'!$B$36,N80+M81-V80)))</f>
        <v>188.66666666666674</v>
      </c>
      <c r="O81" s="13">
        <f>N81*VLOOKUP('Données projet'!$B$9,Paramètres!$A$1:$I$89,3,0)*VLOOKUP('Données projet'!$B$9,Paramètres!$A$1:$I$89,5,0)</f>
        <v>170.70560000000006</v>
      </c>
      <c r="P81" s="13">
        <f t="shared" si="87"/>
        <v>43.248016397285603</v>
      </c>
      <c r="Q81" s="20">
        <f t="shared" si="54"/>
        <v>372.63588189193916</v>
      </c>
      <c r="R81" s="59">
        <f t="shared" si="55"/>
        <v>665.96921522527248</v>
      </c>
      <c r="S81" s="59">
        <f ca="1">AVERAGE(OFFSET($R$3,0,0,'Données projet'!$E$9+1,1))-AVERAGE(OFFSET($H$3,0,0,'Données projet'!$E$9+1,1))</f>
        <v>436.03161778768742</v>
      </c>
      <c r="T81" s="59">
        <f t="shared" si="88"/>
        <v>217.65884352525285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</v>
      </c>
      <c r="AA81" s="21">
        <f>EXP(-LN(2)/25)*AA80+(1-EXP(-LN(2)/25))/(LN(2)/25)*Calculateur!V81*Calculateur!X81*VLOOKUP('Données projet'!$B$9,Paramètres!$A$1:$I$89,3,0)*0.475*44/12</f>
        <v>22.145064584633413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22.145064584633413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5.8888888888888893</v>
      </c>
      <c r="AI81" s="13">
        <f>IF('Données projet'!$A$62&gt;35,AI80+AH81-AQ80,IF(A81&lt;'Données projet'!$A$62,$AF$205^A81,IF(A81='Données projet'!$A$62,'Données projet'!$B$62,AI80+AH81-AQ80)))</f>
        <v>188.66666666666674</v>
      </c>
      <c r="AJ81" s="13">
        <f>AI81*VLOOKUP('Données projet'!$B$10,Paramètres!$A$1:$I$89,3,0)*VLOOKUP('Données projet'!$B$10,Paramètres!$A$1:$I$89,5,0)</f>
        <v>191.30800000000008</v>
      </c>
      <c r="AK81" s="13">
        <f t="shared" si="89"/>
        <v>47.829017512456396</v>
      </c>
      <c r="AL81" s="20">
        <f t="shared" si="58"/>
        <v>416.49697216752833</v>
      </c>
      <c r="AM81" s="59">
        <f t="shared" si="59"/>
        <v>709.83030550086164</v>
      </c>
      <c r="AN81" s="59">
        <f ca="1">AVERAGE(OFFSET($AM$3,0,0,'Données projet'!$E$10+1,1))-AVERAGE(OFFSET($H$3,0,0,'Données projet'!$E$10+1,1))</f>
        <v>483.45320081988984</v>
      </c>
      <c r="AO81" s="59">
        <f t="shared" si="90"/>
        <v>238.92443174298893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24.817744793123655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24.817744793123655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1.7053025658242404E-13</v>
      </c>
      <c r="BE81" s="13">
        <f>BD81*VLOOKUP('Données projet'!$B$11,Paramètres!$A$1:$I$89,3,0)*VLOOKUP('Données projet'!$B$11,Paramètres!$A$1:$I$89,5,0)</f>
        <v>1.4897523215040567E-13</v>
      </c>
      <c r="BF81" s="13">
        <f t="shared" si="91"/>
        <v>2.136562777003313E-12</v>
      </c>
      <c r="BG81" s="20">
        <f t="shared" si="61"/>
        <v>3.9806453659427267E-12</v>
      </c>
      <c r="BH81" s="59">
        <f t="shared" si="62"/>
        <v>293.33333333333729</v>
      </c>
      <c r="BI81" s="59">
        <f ca="1">AVERAGE(OFFSET($BH$3,0,0,'Données projet'!$E$11+1,1))-AVERAGE(OFFSET($H$3,0,0,'Données projet'!$E$11+1,1))</f>
        <v>310.44153296396854</v>
      </c>
      <c r="BJ81" s="59">
        <f t="shared" si="92"/>
        <v>388.05195847800502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69.442899765795829</v>
      </c>
      <c r="BQ81" s="21">
        <f>EXP(-LN(2)/25)*BQ80+(1-EXP(-LN(2)/25))/(LN(2)/25)*Calculateur!BL81*Calculateur!BN81*VLOOKUP('Données projet'!$B$11,Paramètres!$A$1:$I$89,3,0)*0.475*44/12</f>
        <v>4.2493109461479577</v>
      </c>
      <c r="BR81" s="21">
        <f>EXP(-LN(2)/2)*BR80+(1-EXP(-LN(2)/2))/(LN(2)/2)*BL81*BO81*VLOOKUP('Données projet'!$B$11,Paramètres!$A$1:$I$89,3,0)*0.475*44/12</f>
        <v>2.5744130603823985</v>
      </c>
      <c r="BS81" s="22">
        <f t="shared" si="63"/>
        <v>76.266623772326184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-2.2737367544323206E-13</v>
      </c>
      <c r="BZ81" s="13">
        <f>BY81*VLOOKUP('Données projet'!$B$12,Paramètres!$A$1:$I$89,3,0)*VLOOKUP('Données projet'!$B$12,Paramètres!$A$1:$I$89,5,0)</f>
        <v>-1.2710188457276673E-13</v>
      </c>
      <c r="CA81" s="13" t="e">
        <f t="shared" si="93"/>
        <v>#NUM!</v>
      </c>
      <c r="CB81" s="20" t="e">
        <f t="shared" si="64"/>
        <v>#NUM!</v>
      </c>
      <c r="CC81" s="59" t="e">
        <f t="shared" si="65"/>
        <v>#NUM!</v>
      </c>
      <c r="CD81" s="59">
        <f ca="1">AVERAGE(OFFSET($CC$3,0,0,'Données projet'!$E$12+1,1))-AVERAGE(OFFSET($H$3,0,0,'Données projet'!$E$12+1,1))</f>
        <v>443.34220761968419</v>
      </c>
      <c r="CE81" s="59">
        <f t="shared" si="94"/>
        <v>546.58234447298014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178.13376216364216</v>
      </c>
      <c r="CL81" s="21">
        <f>EXP(-LN(2)/25)*CL80+(1-EXP(-LN(2)/25))/(LN(2)/25)*Calculateur!CG81*Calculateur!CI81*VLOOKUP('Données projet'!$B$12,Paramètres!$A$1:$I$89,3,0)*0.475*44/12</f>
        <v>36.811252188549723</v>
      </c>
      <c r="CM81" s="21">
        <f>EXP(-LN(2)/2)*CM80+(1-EXP(-LN(2)/2))/(LN(2)/2)*CG81*CJ81*VLOOKUP('Données projet'!$B$12,Paramètres!$A$1:$I$89,3,0)*0.475*44/12</f>
        <v>8.4352363631126415E-2</v>
      </c>
      <c r="CN81" s="22">
        <f t="shared" si="66"/>
        <v>215.02936671582302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>
        <f>CT81*VLOOKUP('Données projet'!$B$13,Paramètres!$A$1:$I$89,3,0)*VLOOKUP('Données projet'!$B$13,Paramètres!$A$1:$I$89,5,0)</f>
        <v>0</v>
      </c>
      <c r="CV81" s="13" t="e">
        <f t="shared" si="95"/>
        <v>#NUM!</v>
      </c>
      <c r="CW81" s="20" t="e">
        <f t="shared" si="67"/>
        <v>#NUM!</v>
      </c>
      <c r="CX81" s="59" t="e">
        <f t="shared" si="68"/>
        <v>#NUM!</v>
      </c>
      <c r="CY81" s="59">
        <f ca="1">AVERAGE(OFFSET($CX$3,0,0,'Données projet'!$E$13+1,1))-AVERAGE(OFFSET($H$3,0,0,'Données projet'!$E$13+1,1))</f>
        <v>214.22606988805535</v>
      </c>
      <c r="CZ81" s="59">
        <f t="shared" si="96"/>
        <v>305.78163836959078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99.949470623962711</v>
      </c>
      <c r="DG81" s="21">
        <f>EXP(-LN(2)/25)*DG80+(1-EXP(-LN(2)/25))/(LN(2)/25)*Calculateur!DB81*Calculateur!DD81*VLOOKUP('Données projet'!$B$13,Paramètres!$A$1:$I$89,3,0)*0.475*44/12</f>
        <v>21.573883838230543</v>
      </c>
      <c r="DH81" s="21">
        <f>EXP(-LN(2)/2)*DH80+(1-EXP(-LN(2)/2))/(LN(2)/2)*DB81*DE81*VLOOKUP('Données projet'!$B$13,Paramètres!$A$1:$I$89,3,0)*0.475*44/12</f>
        <v>3.6866123832628606E-2</v>
      </c>
      <c r="DI81" s="22">
        <f t="shared" si="69"/>
        <v>121.56022058602588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2.8</v>
      </c>
      <c r="DO81" s="12">
        <f>IF('Données projet'!$A$166&gt;35,DO80+DN81-DW80,IF(A81&lt;'Données projet'!$A$166,$DL$205^A81,IF(A81='Données projet'!$A$166,'Données projet'!$B$166,DO80+DN81-DW80)))</f>
        <v>269.39999999999981</v>
      </c>
      <c r="DP81" s="17">
        <f>DO81*VLOOKUP('Données projet'!$B$14,Paramètres!$A$1:$I$89,3,0)*VLOOKUP('Données projet'!$B$14,Paramètres!$A$1:$I$89,5,0)</f>
        <v>218.53727999999987</v>
      </c>
      <c r="DQ81" s="13">
        <f t="shared" si="97"/>
        <v>53.796847431080771</v>
      </c>
      <c r="DR81" s="20">
        <f t="shared" si="70"/>
        <v>474.31527194246542</v>
      </c>
      <c r="DS81" s="59">
        <f t="shared" si="71"/>
        <v>767.64860527579867</v>
      </c>
      <c r="DT81" s="59">
        <f ca="1">AVERAGE(OFFSET($DS$3,0,0,'Données projet'!$E$14+1,1))-AVERAGE(OFFSET($H$3,0,0,'Données projet'!$E$14+1,1))</f>
        <v>304.26232113495314</v>
      </c>
      <c r="DU81" s="59">
        <f t="shared" si="98"/>
        <v>297.47246687305056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14.477098534165611</v>
      </c>
      <c r="EB81" s="21">
        <f>EXP(-LN(2)/25)*EB80+(1-EXP(-LN(2)/25))/(LN(2)/25)*Calculateur!DW81*Calculateur!DY81*VLOOKUP('Données projet'!$B$14,Paramètres!$A$1:$I$89,3,0)*0.475*44/12</f>
        <v>3.0559058376603634</v>
      </c>
      <c r="EC81" s="21">
        <f>EXP(-LN(2)/2)*EC80+(1-EXP(-LN(2)/2))/(LN(2)/2)*DW81*DZ81*VLOOKUP('Données projet'!$B$14,Paramètres!$A$1:$I$89,3,0)*0.475*44/12</f>
        <v>0.66532503549933808</v>
      </c>
      <c r="ED81" s="22">
        <f t="shared" si="72"/>
        <v>18.198329407325314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2.8</v>
      </c>
      <c r="EJ81" s="12">
        <f>IF('Données projet'!$A$192&gt;35,EJ80+EI81-ER80,IF(A81&lt;'Données projet'!$A$192,$EG$205^A81,IF(A81='Données projet'!$A$192,'Données projet'!$B$192,EJ80+EI81-ER80)))</f>
        <v>269.39999999999981</v>
      </c>
      <c r="EK81" s="17">
        <f>EJ81*VLOOKUP('Données projet'!$B$15,Paramètres!$A$1:$I$89,3,0)*VLOOKUP('Données projet'!$B$15,Paramètres!$A$1:$I$89,5,0)</f>
        <v>260.56367999999981</v>
      </c>
      <c r="EL81" s="13">
        <f t="shared" si="99"/>
        <v>62.842516604837627</v>
      </c>
      <c r="EM81" s="20">
        <f t="shared" si="73"/>
        <v>563.26579242009177</v>
      </c>
      <c r="EN81" s="59">
        <f t="shared" si="74"/>
        <v>856.59912575342514</v>
      </c>
      <c r="EO81" s="59">
        <f ca="1">AVERAGE(OFFSET($EN$3,0,0,'Données projet'!$E$15+1,1))-AVERAGE(OFFSET($H$3,0,0,'Données projet'!$E$15+1,1))</f>
        <v>355.72173590705142</v>
      </c>
      <c r="EP81" s="59">
        <f t="shared" si="100"/>
        <v>346.30980704469363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14.004334068245837</v>
      </c>
      <c r="EW81" s="21">
        <f>EXP(-LN(2)/25)*EW80+(1-EXP(-LN(2)/25))/(LN(2)/25)*Calculateur!ER81*Calculateur!ET81*VLOOKUP('Données projet'!$B$15,Paramètres!$A$1:$I$89,3,0)*0.475*44/12</f>
        <v>2.9561121056612936</v>
      </c>
      <c r="EX81" s="21">
        <f>EXP(-LN(2)/2)*EX80+(1-EXP(-LN(2)/2))/(LN(2)/2)*ER81*EU81*VLOOKUP('Données projet'!$B$15,Paramètres!$A$1:$I$89,3,0)*0.475*44/12</f>
        <v>0.7932721577107491</v>
      </c>
      <c r="EY81" s="22">
        <f t="shared" si="75"/>
        <v>17.753718331617879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2.8</v>
      </c>
      <c r="FE81" s="12">
        <f>IF('Données projet'!$A$218&gt;35,FE80+FD81-FM80,IF(A81&lt;'Données projet'!$A$218,$FB$205^A81,IF(A81='Données projet'!$A$218,'Données projet'!$B$218,FE80+FD81-FM80)))</f>
        <v>269.39999999999981</v>
      </c>
      <c r="FF81" s="17">
        <f>FE81*VLOOKUP('Données projet'!$B$16,Paramètres!$A$1:$I$89,3,0)*VLOOKUP('Données projet'!$B$16,Paramètres!$A$1:$I$89,5,0)</f>
        <v>197.52407999999986</v>
      </c>
      <c r="FG81" s="13">
        <f t="shared" si="101"/>
        <v>49.199641586671113</v>
      </c>
      <c r="FH81" s="20">
        <f t="shared" si="76"/>
        <v>429.71048176345192</v>
      </c>
      <c r="FI81" s="59">
        <f t="shared" si="77"/>
        <v>723.04381509678524</v>
      </c>
      <c r="FJ81" s="59">
        <f ca="1">AVERAGE(OFFSET($FI$3,0,0,'Données projet'!$E$16+1,1))-AVERAGE(OFFSET($H$3,0,0,'Données projet'!$E$16+1,1))</f>
        <v>278.45534008146865</v>
      </c>
      <c r="FK81" s="59">
        <f t="shared" si="102"/>
        <v>272.97841038165217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10.616188729154098</v>
      </c>
      <c r="FR81" s="21">
        <f>EXP(-LN(2)/25)*FR80+(1-EXP(-LN(2)/25))/(LN(2)/25)*Calculateur!FM81*Calculateur!FO81*VLOOKUP('Données projet'!$B$16,Paramètres!$A$1:$I$89,3,0)*0.475*44/12</f>
        <v>2.2409236930013039</v>
      </c>
      <c r="FS81" s="21">
        <f>EXP(-LN(2)/2)*FS80+(1-EXP(-LN(2)/2))/(LN(2)/2)*FM81*FP81*VLOOKUP('Données projet'!$B$16,Paramètres!$A$1:$I$89,3,0)*0.475*44/12</f>
        <v>0.60135147439363235</v>
      </c>
      <c r="FT81" s="22">
        <f t="shared" si="78"/>
        <v>13.458463896549036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5.8888888888888893</v>
      </c>
      <c r="N82" s="13">
        <f>IF('Données projet'!$A$36&gt;35,N81+M82-V81,IF(A82&lt;'Données projet'!$A$36,$K$205^A82,IF(A82='Données projet'!$A$36,'Données projet'!$B$36,N81+M82-V81)))</f>
        <v>194.55555555555563</v>
      </c>
      <c r="O82" s="13">
        <f>N82*VLOOKUP('Données projet'!$B$9,Paramètres!$A$1:$I$89,3,0)*VLOOKUP('Données projet'!$B$9,Paramètres!$A$1:$I$89,5,0)</f>
        <v>176.03386666666674</v>
      </c>
      <c r="P82" s="13">
        <f t="shared" si="87"/>
        <v>44.438653619423476</v>
      </c>
      <c r="Q82" s="20">
        <f t="shared" si="54"/>
        <v>383.98963949827385</v>
      </c>
      <c r="R82" s="59">
        <f t="shared" si="55"/>
        <v>677.3229728316071</v>
      </c>
      <c r="S82" s="59">
        <f ca="1">AVERAGE(OFFSET($R$3,0,0,'Données projet'!$E$9+1,1))-AVERAGE(OFFSET($H$3,0,0,'Données projet'!$E$9+1,1))</f>
        <v>436.03161778768742</v>
      </c>
      <c r="T82" s="59">
        <f t="shared" si="88"/>
        <v>217.65884352525285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</v>
      </c>
      <c r="AA82" s="21">
        <f>EXP(-LN(2)/25)*AA81+(1-EXP(-LN(2)/25))/(LN(2)/25)*Calculateur!V82*Calculateur!X82*VLOOKUP('Données projet'!$B$9,Paramètres!$A$1:$I$89,3,0)*0.475*44/12</f>
        <v>21.53950662900828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21.53950662900828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5.8888888888888893</v>
      </c>
      <c r="AI82" s="13">
        <f>IF('Données projet'!$A$62&gt;35,AI81+AH82-AQ81,IF(A82&lt;'Données projet'!$A$62,$AF$205^A82,IF(A82='Données projet'!$A$62,'Données projet'!$B$62,AI81+AH82-AQ81)))</f>
        <v>194.55555555555563</v>
      </c>
      <c r="AJ82" s="13">
        <f>AI82*VLOOKUP('Données projet'!$B$10,Paramètres!$A$1:$I$89,3,0)*VLOOKUP('Données projet'!$B$10,Paramètres!$A$1:$I$89,5,0)</f>
        <v>197.27933333333343</v>
      </c>
      <c r="AK82" s="13">
        <f t="shared" si="89"/>
        <v>49.145771742881422</v>
      </c>
      <c r="AL82" s="20">
        <f t="shared" si="58"/>
        <v>429.19039134107408</v>
      </c>
      <c r="AM82" s="59">
        <f t="shared" si="59"/>
        <v>722.52372467440739</v>
      </c>
      <c r="AN82" s="59">
        <f ca="1">AVERAGE(OFFSET($AM$3,0,0,'Données projet'!$E$10+1,1))-AVERAGE(OFFSET($H$3,0,0,'Données projet'!$E$10+1,1))</f>
        <v>483.45320081988984</v>
      </c>
      <c r="AO82" s="59">
        <f t="shared" si="90"/>
        <v>238.92443174298893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24.139102256647213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24.139102256647213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1.7053025658242404E-13</v>
      </c>
      <c r="BE82" s="13">
        <f>BD82*VLOOKUP('Données projet'!$B$11,Paramètres!$A$1:$I$89,3,0)*VLOOKUP('Données projet'!$B$11,Paramètres!$A$1:$I$89,5,0)</f>
        <v>1.4897523215040567E-13</v>
      </c>
      <c r="BF82" s="13">
        <f t="shared" si="91"/>
        <v>2.136562777003313E-12</v>
      </c>
      <c r="BG82" s="20">
        <f t="shared" si="61"/>
        <v>3.9806453659427267E-12</v>
      </c>
      <c r="BH82" s="59">
        <f t="shared" si="62"/>
        <v>293.33333333333729</v>
      </c>
      <c r="BI82" s="59">
        <f ca="1">AVERAGE(OFFSET($BH$3,0,0,'Données projet'!$E$11+1,1))-AVERAGE(OFFSET($H$3,0,0,'Données projet'!$E$11+1,1))</f>
        <v>310.44153296396854</v>
      </c>
      <c r="BJ82" s="59">
        <f t="shared" si="92"/>
        <v>388.05195847800502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68.081166857375123</v>
      </c>
      <c r="BQ82" s="21">
        <f>EXP(-LN(2)/25)*BQ81+(1-EXP(-LN(2)/25))/(LN(2)/25)*Calculateur!BL82*Calculateur!BN82*VLOOKUP('Données projet'!$B$11,Paramètres!$A$1:$I$89,3,0)*0.475*44/12</f>
        <v>4.1331133148639907</v>
      </c>
      <c r="BR82" s="21">
        <f>EXP(-LN(2)/2)*BR81+(1-EXP(-LN(2)/2))/(LN(2)/2)*BL82*BO82*VLOOKUP('Données projet'!$B$11,Paramètres!$A$1:$I$89,3,0)*0.475*44/12</f>
        <v>1.8203849325716068</v>
      </c>
      <c r="BS82" s="22">
        <f t="shared" si="63"/>
        <v>74.034665104810728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-2.2737367544323206E-13</v>
      </c>
      <c r="BZ82" s="13">
        <f>BY82*VLOOKUP('Données projet'!$B$12,Paramètres!$A$1:$I$89,3,0)*VLOOKUP('Données projet'!$B$12,Paramètres!$A$1:$I$89,5,0)</f>
        <v>-1.2710188457276673E-13</v>
      </c>
      <c r="CA82" s="13" t="e">
        <f t="shared" si="93"/>
        <v>#NUM!</v>
      </c>
      <c r="CB82" s="20" t="e">
        <f t="shared" si="64"/>
        <v>#NUM!</v>
      </c>
      <c r="CC82" s="59" t="e">
        <f t="shared" si="65"/>
        <v>#NUM!</v>
      </c>
      <c r="CD82" s="59">
        <f ca="1">AVERAGE(OFFSET($CC$3,0,0,'Données projet'!$E$12+1,1))-AVERAGE(OFFSET($H$3,0,0,'Données projet'!$E$12+1,1))</f>
        <v>443.34220761968419</v>
      </c>
      <c r="CE82" s="59">
        <f t="shared" si="94"/>
        <v>546.58234447298014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174.64066773847966</v>
      </c>
      <c r="CL82" s="21">
        <f>EXP(-LN(2)/25)*CL81+(1-EXP(-LN(2)/25))/(LN(2)/25)*Calculateur!CG82*Calculateur!CI82*VLOOKUP('Données projet'!$B$12,Paramètres!$A$1:$I$89,3,0)*0.475*44/12</f>
        <v>35.804646561634215</v>
      </c>
      <c r="CM82" s="21">
        <f>EXP(-LN(2)/2)*CM81+(1-EXP(-LN(2)/2))/(LN(2)/2)*CG82*CJ82*VLOOKUP('Données projet'!$B$12,Paramètres!$A$1:$I$89,3,0)*0.475*44/12</f>
        <v>5.9646128332682999E-2</v>
      </c>
      <c r="CN82" s="22">
        <f t="shared" si="66"/>
        <v>210.50496042844654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>
        <f>CT82*VLOOKUP('Données projet'!$B$13,Paramètres!$A$1:$I$89,3,0)*VLOOKUP('Données projet'!$B$13,Paramètres!$A$1:$I$89,5,0)</f>
        <v>0</v>
      </c>
      <c r="CV82" s="13" t="e">
        <f t="shared" si="95"/>
        <v>#NUM!</v>
      </c>
      <c r="CW82" s="20" t="e">
        <f t="shared" si="67"/>
        <v>#NUM!</v>
      </c>
      <c r="CX82" s="59" t="e">
        <f t="shared" si="68"/>
        <v>#NUM!</v>
      </c>
      <c r="CY82" s="59">
        <f ca="1">AVERAGE(OFFSET($CX$3,0,0,'Données projet'!$E$13+1,1))-AVERAGE(OFFSET($H$3,0,0,'Données projet'!$E$13+1,1))</f>
        <v>214.22606988805535</v>
      </c>
      <c r="CZ82" s="59">
        <f t="shared" si="96"/>
        <v>305.78163836959078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97.989522468184276</v>
      </c>
      <c r="DG82" s="21">
        <f>EXP(-LN(2)/25)*DG81+(1-EXP(-LN(2)/25))/(LN(2)/25)*Calculateur!DB82*Calculateur!DD82*VLOOKUP('Données projet'!$B$13,Paramètres!$A$1:$I$89,3,0)*0.475*44/12</f>
        <v>20.983944850152884</v>
      </c>
      <c r="DH82" s="21">
        <f>EXP(-LN(2)/2)*DH81+(1-EXP(-LN(2)/2))/(LN(2)/2)*DB82*DE82*VLOOKUP('Données projet'!$B$13,Paramètres!$A$1:$I$89,3,0)*0.475*44/12</f>
        <v>2.6068286158114681E-2</v>
      </c>
      <c r="DI82" s="22">
        <f t="shared" si="69"/>
        <v>118.99953560449528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2.8</v>
      </c>
      <c r="DO82" s="12">
        <f>IF('Données projet'!$A$166&gt;35,DO81+DN82-DW81,IF(A82&lt;'Données projet'!$A$166,$DL$205^A82,IF(A82='Données projet'!$A$166,'Données projet'!$B$166,DO81+DN82-DW81)))</f>
        <v>272.19999999999982</v>
      </c>
      <c r="DP82" s="17">
        <f>DO82*VLOOKUP('Données projet'!$B$14,Paramètres!$A$1:$I$89,3,0)*VLOOKUP('Données projet'!$B$14,Paramètres!$A$1:$I$89,5,0)</f>
        <v>220.80863999999985</v>
      </c>
      <c r="DQ82" s="13">
        <f t="shared" si="97"/>
        <v>54.290602082955985</v>
      </c>
      <c r="DR82" s="20">
        <f t="shared" si="70"/>
        <v>479.13117996114801</v>
      </c>
      <c r="DS82" s="59">
        <f t="shared" si="71"/>
        <v>772.46451329448132</v>
      </c>
      <c r="DT82" s="59">
        <f ca="1">AVERAGE(OFFSET($DS$3,0,0,'Données projet'!$E$14+1,1))-AVERAGE(OFFSET($H$3,0,0,'Données projet'!$E$14+1,1))</f>
        <v>304.26232113495314</v>
      </c>
      <c r="DU82" s="59">
        <f t="shared" si="98"/>
        <v>297.47246687305056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14.193211462068824</v>
      </c>
      <c r="EB82" s="21">
        <f>EXP(-LN(2)/25)*EB81+(1-EXP(-LN(2)/25))/(LN(2)/25)*Calculateur!DW82*Calculateur!DY82*VLOOKUP('Données projet'!$B$14,Paramètres!$A$1:$I$89,3,0)*0.475*44/12</f>
        <v>2.972341931826437</v>
      </c>
      <c r="EC82" s="21">
        <f>EXP(-LN(2)/2)*EC81+(1-EXP(-LN(2)/2))/(LN(2)/2)*DW82*DZ82*VLOOKUP('Données projet'!$B$14,Paramètres!$A$1:$I$89,3,0)*0.475*44/12</f>
        <v>0.47045584429476245</v>
      </c>
      <c r="ED82" s="22">
        <f t="shared" si="72"/>
        <v>17.636009238190024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2.8</v>
      </c>
      <c r="EJ82" s="12">
        <f>IF('Données projet'!$A$192&gt;35,EJ81+EI82-ER81,IF(A82&lt;'Données projet'!$A$192,$EG$205^A82,IF(A82='Données projet'!$A$192,'Données projet'!$B$192,EJ81+EI82-ER81)))</f>
        <v>272.19999999999982</v>
      </c>
      <c r="EK82" s="17">
        <f>EJ82*VLOOKUP('Données projet'!$B$15,Paramètres!$A$1:$I$89,3,0)*VLOOKUP('Données projet'!$B$15,Paramètres!$A$1:$I$89,5,0)</f>
        <v>263.27183999999983</v>
      </c>
      <c r="EL82" s="13">
        <f t="shared" si="99"/>
        <v>63.419293616705005</v>
      </c>
      <c r="EM82" s="20">
        <f t="shared" si="73"/>
        <v>568.9870577157609</v>
      </c>
      <c r="EN82" s="59">
        <f t="shared" si="74"/>
        <v>862.32039104909427</v>
      </c>
      <c r="EO82" s="59">
        <f ca="1">AVERAGE(OFFSET($EN$3,0,0,'Données projet'!$E$15+1,1))-AVERAGE(OFFSET($H$3,0,0,'Données projet'!$E$15+1,1))</f>
        <v>355.72173590705142</v>
      </c>
      <c r="EP82" s="59">
        <f t="shared" si="100"/>
        <v>346.30980704469363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13.729717618967886</v>
      </c>
      <c r="EW82" s="21">
        <f>EXP(-LN(2)/25)*EW81+(1-EXP(-LN(2)/25))/(LN(2)/25)*Calculateur!ER82*Calculateur!ET82*VLOOKUP('Données projet'!$B$15,Paramètres!$A$1:$I$89,3,0)*0.475*44/12</f>
        <v>2.8752770646768062</v>
      </c>
      <c r="EX82" s="21">
        <f>EXP(-LN(2)/2)*EX81+(1-EXP(-LN(2)/2))/(LN(2)/2)*ER82*EU82*VLOOKUP('Données projet'!$B$15,Paramètres!$A$1:$I$89,3,0)*0.475*44/12</f>
        <v>0.56092812204375508</v>
      </c>
      <c r="EY82" s="22">
        <f t="shared" si="75"/>
        <v>17.165922805688446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2.8</v>
      </c>
      <c r="FE82" s="12">
        <f>IF('Données projet'!$A$218&gt;35,FE81+FD82-FM81,IF(A82&lt;'Données projet'!$A$218,$FB$205^A82,IF(A82='Données projet'!$A$218,'Données projet'!$B$218,FE81+FD82-FM81)))</f>
        <v>272.19999999999982</v>
      </c>
      <c r="FF82" s="17">
        <f>FE82*VLOOKUP('Données projet'!$B$16,Paramètres!$A$1:$I$89,3,0)*VLOOKUP('Données projet'!$B$16,Paramètres!$A$1:$I$89,5,0)</f>
        <v>199.57703999999987</v>
      </c>
      <c r="FG82" s="13">
        <f t="shared" si="101"/>
        <v>49.651202469214105</v>
      </c>
      <c r="FH82" s="20">
        <f t="shared" si="76"/>
        <v>434.07252230054763</v>
      </c>
      <c r="FI82" s="59">
        <f t="shared" si="77"/>
        <v>727.40585563388095</v>
      </c>
      <c r="FJ82" s="59">
        <f ca="1">AVERAGE(OFFSET($FI$3,0,0,'Données projet'!$E$16+1,1))-AVERAGE(OFFSET($H$3,0,0,'Données projet'!$E$16+1,1))</f>
        <v>278.45534008146865</v>
      </c>
      <c r="FK82" s="59">
        <f t="shared" si="102"/>
        <v>272.97841038165217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10.408011743411135</v>
      </c>
      <c r="FR82" s="21">
        <f>EXP(-LN(2)/25)*FR81+(1-EXP(-LN(2)/25))/(LN(2)/25)*Calculateur!FM82*Calculateur!FO82*VLOOKUP('Données projet'!$B$16,Paramètres!$A$1:$I$89,3,0)*0.475*44/12</f>
        <v>2.1796455167711279</v>
      </c>
      <c r="FS82" s="21">
        <f>EXP(-LN(2)/2)*FS81+(1-EXP(-LN(2)/2))/(LN(2)/2)*FM82*FP82*VLOOKUP('Données projet'!$B$16,Paramètres!$A$1:$I$89,3,0)*0.475*44/12</f>
        <v>0.42521970542026594</v>
      </c>
      <c r="FT82" s="22">
        <f t="shared" si="78"/>
        <v>13.01287696560253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5.8888888888888893</v>
      </c>
      <c r="N83" s="13">
        <f>IF('Données projet'!$A$36&gt;35,N82+M83-V82,IF(A83&lt;'Données projet'!$A$36,$K$205^A83,IF(A83='Données projet'!$A$36,'Données projet'!$B$36,N82+M83-V82)))</f>
        <v>200.44444444444451</v>
      </c>
      <c r="O83" s="13">
        <f>N83*VLOOKUP('Données projet'!$B$9,Paramètres!$A$1:$I$89,3,0)*VLOOKUP('Données projet'!$B$9,Paramètres!$A$1:$I$89,5,0)</f>
        <v>181.36213333333339</v>
      </c>
      <c r="P83" s="13">
        <f t="shared" si="87"/>
        <v>45.625102641743339</v>
      </c>
      <c r="Q83" s="20">
        <f t="shared" si="54"/>
        <v>395.33610265659195</v>
      </c>
      <c r="R83" s="59">
        <f t="shared" si="55"/>
        <v>688.6694359899252</v>
      </c>
      <c r="S83" s="59">
        <f ca="1">AVERAGE(OFFSET($R$3,0,0,'Données projet'!$E$9+1,1))-AVERAGE(OFFSET($H$3,0,0,'Données projet'!$E$9+1,1))</f>
        <v>436.03161778768742</v>
      </c>
      <c r="T83" s="59">
        <f t="shared" si="88"/>
        <v>217.65884352525285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</v>
      </c>
      <c r="AA83" s="21">
        <f>EXP(-LN(2)/25)*AA82+(1-EXP(-LN(2)/25))/(LN(2)/25)*Calculateur!V83*Calculateur!X83*VLOOKUP('Données projet'!$B$9,Paramètres!$A$1:$I$89,3,0)*0.475*44/12</f>
        <v>20.950507687524624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20.950507687524624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5.8888888888888893</v>
      </c>
      <c r="AI83" s="13">
        <f>IF('Données projet'!$A$62&gt;35,AI82+AH83-AQ82,IF(A83&lt;'Données projet'!$A$62,$AF$205^A83,IF(A83='Données projet'!$A$62,'Données projet'!$B$62,AI82+AH83-AQ82)))</f>
        <v>200.44444444444451</v>
      </c>
      <c r="AJ83" s="13">
        <f>AI83*VLOOKUP('Données projet'!$B$10,Paramètres!$A$1:$I$89,3,0)*VLOOKUP('Données projet'!$B$10,Paramètres!$A$1:$I$89,5,0)</f>
        <v>203.25066666666677</v>
      </c>
      <c r="AK83" s="13">
        <f t="shared" si="89"/>
        <v>50.457894142782592</v>
      </c>
      <c r="AL83" s="20">
        <f t="shared" si="58"/>
        <v>441.87574340979091</v>
      </c>
      <c r="AM83" s="59">
        <f t="shared" si="59"/>
        <v>735.20907674312423</v>
      </c>
      <c r="AN83" s="59">
        <f ca="1">AVERAGE(OFFSET($AM$3,0,0,'Données projet'!$E$10+1,1))-AVERAGE(OFFSET($H$3,0,0,'Données projet'!$E$10+1,1))</f>
        <v>483.45320081988984</v>
      </c>
      <c r="AO83" s="59">
        <f t="shared" si="90"/>
        <v>238.92443174298893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23.479017236018979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23.479017236018979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1.7053025658242404E-13</v>
      </c>
      <c r="BE83" s="13">
        <f>BD83*VLOOKUP('Données projet'!$B$11,Paramètres!$A$1:$I$89,3,0)*VLOOKUP('Données projet'!$B$11,Paramètres!$A$1:$I$89,5,0)</f>
        <v>1.4897523215040567E-13</v>
      </c>
      <c r="BF83" s="13">
        <f t="shared" si="91"/>
        <v>2.136562777003313E-12</v>
      </c>
      <c r="BG83" s="20">
        <f t="shared" si="61"/>
        <v>3.9806453659427267E-12</v>
      </c>
      <c r="BH83" s="59">
        <f t="shared" si="62"/>
        <v>293.33333333333729</v>
      </c>
      <c r="BI83" s="59">
        <f ca="1">AVERAGE(OFFSET($BH$3,0,0,'Données projet'!$E$11+1,1))-AVERAGE(OFFSET($H$3,0,0,'Données projet'!$E$11+1,1))</f>
        <v>310.44153296396854</v>
      </c>
      <c r="BJ83" s="59">
        <f t="shared" si="92"/>
        <v>388.05195847800502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66.746136700713492</v>
      </c>
      <c r="BQ83" s="21">
        <f>EXP(-LN(2)/25)*BQ82+(1-EXP(-LN(2)/25))/(LN(2)/25)*Calculateur!BL83*Calculateur!BN83*VLOOKUP('Données projet'!$B$11,Paramètres!$A$1:$I$89,3,0)*0.475*44/12</f>
        <v>4.020093113918052</v>
      </c>
      <c r="BR83" s="21">
        <f>EXP(-LN(2)/2)*BR82+(1-EXP(-LN(2)/2))/(LN(2)/2)*BL83*BO83*VLOOKUP('Données projet'!$B$11,Paramètres!$A$1:$I$89,3,0)*0.475*44/12</f>
        <v>1.2872065301911992</v>
      </c>
      <c r="BS83" s="22">
        <f t="shared" si="63"/>
        <v>72.053436344822742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-2.2737367544323206E-13</v>
      </c>
      <c r="BZ83" s="13">
        <f>BY83*VLOOKUP('Données projet'!$B$12,Paramètres!$A$1:$I$89,3,0)*VLOOKUP('Données projet'!$B$12,Paramètres!$A$1:$I$89,5,0)</f>
        <v>-1.2710188457276673E-13</v>
      </c>
      <c r="CA83" s="13" t="e">
        <f t="shared" si="93"/>
        <v>#NUM!</v>
      </c>
      <c r="CB83" s="20" t="e">
        <f t="shared" si="64"/>
        <v>#NUM!</v>
      </c>
      <c r="CC83" s="59" t="e">
        <f t="shared" si="65"/>
        <v>#NUM!</v>
      </c>
      <c r="CD83" s="59">
        <f ca="1">AVERAGE(OFFSET($CC$3,0,0,'Données projet'!$E$12+1,1))-AVERAGE(OFFSET($H$3,0,0,'Données projet'!$E$12+1,1))</f>
        <v>443.34220761968419</v>
      </c>
      <c r="CE83" s="59">
        <f t="shared" si="94"/>
        <v>546.58234447298014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171.2160707644174</v>
      </c>
      <c r="CL83" s="21">
        <f>EXP(-LN(2)/25)*CL82+(1-EXP(-LN(2)/25))/(LN(2)/25)*Calculateur!CG83*Calculateur!CI83*VLOOKUP('Données projet'!$B$12,Paramètres!$A$1:$I$89,3,0)*0.475*44/12</f>
        <v>34.825566618521798</v>
      </c>
      <c r="CM83" s="21">
        <f>EXP(-LN(2)/2)*CM82+(1-EXP(-LN(2)/2))/(LN(2)/2)*CG83*CJ83*VLOOKUP('Données projet'!$B$12,Paramètres!$A$1:$I$89,3,0)*0.475*44/12</f>
        <v>4.2176181815563214E-2</v>
      </c>
      <c r="CN83" s="22">
        <f t="shared" si="66"/>
        <v>206.08381356475476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>
        <f>CT83*VLOOKUP('Données projet'!$B$13,Paramètres!$A$1:$I$89,3,0)*VLOOKUP('Données projet'!$B$13,Paramètres!$A$1:$I$89,5,0)</f>
        <v>0</v>
      </c>
      <c r="CV83" s="13" t="e">
        <f t="shared" si="95"/>
        <v>#NUM!</v>
      </c>
      <c r="CW83" s="20" t="e">
        <f t="shared" si="67"/>
        <v>#NUM!</v>
      </c>
      <c r="CX83" s="59" t="e">
        <f t="shared" si="68"/>
        <v>#NUM!</v>
      </c>
      <c r="CY83" s="59">
        <f ca="1">AVERAGE(OFFSET($CX$3,0,0,'Données projet'!$E$13+1,1))-AVERAGE(OFFSET($H$3,0,0,'Données projet'!$E$13+1,1))</f>
        <v>214.22606988805535</v>
      </c>
      <c r="CZ83" s="59">
        <f t="shared" si="96"/>
        <v>305.78163836959078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96.068007700290323</v>
      </c>
      <c r="DG83" s="21">
        <f>EXP(-LN(2)/25)*DG82+(1-EXP(-LN(2)/25))/(LN(2)/25)*Calculateur!DB83*Calculateur!DD83*VLOOKUP('Données projet'!$B$13,Paramètres!$A$1:$I$89,3,0)*0.475*44/12</f>
        <v>20.410137774727755</v>
      </c>
      <c r="DH83" s="21">
        <f>EXP(-LN(2)/2)*DH82+(1-EXP(-LN(2)/2))/(LN(2)/2)*DB83*DE83*VLOOKUP('Données projet'!$B$13,Paramètres!$A$1:$I$89,3,0)*0.475*44/12</f>
        <v>1.8433061916314303E-2</v>
      </c>
      <c r="DI83" s="22">
        <f t="shared" si="69"/>
        <v>116.49657853693439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275</v>
      </c>
      <c r="DM83" s="12">
        <f>VLOOKUP(A83,'Données projet'!$A$165:$I$185,9,0)</f>
        <v>2.8</v>
      </c>
      <c r="DN83" s="12">
        <f t="array" ref="DN83">INDEX(DM:DM,MIN(IF(ISNUMBER(DM83:DM279),ROW(DM83:DM279),"")))</f>
        <v>2.8</v>
      </c>
      <c r="DO83" s="12">
        <f>IF('Données projet'!$A$166&gt;35,DO82+DN83-DW82,IF(A83&lt;'Données projet'!$A$166,$DL$205^A83,IF(A83='Données projet'!$A$166,'Données projet'!$B$166,DO82+DN83-DW82)))</f>
        <v>274.99999999999983</v>
      </c>
      <c r="DP83" s="17">
        <f>DO83*VLOOKUP('Données projet'!$B$14,Paramètres!$A$1:$I$89,3,0)*VLOOKUP('Données projet'!$B$14,Paramètres!$A$1:$I$89,5,0)</f>
        <v>223.07999999999987</v>
      </c>
      <c r="DQ83" s="13">
        <f t="shared" si="97"/>
        <v>54.783765878062617</v>
      </c>
      <c r="DR83" s="20">
        <f t="shared" si="70"/>
        <v>483.94605890429216</v>
      </c>
      <c r="DS83" s="59">
        <f t="shared" si="71"/>
        <v>777.27939223762542</v>
      </c>
      <c r="DT83" s="59">
        <f ca="1">AVERAGE(OFFSET($DS$3,0,0,'Données projet'!$E$14+1,1))-AVERAGE(OFFSET($H$3,0,0,'Données projet'!$E$14+1,1))</f>
        <v>304.26232113495314</v>
      </c>
      <c r="DU83" s="59">
        <f t="shared" si="98"/>
        <v>297.47246687305056</v>
      </c>
      <c r="DV83" s="15" t="str">
        <f>IF(ISNA(VLOOKUP(A83,'Données projet'!$A$165:$I$185,3,0)),0,VLOOKUP(A83,'Données projet'!$A$165:$I$185,3,0))</f>
        <v>CR</v>
      </c>
      <c r="DW83" s="15">
        <f>IF(ISNA(VLOOKUP(A83,'Données projet'!$A$165:$I$185,4,0)),0,VLOOKUP(A83,'Données projet'!$A$165:$I$185,4,0))</f>
        <v>275</v>
      </c>
      <c r="DX83" s="16">
        <f>IF(ISNA(VLOOKUP(A83,'Données projet'!$A$165:$I$185,5,0)),0%,VLOOKUP(A83,'Données projet'!$A$165:$I$185,5,0)*VLOOKUP('Données projet'!$B$14,Paramètres!$A$1:$I$89,7,0))</f>
        <v>0.371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0.2</v>
      </c>
      <c r="EA83" s="21">
        <f>EXP(-LN(2)/35)*EA82+(1-EXP(-LN(2)/35))/(LN(2)/35)*DW83*DX83*VLOOKUP('Données projet'!$B$14,Paramètres!$A$1:$I$89,3,0)*0.475*44/12</f>
        <v>105.40658251306596</v>
      </c>
      <c r="EB83" s="21">
        <f>EXP(-LN(2)/25)*EB82+(1-EXP(-LN(2)/25))/(LN(2)/25)*Calculateur!DW83*Calculateur!DY83*VLOOKUP('Données projet'!$B$14,Paramètres!$A$1:$I$89,3,0)*0.475*44/12</f>
        <v>2.8910630853919743</v>
      </c>
      <c r="EC83" s="21">
        <f>EXP(-LN(2)/2)*EC82+(1-EXP(-LN(2)/2))/(LN(2)/2)*DW83*DZ83*VLOOKUP('Données projet'!$B$14,Paramètres!$A$1:$I$89,3,0)*0.475*44/12</f>
        <v>42.42905933978367</v>
      </c>
      <c r="ED83" s="22">
        <f t="shared" si="72"/>
        <v>150.7267049382416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275</v>
      </c>
      <c r="EH83" s="12">
        <f>VLOOKUP(A83,'Données projet'!$A$191:$I$211,9,0)</f>
        <v>2.8</v>
      </c>
      <c r="EI83" s="12">
        <f t="array" ref="EI83">INDEX(EH:EH,MIN(IF(ISNUMBER(EH83:EH279),ROW(EH83:EH279),"")))</f>
        <v>2.8</v>
      </c>
      <c r="EJ83" s="12">
        <f>IF('Données projet'!$A$192&gt;35,EJ82+EI83-ER82,IF(A83&lt;'Données projet'!$A$192,$EG$205^A83,IF(A83='Données projet'!$A$192,'Données projet'!$B$192,EJ82+EI83-ER82)))</f>
        <v>274.99999999999983</v>
      </c>
      <c r="EK83" s="17">
        <f>EJ83*VLOOKUP('Données projet'!$B$15,Paramètres!$A$1:$I$89,3,0)*VLOOKUP('Données projet'!$B$15,Paramètres!$A$1:$I$89,5,0)</f>
        <v>265.97999999999985</v>
      </c>
      <c r="EL83" s="13">
        <f t="shared" si="99"/>
        <v>63.995380422211589</v>
      </c>
      <c r="EM83" s="20">
        <f t="shared" si="73"/>
        <v>574.70712090201823</v>
      </c>
      <c r="EN83" s="59">
        <f t="shared" si="74"/>
        <v>868.04045423535149</v>
      </c>
      <c r="EO83" s="59">
        <f ca="1">AVERAGE(OFFSET($EN$3,0,0,'Données projet'!$E$15+1,1))-AVERAGE(OFFSET($H$3,0,0,'Données projet'!$E$15+1,1))</f>
        <v>355.72173590705142</v>
      </c>
      <c r="EP83" s="59">
        <f t="shared" si="100"/>
        <v>346.30980704469363</v>
      </c>
      <c r="EQ83" s="15" t="str">
        <f>IF(ISNA(VLOOKUP(A83,'Données projet'!$A$191:$I$211,3,0)),0,VLOOKUP(A83,'Données projet'!$A$191:$I$211,3,0))</f>
        <v>CR</v>
      </c>
      <c r="ER83" s="15">
        <f>IF(ISNA(VLOOKUP(A83,'Données projet'!$A$191:$I$211,4,0)),0,VLOOKUP(A83,'Données projet'!$A$191:$I$211,4,0))</f>
        <v>275</v>
      </c>
      <c r="ES83" s="16">
        <f>IF(ISNA(VLOOKUP(A83,'Données projet'!$A$191:$I$211,5,0)),0%,VLOOKUP(A83,'Données projet'!$A$191:$I$211,5,0)*VLOOKUP('Données projet'!$B$15,Paramètres!$A$1:$I$89,7,0))</f>
        <v>0.30099999999999999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0.2</v>
      </c>
      <c r="EV83" s="21">
        <f>EXP(-LN(2)/35)*EV82+(1-EXP(-LN(2)/35))/(LN(2)/35)*ER83*ES83*VLOOKUP('Données projet'!$B$15,Paramètres!$A$1:$I$89,3,0)*0.475*44/12</f>
        <v>101.96442270676117</v>
      </c>
      <c r="EW83" s="21">
        <f>EXP(-LN(2)/25)*EW82+(1-EXP(-LN(2)/25))/(LN(2)/25)*Calculateur!ER83*Calculateur!ET83*VLOOKUP('Données projet'!$B$15,Paramètres!$A$1:$I$89,3,0)*0.475*44/12</f>
        <v>2.7966524621389697</v>
      </c>
      <c r="EX83" s="21">
        <f>EXP(-LN(2)/2)*EX82+(1-EXP(-LN(2)/2))/(LN(2)/2)*ER83*EU83*VLOOKUP('Données projet'!$B$15,Paramètres!$A$1:$I$89,3,0)*0.475*44/12</f>
        <v>50.588493828203603</v>
      </c>
      <c r="EY83" s="22">
        <f t="shared" si="75"/>
        <v>155.34956899710375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275</v>
      </c>
      <c r="FC83" s="12">
        <f>VLOOKUP(A83,'Données projet'!$A$217:$I$237,9,0)</f>
        <v>2.8</v>
      </c>
      <c r="FD83" s="12">
        <f t="array" ref="FD83">INDEX(FC:FC,MIN(IF(ISNUMBER(FC83:FC279),ROW(FC83:FC279),"")))</f>
        <v>2.8</v>
      </c>
      <c r="FE83" s="12">
        <f>IF('Données projet'!$A$218&gt;35,FE82+FD83-FM82,IF(A83&lt;'Données projet'!$A$218,$FB$205^A83,IF(A83='Données projet'!$A$218,'Données projet'!$B$218,FE82+FD83-FM82)))</f>
        <v>274.99999999999983</v>
      </c>
      <c r="FF83" s="17">
        <f>FE83*VLOOKUP('Données projet'!$B$16,Paramètres!$A$1:$I$89,3,0)*VLOOKUP('Données projet'!$B$16,Paramètres!$A$1:$I$89,5,0)</f>
        <v>201.62999999999988</v>
      </c>
      <c r="FG83" s="13">
        <f t="shared" si="101"/>
        <v>50.102222986612503</v>
      </c>
      <c r="FH83" s="20">
        <f t="shared" si="76"/>
        <v>438.43362170168325</v>
      </c>
      <c r="FI83" s="59">
        <f t="shared" si="77"/>
        <v>731.76695503501651</v>
      </c>
      <c r="FJ83" s="59">
        <f ca="1">AVERAGE(OFFSET($FI$3,0,0,'Données projet'!$E$16+1,1))-AVERAGE(OFFSET($H$3,0,0,'Données projet'!$E$16+1,1))</f>
        <v>278.45534008146865</v>
      </c>
      <c r="FK83" s="59">
        <f t="shared" si="102"/>
        <v>272.97841038165217</v>
      </c>
      <c r="FL83" s="15" t="str">
        <f>IF(ISNA(VLOOKUP(A83,'Données projet'!$A$217:$I$237,3,0)),0,VLOOKUP(A83,'Données projet'!$A$217:$I$237,3,0))</f>
        <v>CR</v>
      </c>
      <c r="FM83" s="15">
        <f>IF(ISNA(VLOOKUP(A83,'Données projet'!$A$217:$I$237,4,0)),0,VLOOKUP(A83,'Données projet'!$A$217:$I$237,4,0))</f>
        <v>275</v>
      </c>
      <c r="FN83" s="16">
        <f>IF(ISNA(VLOOKUP(A83,'Données projet'!$A$217:$I$237,5,0)),0%,VLOOKUP(A83,'Données projet'!$A$217:$I$237,5,0)*VLOOKUP('Données projet'!$B$16,Paramètres!$A$1:$I$89,7,0))</f>
        <v>0.30099999999999999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0.2</v>
      </c>
      <c r="FQ83" s="21">
        <f>EXP(-LN(2)/35)*FQ82+(1-EXP(-LN(2)/35))/(LN(2)/35)*FM83*FN83*VLOOKUP('Données projet'!$B$16,Paramètres!$A$1:$I$89,3,0)*0.475*44/12</f>
        <v>77.295610761577024</v>
      </c>
      <c r="FR83" s="21">
        <f>EXP(-LN(2)/25)*FR82+(1-EXP(-LN(2)/25))/(LN(2)/25)*Calculateur!FM83*Calculateur!FO83*VLOOKUP('Données projet'!$B$16,Paramètres!$A$1:$I$89,3,0)*0.475*44/12</f>
        <v>2.1200429954924456</v>
      </c>
      <c r="FS83" s="21">
        <f>EXP(-LN(2)/2)*FS82+(1-EXP(-LN(2)/2))/(LN(2)/2)*FM83*FP83*VLOOKUP('Données projet'!$B$16,Paramètres!$A$1:$I$89,3,0)*0.475*44/12</f>
        <v>38.349342095573704</v>
      </c>
      <c r="FT83" s="22">
        <f t="shared" si="78"/>
        <v>117.76499585264317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5.8888888888888893</v>
      </c>
      <c r="N84" s="13">
        <f>IF('Données projet'!$A$36&gt;35,N83+M84-V83,IF(A84&lt;'Données projet'!$A$36,$K$205^A84,IF(A84='Données projet'!$A$36,'Données projet'!$B$36,N83+M84-V83)))</f>
        <v>206.3333333333334</v>
      </c>
      <c r="O84" s="13">
        <f>N84*VLOOKUP('Données projet'!$B$9,Paramètres!$A$1:$I$89,3,0)*VLOOKUP('Données projet'!$B$9,Paramètres!$A$1:$I$89,5,0)</f>
        <v>186.69040000000004</v>
      </c>
      <c r="P84" s="13">
        <f t="shared" si="87"/>
        <v>46.807500637946397</v>
      </c>
      <c r="Q84" s="20">
        <f t="shared" si="54"/>
        <v>406.6755102777567</v>
      </c>
      <c r="R84" s="59">
        <f t="shared" si="55"/>
        <v>700.00884361109001</v>
      </c>
      <c r="S84" s="59">
        <f ca="1">AVERAGE(OFFSET($R$3,0,0,'Données projet'!$E$9+1,1))-AVERAGE(OFFSET($H$3,0,0,'Données projet'!$E$9+1,1))</f>
        <v>436.03161778768742</v>
      </c>
      <c r="T84" s="59">
        <f t="shared" si="88"/>
        <v>217.65884352525285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</v>
      </c>
      <c r="AA84" s="21">
        <f>EXP(-LN(2)/25)*AA83+(1-EXP(-LN(2)/25))/(LN(2)/25)*Calculateur!V84*Calculateur!X84*VLOOKUP('Données projet'!$B$9,Paramètres!$A$1:$I$89,3,0)*0.475*44/12</f>
        <v>20.377614953069948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20.377614953069948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5.8888888888888893</v>
      </c>
      <c r="AI84" s="13">
        <f>IF('Données projet'!$A$62&gt;35,AI83+AH84-AQ83,IF(A84&lt;'Données projet'!$A$62,$AF$205^A84,IF(A84='Données projet'!$A$62,'Données projet'!$B$62,AI83+AH84-AQ83)))</f>
        <v>206.3333333333334</v>
      </c>
      <c r="AJ84" s="13">
        <f>AI84*VLOOKUP('Données projet'!$B$10,Paramètres!$A$1:$I$89,3,0)*VLOOKUP('Données projet'!$B$10,Paramètres!$A$1:$I$89,5,0)</f>
        <v>209.22200000000007</v>
      </c>
      <c r="AK84" s="13">
        <f t="shared" si="89"/>
        <v>51.765536415842753</v>
      </c>
      <c r="AL84" s="20">
        <f t="shared" si="58"/>
        <v>454.55329259092628</v>
      </c>
      <c r="AM84" s="59">
        <f t="shared" si="59"/>
        <v>747.88662592425953</v>
      </c>
      <c r="AN84" s="59">
        <f ca="1">AVERAGE(OFFSET($AM$3,0,0,'Données projet'!$E$10+1,1))-AVERAGE(OFFSET($H$3,0,0,'Données projet'!$E$10+1,1))</f>
        <v>483.45320081988984</v>
      </c>
      <c r="AO84" s="59">
        <f t="shared" si="90"/>
        <v>238.92443174298893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22.836982274992184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22.836982274992184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1.7053025658242404E-13</v>
      </c>
      <c r="BE84" s="13">
        <f>BD84*VLOOKUP('Données projet'!$B$11,Paramètres!$A$1:$I$89,3,0)*VLOOKUP('Données projet'!$B$11,Paramètres!$A$1:$I$89,5,0)</f>
        <v>1.4897523215040567E-13</v>
      </c>
      <c r="BF84" s="13">
        <f t="shared" si="91"/>
        <v>2.136562777003313E-12</v>
      </c>
      <c r="BG84" s="20">
        <f t="shared" si="61"/>
        <v>3.9806453659427267E-12</v>
      </c>
      <c r="BH84" s="59">
        <f t="shared" si="62"/>
        <v>293.33333333333729</v>
      </c>
      <c r="BI84" s="59">
        <f ca="1">AVERAGE(OFFSET($BH$3,0,0,'Données projet'!$E$11+1,1))-AVERAGE(OFFSET($H$3,0,0,'Données projet'!$E$11+1,1))</f>
        <v>310.44153296396854</v>
      </c>
      <c r="BJ84" s="59">
        <f t="shared" si="92"/>
        <v>388.05195847800502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65.437285671135996</v>
      </c>
      <c r="BQ84" s="21">
        <f>EXP(-LN(2)/25)*BQ83+(1-EXP(-LN(2)/25))/(LN(2)/25)*Calculateur!BL84*Calculateur!BN84*VLOOKUP('Données projet'!$B$11,Paramètres!$A$1:$I$89,3,0)*0.475*44/12</f>
        <v>3.9101634563104541</v>
      </c>
      <c r="BR84" s="21">
        <f>EXP(-LN(2)/2)*BR83+(1-EXP(-LN(2)/2))/(LN(2)/2)*BL84*BO84*VLOOKUP('Données projet'!$B$11,Paramètres!$A$1:$I$89,3,0)*0.475*44/12</f>
        <v>0.91019246628580341</v>
      </c>
      <c r="BS84" s="22">
        <f t="shared" si="63"/>
        <v>70.257641593732259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-2.2737367544323206E-13</v>
      </c>
      <c r="BZ84" s="13">
        <f>BY84*VLOOKUP('Données projet'!$B$12,Paramètres!$A$1:$I$89,3,0)*VLOOKUP('Données projet'!$B$12,Paramètres!$A$1:$I$89,5,0)</f>
        <v>-1.2710188457276673E-13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443.34220761968419</v>
      </c>
      <c r="CE84" s="59">
        <f t="shared" si="94"/>
        <v>546.58234447298014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167.85862804821858</v>
      </c>
      <c r="CL84" s="21">
        <f>EXP(-LN(2)/25)*CL83+(1-EXP(-LN(2)/25))/(LN(2)/25)*Calculateur!CG84*Calculateur!CI84*VLOOKUP('Données projet'!$B$12,Paramètres!$A$1:$I$89,3,0)*0.475*44/12</f>
        <v>33.873259667941369</v>
      </c>
      <c r="CM84" s="21">
        <f>EXP(-LN(2)/2)*CM83+(1-EXP(-LN(2)/2))/(LN(2)/2)*CG84*CJ84*VLOOKUP('Données projet'!$B$12,Paramètres!$A$1:$I$89,3,0)*0.475*44/12</f>
        <v>2.9823064166341503E-2</v>
      </c>
      <c r="CN84" s="22">
        <f t="shared" si="66"/>
        <v>201.7617107803263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>
        <f>CT84*VLOOKUP('Données projet'!$B$13,Paramètres!$A$1:$I$89,3,0)*VLOOKUP('Données projet'!$B$13,Paramètres!$A$1:$I$89,5,0)</f>
        <v>0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214.22606988805535</v>
      </c>
      <c r="CZ84" s="59">
        <f t="shared" si="96"/>
        <v>305.78163836959078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94.184172664986477</v>
      </c>
      <c r="DG84" s="21">
        <f>EXP(-LN(2)/25)*DG83+(1-EXP(-LN(2)/25))/(LN(2)/25)*Calculateur!DB84*Calculateur!DD84*VLOOKUP('Données projet'!$B$13,Paramètres!$A$1:$I$89,3,0)*0.475*44/12</f>
        <v>19.852021483955326</v>
      </c>
      <c r="DH84" s="21">
        <f>EXP(-LN(2)/2)*DH83+(1-EXP(-LN(2)/2))/(LN(2)/2)*DB84*DE84*VLOOKUP('Données projet'!$B$13,Paramètres!$A$1:$I$89,3,0)*0.475*44/12</f>
        <v>1.303414307905734E-2</v>
      </c>
      <c r="DI84" s="22">
        <f t="shared" si="69"/>
        <v>114.04922829202086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-1.7053025658242404E-13</v>
      </c>
      <c r="DP84" s="17">
        <f>DO84*VLOOKUP('Données projet'!$B$14,Paramètres!$A$1:$I$89,3,0)*VLOOKUP('Données projet'!$B$14,Paramètres!$A$1:$I$89,5,0)</f>
        <v>-1.383341441396624E-13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304.26232113495314</v>
      </c>
      <c r="DU84" s="59">
        <f t="shared" si="98"/>
        <v>297.47246687305056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103.33962372165179</v>
      </c>
      <c r="EB84" s="21">
        <f>EXP(-LN(2)/25)*EB83+(1-EXP(-LN(2)/25))/(LN(2)/25)*Calculateur!DW84*Calculateur!DY84*VLOOKUP('Données projet'!$B$14,Paramètres!$A$1:$I$89,3,0)*0.475*44/12</f>
        <v>2.8120068132875309</v>
      </c>
      <c r="EC84" s="21">
        <f>EXP(-LN(2)/2)*EC83+(1-EXP(-LN(2)/2))/(LN(2)/2)*DW84*DZ84*VLOOKUP('Données projet'!$B$14,Paramètres!$A$1:$I$89,3,0)*0.475*44/12</f>
        <v>30.001875578527454</v>
      </c>
      <c r="ED84" s="22">
        <f t="shared" si="72"/>
        <v>136.15350611346676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-1.7053025658242404E-13</v>
      </c>
      <c r="EK84" s="17">
        <f>EJ84*VLOOKUP('Données projet'!$B$15,Paramètres!$A$1:$I$89,3,0)*VLOOKUP('Données projet'!$B$15,Paramètres!$A$1:$I$89,5,0)</f>
        <v>-1.6493686416652052E-13</v>
      </c>
      <c r="EL84" s="13" t="e">
        <f t="shared" si="99"/>
        <v>#NUM!</v>
      </c>
      <c r="EM84" s="20" t="e">
        <f t="shared" si="73"/>
        <v>#NUM!</v>
      </c>
      <c r="EN84" s="59" t="e">
        <f t="shared" si="74"/>
        <v>#NUM!</v>
      </c>
      <c r="EO84" s="59">
        <f ca="1">AVERAGE(OFFSET($EN$3,0,0,'Données projet'!$E$15+1,1))-AVERAGE(OFFSET($H$3,0,0,'Données projet'!$E$15+1,1))</f>
        <v>355.72173590705142</v>
      </c>
      <c r="EP84" s="59">
        <f t="shared" si="100"/>
        <v>346.30980704469363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99.964962569638473</v>
      </c>
      <c r="EW84" s="21">
        <f>EXP(-LN(2)/25)*EW83+(1-EXP(-LN(2)/25))/(LN(2)/25)*Calculateur!ER84*Calculateur!ET84*VLOOKUP('Données projet'!$B$15,Paramètres!$A$1:$I$89,3,0)*0.475*44/12</f>
        <v>2.7201778534922183</v>
      </c>
      <c r="EX84" s="21">
        <f>EXP(-LN(2)/2)*EX83+(1-EXP(-LN(2)/2))/(LN(2)/2)*ER84*EU84*VLOOKUP('Données projet'!$B$15,Paramètres!$A$1:$I$89,3,0)*0.475*44/12</f>
        <v>35.771467035936574</v>
      </c>
      <c r="EY84" s="22">
        <f t="shared" si="75"/>
        <v>138.45660745906727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-1.7053025658242404E-13</v>
      </c>
      <c r="FF84" s="17">
        <f>FE84*VLOOKUP('Données projet'!$B$16,Paramètres!$A$1:$I$89,3,0)*VLOOKUP('Données projet'!$B$16,Paramètres!$A$1:$I$89,5,0)</f>
        <v>-1.250327841262333E-13</v>
      </c>
      <c r="FG84" s="13" t="e">
        <f t="shared" si="101"/>
        <v>#NUM!</v>
      </c>
      <c r="FH84" s="20" t="e">
        <f t="shared" si="76"/>
        <v>#NUM!</v>
      </c>
      <c r="FI84" s="59" t="e">
        <f t="shared" si="77"/>
        <v>#NUM!</v>
      </c>
      <c r="FJ84" s="59">
        <f ca="1">AVERAGE(OFFSET($FI$3,0,0,'Données projet'!$E$16+1,1))-AVERAGE(OFFSET($H$3,0,0,'Données projet'!$E$16+1,1))</f>
        <v>278.45534008146865</v>
      </c>
      <c r="FK84" s="59">
        <f t="shared" si="102"/>
        <v>272.97841038165217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75.779890980209814</v>
      </c>
      <c r="FR84" s="21">
        <f>EXP(-LN(2)/25)*FR83+(1-EXP(-LN(2)/25))/(LN(2)/25)*Calculateur!FM84*Calculateur!FO84*VLOOKUP('Données projet'!$B$16,Paramètres!$A$1:$I$89,3,0)*0.475*44/12</f>
        <v>2.0620703082924887</v>
      </c>
      <c r="FS84" s="21">
        <f>EXP(-LN(2)/2)*FS83+(1-EXP(-LN(2)/2))/(LN(2)/2)*FM84*FP84*VLOOKUP('Données projet'!$B$16,Paramètres!$A$1:$I$89,3,0)*0.475*44/12</f>
        <v>27.117079849822893</v>
      </c>
      <c r="FT84" s="22">
        <f t="shared" si="78"/>
        <v>104.9590411383252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5.8888888888888893</v>
      </c>
      <c r="N85" s="13">
        <f>IF('Données projet'!$A$36&gt;35,N84+M85-V84,IF(A85&lt;'Données projet'!$A$36,$K$205^A85,IF(A85='Données projet'!$A$36,'Données projet'!$B$36,N84+M85-V84)))</f>
        <v>212.22222222222229</v>
      </c>
      <c r="O85" s="13">
        <f>N85*VLOOKUP('Données projet'!$B$9,Paramètres!$A$1:$I$89,3,0)*VLOOKUP('Données projet'!$B$9,Paramètres!$A$1:$I$89,5,0)</f>
        <v>192.01866666666672</v>
      </c>
      <c r="P85" s="13">
        <f t="shared" si="87"/>
        <v>47.985976506318345</v>
      </c>
      <c r="Q85" s="20">
        <f t="shared" si="54"/>
        <v>418.00808685961562</v>
      </c>
      <c r="R85" s="59">
        <f t="shared" si="55"/>
        <v>711.34142019294893</v>
      </c>
      <c r="S85" s="59">
        <f ca="1">AVERAGE(OFFSET($R$3,0,0,'Données projet'!$E$9+1,1))-AVERAGE(OFFSET($H$3,0,0,'Données projet'!$E$9+1,1))</f>
        <v>436.03161778768742</v>
      </c>
      <c r="T85" s="59">
        <f t="shared" si="88"/>
        <v>217.65884352525285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</v>
      </c>
      <c r="AA85" s="21">
        <f>EXP(-LN(2)/25)*AA84+(1-EXP(-LN(2)/25))/(LN(2)/25)*Calculateur!V85*Calculateur!X85*VLOOKUP('Données projet'!$B$9,Paramètres!$A$1:$I$89,3,0)*0.475*44/12</f>
        <v>19.820388000566052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19.820388000566052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5.8888888888888893</v>
      </c>
      <c r="AI85" s="13">
        <f>IF('Données projet'!$A$62&gt;35,AI84+AH85-AQ84,IF(A85&lt;'Données projet'!$A$62,$AF$205^A85,IF(A85='Données projet'!$A$62,'Données projet'!$B$62,AI84+AH85-AQ84)))</f>
        <v>212.22222222222229</v>
      </c>
      <c r="AJ85" s="13">
        <f>AI85*VLOOKUP('Données projet'!$B$10,Paramètres!$A$1:$I$89,3,0)*VLOOKUP('Données projet'!$B$10,Paramètres!$A$1:$I$89,5,0)</f>
        <v>215.19333333333341</v>
      </c>
      <c r="AK85" s="13">
        <f t="shared" si="89"/>
        <v>53.068841113764265</v>
      </c>
      <c r="AL85" s="20">
        <f t="shared" si="58"/>
        <v>467.22328716202838</v>
      </c>
      <c r="AM85" s="59">
        <f t="shared" si="59"/>
        <v>760.5566204953617</v>
      </c>
      <c r="AN85" s="59">
        <f ca="1">AVERAGE(OFFSET($AM$3,0,0,'Données projet'!$E$10+1,1))-AVERAGE(OFFSET($H$3,0,0,'Données projet'!$E$10+1,1))</f>
        <v>483.45320081988984</v>
      </c>
      <c r="AO85" s="59">
        <f t="shared" si="90"/>
        <v>238.92443174298893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22.21250379373782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22.21250379373782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1.7053025658242404E-13</v>
      </c>
      <c r="BE85" s="13">
        <f>BD85*VLOOKUP('Données projet'!$B$11,Paramètres!$A$1:$I$89,3,0)*VLOOKUP('Données projet'!$B$11,Paramètres!$A$1:$I$89,5,0)</f>
        <v>1.4897523215040567E-13</v>
      </c>
      <c r="BF85" s="13">
        <f t="shared" si="91"/>
        <v>2.136562777003313E-12</v>
      </c>
      <c r="BG85" s="20">
        <f t="shared" si="61"/>
        <v>3.9806453659427267E-12</v>
      </c>
      <c r="BH85" s="59">
        <f t="shared" si="62"/>
        <v>293.33333333333729</v>
      </c>
      <c r="BI85" s="59">
        <f ca="1">AVERAGE(OFFSET($BH$3,0,0,'Données projet'!$E$11+1,1))-AVERAGE(OFFSET($H$3,0,0,'Données projet'!$E$11+1,1))</f>
        <v>310.44153296396854</v>
      </c>
      <c r="BJ85" s="59">
        <f t="shared" si="92"/>
        <v>388.05195847800502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64.154100411928212</v>
      </c>
      <c r="BQ85" s="21">
        <f>EXP(-LN(2)/25)*BQ84+(1-EXP(-LN(2)/25))/(LN(2)/25)*Calculateur!BL85*Calculateur!BN85*VLOOKUP('Données projet'!$B$11,Paramètres!$A$1:$I$89,3,0)*0.475*44/12</f>
        <v>3.8032398309710853</v>
      </c>
      <c r="BR85" s="21">
        <f>EXP(-LN(2)/2)*BR84+(1-EXP(-LN(2)/2))/(LN(2)/2)*BL85*BO85*VLOOKUP('Données projet'!$B$11,Paramètres!$A$1:$I$89,3,0)*0.475*44/12</f>
        <v>0.64360326509559962</v>
      </c>
      <c r="BS85" s="22">
        <f t="shared" si="63"/>
        <v>68.600943507994899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-2.2737367544323206E-13</v>
      </c>
      <c r="BZ85" s="13">
        <f>BY85*VLOOKUP('Données projet'!$B$12,Paramètres!$A$1:$I$89,3,0)*VLOOKUP('Données projet'!$B$12,Paramètres!$A$1:$I$89,5,0)</f>
        <v>-1.2710188457276673E-13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443.34220761968419</v>
      </c>
      <c r="CE85" s="59">
        <f t="shared" si="94"/>
        <v>546.58234447298014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164.56702273584656</v>
      </c>
      <c r="CL85" s="21">
        <f>EXP(-LN(2)/25)*CL84+(1-EXP(-LN(2)/25))/(LN(2)/25)*Calculateur!CG85*Calculateur!CI85*VLOOKUP('Données projet'!$B$12,Paramètres!$A$1:$I$89,3,0)*0.475*44/12</f>
        <v>32.946993601004202</v>
      </c>
      <c r="CM85" s="21">
        <f>EXP(-LN(2)/2)*CM84+(1-EXP(-LN(2)/2))/(LN(2)/2)*CG85*CJ85*VLOOKUP('Données projet'!$B$12,Paramètres!$A$1:$I$89,3,0)*0.475*44/12</f>
        <v>2.1088090907781611E-2</v>
      </c>
      <c r="CN85" s="22">
        <f t="shared" si="66"/>
        <v>197.53510442775857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>
        <f>CT85*VLOOKUP('Données projet'!$B$13,Paramètres!$A$1:$I$89,3,0)*VLOOKUP('Données projet'!$B$13,Paramètres!$A$1:$I$89,5,0)</f>
        <v>0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214.22606988805535</v>
      </c>
      <c r="CZ85" s="59">
        <f t="shared" si="96"/>
        <v>305.78163836959078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92.337278485699031</v>
      </c>
      <c r="DG85" s="21">
        <f>EXP(-LN(2)/25)*DG84+(1-EXP(-LN(2)/25))/(LN(2)/25)*Calculateur!DB85*Calculateur!DD85*VLOOKUP('Données projet'!$B$13,Paramètres!$A$1:$I$89,3,0)*0.475*44/12</f>
        <v>19.309166912504132</v>
      </c>
      <c r="DH85" s="21">
        <f>EXP(-LN(2)/2)*DH84+(1-EXP(-LN(2)/2))/(LN(2)/2)*DB85*DE85*VLOOKUP('Données projet'!$B$13,Paramètres!$A$1:$I$89,3,0)*0.475*44/12</f>
        <v>9.2165309581571514E-3</v>
      </c>
      <c r="DI85" s="22">
        <f t="shared" si="69"/>
        <v>111.65566192916131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-1.7053025658242404E-13</v>
      </c>
      <c r="DP85" s="17">
        <f>DO85*VLOOKUP('Données projet'!$B$14,Paramètres!$A$1:$I$89,3,0)*VLOOKUP('Données projet'!$B$14,Paramètres!$A$1:$I$89,5,0)</f>
        <v>-1.383341441396624E-13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304.26232113495314</v>
      </c>
      <c r="DU85" s="59">
        <f t="shared" si="98"/>
        <v>297.47246687305056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101.31319673141688</v>
      </c>
      <c r="EB85" s="21">
        <f>EXP(-LN(2)/25)*EB84+(1-EXP(-LN(2)/25))/(LN(2)/25)*Calculateur!DW85*Calculateur!DY85*VLOOKUP('Données projet'!$B$14,Paramètres!$A$1:$I$89,3,0)*0.475*44/12</f>
        <v>2.735112339101172</v>
      </c>
      <c r="EC85" s="21">
        <f>EXP(-LN(2)/2)*EC84+(1-EXP(-LN(2)/2))/(LN(2)/2)*DW85*DZ85*VLOOKUP('Données projet'!$B$14,Paramètres!$A$1:$I$89,3,0)*0.475*44/12</f>
        <v>21.214529669891839</v>
      </c>
      <c r="ED85" s="22">
        <f t="shared" si="72"/>
        <v>125.2628387404099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-1.7053025658242404E-13</v>
      </c>
      <c r="EK85" s="17">
        <f>EJ85*VLOOKUP('Données projet'!$B$15,Paramètres!$A$1:$I$89,3,0)*VLOOKUP('Données projet'!$B$15,Paramètres!$A$1:$I$89,5,0)</f>
        <v>-1.6493686416652052E-13</v>
      </c>
      <c r="EL85" s="13" t="e">
        <f t="shared" si="99"/>
        <v>#NUM!</v>
      </c>
      <c r="EM85" s="20" t="e">
        <f t="shared" si="73"/>
        <v>#NUM!</v>
      </c>
      <c r="EN85" s="59" t="e">
        <f t="shared" si="74"/>
        <v>#NUM!</v>
      </c>
      <c r="EO85" s="59">
        <f ca="1">AVERAGE(OFFSET($EN$3,0,0,'Données projet'!$E$15+1,1))-AVERAGE(OFFSET($H$3,0,0,'Données projet'!$E$15+1,1))</f>
        <v>355.72173590705142</v>
      </c>
      <c r="EP85" s="59">
        <f t="shared" si="100"/>
        <v>346.30980704469363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98.004710626254479</v>
      </c>
      <c r="EW85" s="21">
        <f>EXP(-LN(2)/25)*EW84+(1-EXP(-LN(2)/25))/(LN(2)/25)*Calculateur!ER85*Calculateur!ET85*VLOOKUP('Données projet'!$B$15,Paramètres!$A$1:$I$89,3,0)*0.475*44/12</f>
        <v>2.6457944470405375</v>
      </c>
      <c r="EX85" s="21">
        <f>EXP(-LN(2)/2)*EX84+(1-EXP(-LN(2)/2))/(LN(2)/2)*ER85*EU85*VLOOKUP('Données projet'!$B$15,Paramètres!$A$1:$I$89,3,0)*0.475*44/12</f>
        <v>25.294246914101802</v>
      </c>
      <c r="EY85" s="22">
        <f t="shared" si="75"/>
        <v>125.94475198739683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-1.7053025658242404E-13</v>
      </c>
      <c r="FF85" s="17">
        <f>FE85*VLOOKUP('Données projet'!$B$16,Paramètres!$A$1:$I$89,3,0)*VLOOKUP('Données projet'!$B$16,Paramètres!$A$1:$I$89,5,0)</f>
        <v>-1.250327841262333E-13</v>
      </c>
      <c r="FG85" s="13" t="e">
        <f t="shared" si="101"/>
        <v>#NUM!</v>
      </c>
      <c r="FH85" s="20" t="e">
        <f t="shared" si="76"/>
        <v>#NUM!</v>
      </c>
      <c r="FI85" s="59" t="e">
        <f t="shared" si="77"/>
        <v>#NUM!</v>
      </c>
      <c r="FJ85" s="59">
        <f ca="1">AVERAGE(OFFSET($FI$3,0,0,'Données projet'!$E$16+1,1))-AVERAGE(OFFSET($H$3,0,0,'Données projet'!$E$16+1,1))</f>
        <v>278.45534008146865</v>
      </c>
      <c r="FK85" s="59">
        <f t="shared" si="102"/>
        <v>272.97841038165217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74.293893539257439</v>
      </c>
      <c r="FR85" s="21">
        <f>EXP(-LN(2)/25)*FR84+(1-EXP(-LN(2)/25))/(LN(2)/25)*Calculateur!FM85*Calculateur!FO85*VLOOKUP('Données projet'!$B$16,Paramètres!$A$1:$I$89,3,0)*0.475*44/12</f>
        <v>2.0056828872726662</v>
      </c>
      <c r="FS85" s="21">
        <f>EXP(-LN(2)/2)*FS84+(1-EXP(-LN(2)/2))/(LN(2)/2)*FM85*FP85*VLOOKUP('Données projet'!$B$16,Paramètres!$A$1:$I$89,3,0)*0.475*44/12</f>
        <v>19.174671047786855</v>
      </c>
      <c r="FT85" s="22">
        <f t="shared" si="78"/>
        <v>95.474247474316968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5.8888888888888893</v>
      </c>
      <c r="N86" s="13">
        <f>IF('Données projet'!$A$36&gt;35,N85+M86-V85,IF(A86&lt;'Données projet'!$A$36,$K$205^A86,IF(A86='Données projet'!$A$36,'Données projet'!$B$36,N85+M86-V85)))</f>
        <v>218.11111111111117</v>
      </c>
      <c r="O86" s="13">
        <f>N86*VLOOKUP('Données projet'!$B$9,Paramètres!$A$1:$I$89,3,0)*VLOOKUP('Données projet'!$B$9,Paramètres!$A$1:$I$89,5,0)</f>
        <v>197.3469333333334</v>
      </c>
      <c r="P86" s="13">
        <f t="shared" si="87"/>
        <v>49.160651584571333</v>
      </c>
      <c r="Q86" s="20">
        <f t="shared" si="54"/>
        <v>429.33404373201734</v>
      </c>
      <c r="R86" s="59">
        <f t="shared" si="55"/>
        <v>722.66737706535059</v>
      </c>
      <c r="S86" s="59">
        <f ca="1">AVERAGE(OFFSET($R$3,0,0,'Données projet'!$E$9+1,1))-AVERAGE(OFFSET($H$3,0,0,'Données projet'!$E$9+1,1))</f>
        <v>436.03161778768742</v>
      </c>
      <c r="T86" s="59">
        <f t="shared" si="88"/>
        <v>217.65884352525285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</v>
      </c>
      <c r="AA86" s="21">
        <f>EXP(-LN(2)/25)*AA85+(1-EXP(-LN(2)/25))/(LN(2)/25)*Calculateur!V86*Calculateur!X86*VLOOKUP('Données projet'!$B$9,Paramètres!$A$1:$I$89,3,0)*0.475*44/12</f>
        <v>19.278398448381669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19.278398448381669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5.8888888888888893</v>
      </c>
      <c r="AI86" s="13">
        <f>IF('Données projet'!$A$62&gt;35,AI85+AH86-AQ85,IF(A86&lt;'Données projet'!$A$62,$AF$205^A86,IF(A86='Données projet'!$A$62,'Données projet'!$B$62,AI85+AH86-AQ85)))</f>
        <v>218.11111111111117</v>
      </c>
      <c r="AJ86" s="13">
        <f>AI86*VLOOKUP('Données projet'!$B$10,Paramètres!$A$1:$I$89,3,0)*VLOOKUP('Données projet'!$B$10,Paramètres!$A$1:$I$89,5,0)</f>
        <v>221.16466666666673</v>
      </c>
      <c r="AK86" s="13">
        <f t="shared" si="89"/>
        <v>54.36794242683014</v>
      </c>
      <c r="AL86" s="20">
        <f t="shared" si="58"/>
        <v>479.88596083784046</v>
      </c>
      <c r="AM86" s="59">
        <f t="shared" si="59"/>
        <v>773.21929417117371</v>
      </c>
      <c r="AN86" s="59">
        <f ca="1">AVERAGE(OFFSET($AM$3,0,0,'Données projet'!$E$10+1,1))-AVERAGE(OFFSET($H$3,0,0,'Données projet'!$E$10+1,1))</f>
        <v>483.45320081988984</v>
      </c>
      <c r="AO86" s="59">
        <f t="shared" si="90"/>
        <v>238.92443174298893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21.605101709393253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21.605101709393253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1.7053025658242404E-13</v>
      </c>
      <c r="BE86" s="13">
        <f>BD86*VLOOKUP('Données projet'!$B$11,Paramètres!$A$1:$I$89,3,0)*VLOOKUP('Données projet'!$B$11,Paramètres!$A$1:$I$89,5,0)</f>
        <v>1.4897523215040567E-13</v>
      </c>
      <c r="BF86" s="13">
        <f t="shared" si="91"/>
        <v>2.136562777003313E-12</v>
      </c>
      <c r="BG86" s="20">
        <f t="shared" si="61"/>
        <v>3.9806453659427267E-12</v>
      </c>
      <c r="BH86" s="59">
        <f t="shared" si="62"/>
        <v>293.33333333333729</v>
      </c>
      <c r="BI86" s="59">
        <f ca="1">AVERAGE(OFFSET($BH$3,0,0,'Données projet'!$E$11+1,1))-AVERAGE(OFFSET($H$3,0,0,'Données projet'!$E$11+1,1))</f>
        <v>310.44153296396854</v>
      </c>
      <c r="BJ86" s="59">
        <f t="shared" si="92"/>
        <v>388.05195847800502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62.896077632987769</v>
      </c>
      <c r="BQ86" s="21">
        <f>EXP(-LN(2)/25)*BQ85+(1-EXP(-LN(2)/25))/(LN(2)/25)*Calculateur!BL86*Calculateur!BN86*VLOOKUP('Données projet'!$B$11,Paramètres!$A$1:$I$89,3,0)*0.475*44/12</f>
        <v>3.6992400377894907</v>
      </c>
      <c r="BR86" s="21">
        <f>EXP(-LN(2)/2)*BR85+(1-EXP(-LN(2)/2))/(LN(2)/2)*BL86*BO86*VLOOKUP('Données projet'!$B$11,Paramètres!$A$1:$I$89,3,0)*0.475*44/12</f>
        <v>0.45509623314290171</v>
      </c>
      <c r="BS86" s="22">
        <f t="shared" si="63"/>
        <v>67.050413903920159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-2.2737367544323206E-13</v>
      </c>
      <c r="BZ86" s="13">
        <f>BY86*VLOOKUP('Données projet'!$B$12,Paramètres!$A$1:$I$89,3,0)*VLOOKUP('Données projet'!$B$12,Paramètres!$A$1:$I$89,5,0)</f>
        <v>-1.2710188457276673E-13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443.34220761968419</v>
      </c>
      <c r="CE86" s="59">
        <f t="shared" si="94"/>
        <v>546.58234447298014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161.33996379596917</v>
      </c>
      <c r="CL86" s="21">
        <f>EXP(-LN(2)/25)*CL85+(1-EXP(-LN(2)/25))/(LN(2)/25)*Calculateur!CG86*Calculateur!CI86*VLOOKUP('Données projet'!$B$12,Paramètres!$A$1:$I$89,3,0)*0.475*44/12</f>
        <v>32.046056328377652</v>
      </c>
      <c r="CM86" s="21">
        <f>EXP(-LN(2)/2)*CM85+(1-EXP(-LN(2)/2))/(LN(2)/2)*CG86*CJ86*VLOOKUP('Données projet'!$B$12,Paramètres!$A$1:$I$89,3,0)*0.475*44/12</f>
        <v>1.4911532083170755E-2</v>
      </c>
      <c r="CN86" s="22">
        <f t="shared" si="66"/>
        <v>193.40093165643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>
        <f>CT86*VLOOKUP('Données projet'!$B$13,Paramètres!$A$1:$I$89,3,0)*VLOOKUP('Données projet'!$B$13,Paramètres!$A$1:$I$89,5,0)</f>
        <v>0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214.22606988805535</v>
      </c>
      <c r="CZ86" s="59">
        <f t="shared" si="96"/>
        <v>305.78163836959078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90.526600774773186</v>
      </c>
      <c r="DG86" s="21">
        <f>EXP(-LN(2)/25)*DG85+(1-EXP(-LN(2)/25))/(LN(2)/25)*Calculateur!DB86*Calculateur!DD86*VLOOKUP('Données projet'!$B$13,Paramètres!$A$1:$I$89,3,0)*0.475*44/12</f>
        <v>18.78115672785675</v>
      </c>
      <c r="DH86" s="21">
        <f>EXP(-LN(2)/2)*DH85+(1-EXP(-LN(2)/2))/(LN(2)/2)*DB86*DE86*VLOOKUP('Données projet'!$B$13,Paramètres!$A$1:$I$89,3,0)*0.475*44/12</f>
        <v>6.5170715395286702E-3</v>
      </c>
      <c r="DI86" s="22">
        <f t="shared" si="69"/>
        <v>109.31427457416947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-1.7053025658242404E-13</v>
      </c>
      <c r="DP86" s="17">
        <f>DO86*VLOOKUP('Données projet'!$B$14,Paramètres!$A$1:$I$89,3,0)*VLOOKUP('Données projet'!$B$14,Paramètres!$A$1:$I$89,5,0)</f>
        <v>-1.383341441396624E-13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304.26232113495314</v>
      </c>
      <c r="DU86" s="59">
        <f t="shared" si="98"/>
        <v>297.47246687305056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99.326506738462058</v>
      </c>
      <c r="EB86" s="21">
        <f>EXP(-LN(2)/25)*EB85+(1-EXP(-LN(2)/25))/(LN(2)/25)*Calculateur!DW86*Calculateur!DY86*VLOOKUP('Données projet'!$B$14,Paramètres!$A$1:$I$89,3,0)*0.475*44/12</f>
        <v>2.6603205483551435</v>
      </c>
      <c r="EC86" s="21">
        <f>EXP(-LN(2)/2)*EC85+(1-EXP(-LN(2)/2))/(LN(2)/2)*DW86*DZ86*VLOOKUP('Données projet'!$B$14,Paramètres!$A$1:$I$89,3,0)*0.475*44/12</f>
        <v>15.00093778926373</v>
      </c>
      <c r="ED86" s="22">
        <f t="shared" si="72"/>
        <v>116.98776507608093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-1.7053025658242404E-13</v>
      </c>
      <c r="EK86" s="17">
        <f>EJ86*VLOOKUP('Données projet'!$B$15,Paramètres!$A$1:$I$89,3,0)*VLOOKUP('Données projet'!$B$15,Paramètres!$A$1:$I$89,5,0)</f>
        <v>-1.6493686416652052E-13</v>
      </c>
      <c r="EL86" s="13" t="e">
        <f t="shared" si="99"/>
        <v>#NUM!</v>
      </c>
      <c r="EM86" s="20" t="e">
        <f t="shared" si="73"/>
        <v>#NUM!</v>
      </c>
      <c r="EN86" s="59" t="e">
        <f t="shared" si="74"/>
        <v>#NUM!</v>
      </c>
      <c r="EO86" s="59">
        <f ca="1">AVERAGE(OFFSET($EN$3,0,0,'Données projet'!$E$15+1,1))-AVERAGE(OFFSET($H$3,0,0,'Données projet'!$E$15+1,1))</f>
        <v>355.72173590705142</v>
      </c>
      <c r="EP86" s="59">
        <f t="shared" si="100"/>
        <v>346.30980704469363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96.082898027844621</v>
      </c>
      <c r="EW86" s="21">
        <f>EXP(-LN(2)/25)*EW85+(1-EXP(-LN(2)/25))/(LN(2)/25)*Calculateur!ER86*Calculateur!ET86*VLOOKUP('Données projet'!$B$15,Paramètres!$A$1:$I$89,3,0)*0.475*44/12</f>
        <v>2.5734450587499311</v>
      </c>
      <c r="EX86" s="21">
        <f>EXP(-LN(2)/2)*EX85+(1-EXP(-LN(2)/2))/(LN(2)/2)*ER86*EU86*VLOOKUP('Données projet'!$B$15,Paramètres!$A$1:$I$89,3,0)*0.475*44/12</f>
        <v>17.885733517968287</v>
      </c>
      <c r="EY86" s="22">
        <f t="shared" si="75"/>
        <v>116.54207660456284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-1.7053025658242404E-13</v>
      </c>
      <c r="FF86" s="17">
        <f>FE86*VLOOKUP('Données projet'!$B$16,Paramètres!$A$1:$I$89,3,0)*VLOOKUP('Données projet'!$B$16,Paramètres!$A$1:$I$89,5,0)</f>
        <v>-1.250327841262333E-13</v>
      </c>
      <c r="FG86" s="13" t="e">
        <f t="shared" si="101"/>
        <v>#NUM!</v>
      </c>
      <c r="FH86" s="20" t="e">
        <f t="shared" si="76"/>
        <v>#NUM!</v>
      </c>
      <c r="FI86" s="59" t="e">
        <f t="shared" si="77"/>
        <v>#NUM!</v>
      </c>
      <c r="FJ86" s="59">
        <f ca="1">AVERAGE(OFFSET($FI$3,0,0,'Données projet'!$E$16+1,1))-AVERAGE(OFFSET($H$3,0,0,'Données projet'!$E$16+1,1))</f>
        <v>278.45534008146865</v>
      </c>
      <c r="FK86" s="59">
        <f t="shared" si="102"/>
        <v>272.97841038165217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72.8370356017532</v>
      </c>
      <c r="FR86" s="21">
        <f>EXP(-LN(2)/25)*FR85+(1-EXP(-LN(2)/25))/(LN(2)/25)*Calculateur!FM86*Calculateur!FO86*VLOOKUP('Données projet'!$B$16,Paramètres!$A$1:$I$89,3,0)*0.475*44/12</f>
        <v>1.950837383245916</v>
      </c>
      <c r="FS86" s="21">
        <f>EXP(-LN(2)/2)*FS85+(1-EXP(-LN(2)/2))/(LN(2)/2)*FM86*FP86*VLOOKUP('Données projet'!$B$16,Paramètres!$A$1:$I$89,3,0)*0.475*44/12</f>
        <v>13.558539924911448</v>
      </c>
      <c r="FT86" s="22">
        <f t="shared" si="78"/>
        <v>88.346412909910555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>
        <f>VLOOKUP(A87,'Données projet'!$A$35:$I$55,2,0)</f>
        <v>224</v>
      </c>
      <c r="L87" s="12">
        <f>VLOOKUP(A87,'Données projet'!$A$35:$I$55,9,0)</f>
        <v>5.8888888888888893</v>
      </c>
      <c r="M87" s="12">
        <f t="array" ref="M87">INDEX(L:L,MIN(IF(ISNUMBER(L87:L283),ROW(L87:L283),"")))</f>
        <v>5.8888888888888893</v>
      </c>
      <c r="N87" s="13">
        <f>IF('Données projet'!$A$36&gt;35,N86+M87-V86,IF(A87&lt;'Données projet'!$A$36,$K$205^A87,IF(A87='Données projet'!$A$36,'Données projet'!$B$36,N86+M87-V86)))</f>
        <v>224.00000000000006</v>
      </c>
      <c r="O87" s="13">
        <f>N87*VLOOKUP('Données projet'!$B$9,Paramètres!$A$1:$I$89,3,0)*VLOOKUP('Données projet'!$B$9,Paramètres!$A$1:$I$89,5,0)</f>
        <v>202.67520000000002</v>
      </c>
      <c r="P87" s="13">
        <f t="shared" si="87"/>
        <v>50.331640285313689</v>
      </c>
      <c r="Q87" s="20">
        <f t="shared" si="54"/>
        <v>440.653580163588</v>
      </c>
      <c r="R87" s="59">
        <f t="shared" si="55"/>
        <v>733.98691349692126</v>
      </c>
      <c r="S87" s="59">
        <f ca="1">AVERAGE(OFFSET($R$3,0,0,'Données projet'!$E$9+1,1))-AVERAGE(OFFSET($H$3,0,0,'Données projet'!$E$9+1,1))</f>
        <v>436.03161778768742</v>
      </c>
      <c r="T87" s="59">
        <f t="shared" si="88"/>
        <v>217.65884352525285</v>
      </c>
      <c r="U87" s="15">
        <f>IF(ISNA(VLOOKUP(A87,'Données projet'!$A$35:$I$55,3,0)),0,VLOOKUP(A87,'Données projet'!$A$35:$I$55,3,0))</f>
        <v>6</v>
      </c>
      <c r="V87" s="15">
        <f>IF(ISNA(VLOOKUP(A87,'Données projet'!$A$35:$I$55,4,0)),0,VLOOKUP(A87,'Données projet'!$A$35:$I$55,4,0))</f>
        <v>36</v>
      </c>
      <c r="W87" s="16">
        <f>IF(ISNA(VLOOKUP(A87,'Données projet'!$A$35:$I$55,5,0)),0%,VLOOKUP(A87,'Données projet'!$A$35:$I$55,5,0)*VLOOKUP('Données projet'!$B$9,Paramètres!$A$1:$I$89,7,0))</f>
        <v>4.3000000000000003E-2</v>
      </c>
      <c r="X87" s="16">
        <f>IF(ISNA(VLOOKUP(A87,'Données projet'!$A$35:$I$55,6,0)),0%,VLOOKUP(A87,'Données projet'!$A$35:$I$55,6,0)*VLOOKUP('Données projet'!$B$9,Paramètres!$A$1:$I$89,7,0))</f>
        <v>0.215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1.5483554198733878</v>
      </c>
      <c r="AA87" s="21">
        <f>EXP(-LN(2)/25)*AA86+(1-EXP(-LN(2)/25))/(LN(2)/25)*Calculateur!V87*Calculateur!X87*VLOOKUP('Données projet'!$B$9,Paramètres!$A$1:$I$89,3,0)*0.475*44/12</f>
        <v>26.462524402082153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28.010879821955541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224</v>
      </c>
      <c r="AG87" s="12">
        <f>VLOOKUP(A87,'Données projet'!$A$61:$I$81,9,0)</f>
        <v>5.8888888888888893</v>
      </c>
      <c r="AH87" s="12">
        <f t="array" ref="AH87">INDEX(AG:AG,MIN(IF(ISNUMBER(AG87:AG283),ROW(AG87:AG283),"")))</f>
        <v>5.8888888888888893</v>
      </c>
      <c r="AI87" s="13">
        <f>IF('Données projet'!$A$62&gt;35,AI86+AH87-AQ86,IF(A87&lt;'Données projet'!$A$62,$AF$205^A87,IF(A87='Données projet'!$A$62,'Données projet'!$B$62,AI86+AH87-AQ86)))</f>
        <v>224.00000000000006</v>
      </c>
      <c r="AJ87" s="13">
        <f>AI87*VLOOKUP('Données projet'!$B$10,Paramètres!$A$1:$I$89,3,0)*VLOOKUP('Données projet'!$B$10,Paramètres!$A$1:$I$89,5,0)</f>
        <v>227.13600000000008</v>
      </c>
      <c r="AK87" s="13">
        <f t="shared" si="89"/>
        <v>55.662966886685133</v>
      </c>
      <c r="AL87" s="20">
        <f t="shared" si="58"/>
        <v>492.54153399430999</v>
      </c>
      <c r="AM87" s="59">
        <f t="shared" si="59"/>
        <v>785.8748673276433</v>
      </c>
      <c r="AN87" s="59">
        <f ca="1">AVERAGE(OFFSET($AM$3,0,0,'Données projet'!$E$10+1,1))-AVERAGE(OFFSET($H$3,0,0,'Données projet'!$E$10+1,1))</f>
        <v>483.45320081988984</v>
      </c>
      <c r="AO87" s="59">
        <f t="shared" si="90"/>
        <v>238.92443174298893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36</v>
      </c>
      <c r="AR87" s="16">
        <f>IF(ISNA(VLOOKUP(A87,'Données projet'!$A$61:$I$81,5,0)),0%,VLOOKUP(A87,'Données projet'!$A$61:$I$81,5,0)*VLOOKUP('Données projet'!$B$10,Paramètres!$A$1:$I$89,7,0))</f>
        <v>4.3000000000000003E-2</v>
      </c>
      <c r="AS87" s="16">
        <f>IF(ISNA(VLOOKUP(A87,'Données projet'!$A$61:$I$81,6,0)),0%,VLOOKUP(A87,'Données projet'!$A$61:$I$81,6,0)*VLOOKUP('Données projet'!$B$10,Paramètres!$A$1:$I$89,7,0))</f>
        <v>0.215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1.7352259015822449</v>
      </c>
      <c r="AV87" s="21">
        <f>EXP(-LN(2)/25)*AV86+(1-EXP(-LN(2)/25))/(LN(2)/25)*Calculateur!AQ87*Calculateur!AS87*VLOOKUP('Données projet'!$B$10,Paramètres!$A$1:$I$89,3,0)*0.475*44/12</f>
        <v>29.656277347161037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31.39150324874328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1.7053025658242404E-13</v>
      </c>
      <c r="BE87" s="13">
        <f>BD87*VLOOKUP('Données projet'!$B$11,Paramètres!$A$1:$I$89,3,0)*VLOOKUP('Données projet'!$B$11,Paramètres!$A$1:$I$89,5,0)</f>
        <v>1.4897523215040567E-13</v>
      </c>
      <c r="BF87" s="13">
        <f t="shared" si="91"/>
        <v>2.136562777003313E-12</v>
      </c>
      <c r="BG87" s="20">
        <f t="shared" si="61"/>
        <v>3.9806453659427267E-12</v>
      </c>
      <c r="BH87" s="59">
        <f t="shared" si="62"/>
        <v>293.33333333333729</v>
      </c>
      <c r="BI87" s="59">
        <f ca="1">AVERAGE(OFFSET($BH$3,0,0,'Données projet'!$E$11+1,1))-AVERAGE(OFFSET($H$3,0,0,'Données projet'!$E$11+1,1))</f>
        <v>310.44153296396854</v>
      </c>
      <c r="BJ87" s="59">
        <f t="shared" si="92"/>
        <v>388.05195847800502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61.662723913424223</v>
      </c>
      <c r="BQ87" s="21">
        <f>EXP(-LN(2)/25)*BQ86+(1-EXP(-LN(2)/25))/(LN(2)/25)*Calculateur!BL87*Calculateur!BN87*VLOOKUP('Données projet'!$B$11,Paramètres!$A$1:$I$89,3,0)*0.475*44/12</f>
        <v>3.5980841244215584</v>
      </c>
      <c r="BR87" s="21">
        <f>EXP(-LN(2)/2)*BR86+(1-EXP(-LN(2)/2))/(LN(2)/2)*BL87*BO87*VLOOKUP('Données projet'!$B$11,Paramètres!$A$1:$I$89,3,0)*0.475*44/12</f>
        <v>0.32180163254779981</v>
      </c>
      <c r="BS87" s="22">
        <f t="shared" si="63"/>
        <v>65.58260967039358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-2.2737367544323206E-13</v>
      </c>
      <c r="BZ87" s="13">
        <f>BY87*VLOOKUP('Données projet'!$B$12,Paramètres!$A$1:$I$89,3,0)*VLOOKUP('Données projet'!$B$12,Paramètres!$A$1:$I$89,5,0)</f>
        <v>-1.2710188457276673E-13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443.34220761968419</v>
      </c>
      <c r="CE87" s="59">
        <f t="shared" si="94"/>
        <v>546.58234447298014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158.17618551359118</v>
      </c>
      <c r="CL87" s="21">
        <f>EXP(-LN(2)/25)*CL86+(1-EXP(-LN(2)/25))/(LN(2)/25)*Calculateur!CG87*Calculateur!CI87*VLOOKUP('Données projet'!$B$12,Paramètres!$A$1:$I$89,3,0)*0.475*44/12</f>
        <v>31.169755232849305</v>
      </c>
      <c r="CM87" s="21">
        <f>EXP(-LN(2)/2)*CM86+(1-EXP(-LN(2)/2))/(LN(2)/2)*CG87*CJ87*VLOOKUP('Données projet'!$B$12,Paramètres!$A$1:$I$89,3,0)*0.475*44/12</f>
        <v>1.0544045453890807E-2</v>
      </c>
      <c r="CN87" s="22">
        <f t="shared" si="66"/>
        <v>189.35648479189436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>
        <f>CT87*VLOOKUP('Données projet'!$B$13,Paramètres!$A$1:$I$89,3,0)*VLOOKUP('Données projet'!$B$13,Paramètres!$A$1:$I$89,5,0)</f>
        <v>0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214.22606988805535</v>
      </c>
      <c r="CZ87" s="59">
        <f t="shared" si="96"/>
        <v>305.78163836959078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88.751429349354254</v>
      </c>
      <c r="DG87" s="21">
        <f>EXP(-LN(2)/25)*DG86+(1-EXP(-LN(2)/25))/(LN(2)/25)*Calculateur!DB87*Calculateur!DD87*VLOOKUP('Données projet'!$B$13,Paramètres!$A$1:$I$89,3,0)*0.475*44/12</f>
        <v>18.2675850094754</v>
      </c>
      <c r="DH87" s="21">
        <f>EXP(-LN(2)/2)*DH86+(1-EXP(-LN(2)/2))/(LN(2)/2)*DB87*DE87*VLOOKUP('Données projet'!$B$13,Paramètres!$A$1:$I$89,3,0)*0.475*44/12</f>
        <v>4.6082654790785757E-3</v>
      </c>
      <c r="DI87" s="22">
        <f t="shared" si="69"/>
        <v>107.02362262430873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-1.7053025658242404E-13</v>
      </c>
      <c r="DP87" s="17">
        <f>DO87*VLOOKUP('Données projet'!$B$14,Paramètres!$A$1:$I$89,3,0)*VLOOKUP('Données projet'!$B$14,Paramètres!$A$1:$I$89,5,0)</f>
        <v>-1.383341441396624E-13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304.26232113495314</v>
      </c>
      <c r="DU87" s="59">
        <f t="shared" si="98"/>
        <v>297.47246687305056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97.378774524507833</v>
      </c>
      <c r="EB87" s="21">
        <f>EXP(-LN(2)/25)*EB86+(1-EXP(-LN(2)/25))/(LN(2)/25)*Calculateur!DW87*Calculateur!DY87*VLOOKUP('Données projet'!$B$14,Paramètres!$A$1:$I$89,3,0)*0.475*44/12</f>
        <v>2.5875739430601947</v>
      </c>
      <c r="EC87" s="21">
        <f>EXP(-LN(2)/2)*EC86+(1-EXP(-LN(2)/2))/(LN(2)/2)*DW87*DZ87*VLOOKUP('Données projet'!$B$14,Paramètres!$A$1:$I$89,3,0)*0.475*44/12</f>
        <v>10.607264834945921</v>
      </c>
      <c r="ED87" s="22">
        <f t="shared" si="72"/>
        <v>110.57361330251395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-1.7053025658242404E-13</v>
      </c>
      <c r="EK87" s="17">
        <f>EJ87*VLOOKUP('Données projet'!$B$15,Paramètres!$A$1:$I$89,3,0)*VLOOKUP('Données projet'!$B$15,Paramètres!$A$1:$I$89,5,0)</f>
        <v>-1.6493686416652052E-13</v>
      </c>
      <c r="EL87" s="13" t="e">
        <f t="shared" si="99"/>
        <v>#NUM!</v>
      </c>
      <c r="EM87" s="20" t="e">
        <f t="shared" si="73"/>
        <v>#NUM!</v>
      </c>
      <c r="EN87" s="59" t="e">
        <f t="shared" si="74"/>
        <v>#NUM!</v>
      </c>
      <c r="EO87" s="59">
        <f ca="1">AVERAGE(OFFSET($EN$3,0,0,'Données projet'!$E$15+1,1))-AVERAGE(OFFSET($H$3,0,0,'Données projet'!$E$15+1,1))</f>
        <v>355.72173590705142</v>
      </c>
      <c r="EP87" s="59">
        <f t="shared" si="100"/>
        <v>346.30980704469363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94.198771002299637</v>
      </c>
      <c r="EW87" s="21">
        <f>EXP(-LN(2)/25)*EW86+(1-EXP(-LN(2)/25))/(LN(2)/25)*Calculateur!ER87*Calculateur!ET87*VLOOKUP('Données projet'!$B$15,Paramètres!$A$1:$I$89,3,0)*0.475*44/12</f>
        <v>2.5030740682868204</v>
      </c>
      <c r="EX87" s="21">
        <f>EXP(-LN(2)/2)*EX86+(1-EXP(-LN(2)/2))/(LN(2)/2)*ER87*EU87*VLOOKUP('Données projet'!$B$15,Paramètres!$A$1:$I$89,3,0)*0.475*44/12</f>
        <v>12.647123457050901</v>
      </c>
      <c r="EY87" s="22">
        <f t="shared" si="75"/>
        <v>109.34896852763735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-1.7053025658242404E-13</v>
      </c>
      <c r="FF87" s="17">
        <f>FE87*VLOOKUP('Données projet'!$B$16,Paramètres!$A$1:$I$89,3,0)*VLOOKUP('Données projet'!$B$16,Paramètres!$A$1:$I$89,5,0)</f>
        <v>-1.250327841262333E-13</v>
      </c>
      <c r="FG87" s="13" t="e">
        <f t="shared" si="101"/>
        <v>#NUM!</v>
      </c>
      <c r="FH87" s="20" t="e">
        <f t="shared" si="76"/>
        <v>#NUM!</v>
      </c>
      <c r="FI87" s="59" t="e">
        <f t="shared" si="77"/>
        <v>#NUM!</v>
      </c>
      <c r="FJ87" s="59">
        <f ca="1">AVERAGE(OFFSET($FI$3,0,0,'Données projet'!$E$16+1,1))-AVERAGE(OFFSET($H$3,0,0,'Données projet'!$E$16+1,1))</f>
        <v>278.45534008146865</v>
      </c>
      <c r="FK87" s="59">
        <f t="shared" si="102"/>
        <v>272.97841038165217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71.408745759807815</v>
      </c>
      <c r="FR87" s="21">
        <f>EXP(-LN(2)/25)*FR86+(1-EXP(-LN(2)/25))/(LN(2)/25)*Calculateur!FM87*Calculateur!FO87*VLOOKUP('Données projet'!$B$16,Paramètres!$A$1:$I$89,3,0)*0.475*44/12</f>
        <v>1.8974916324109772</v>
      </c>
      <c r="FS87" s="21">
        <f>EXP(-LN(2)/2)*FS86+(1-EXP(-LN(2)/2))/(LN(2)/2)*FM87*FP87*VLOOKUP('Données projet'!$B$16,Paramètres!$A$1:$I$89,3,0)*0.475*44/12</f>
        <v>9.5873355238934295</v>
      </c>
      <c r="FT87" s="22">
        <f t="shared" si="78"/>
        <v>82.89357291611222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5.7777777777777777</v>
      </c>
      <c r="N88" s="13">
        <f>IF('Données projet'!$A$36&gt;35,N87+M88-V87,IF(A88&lt;'Données projet'!$A$36,$K$205^A88,IF(A88='Données projet'!$A$36,'Données projet'!$B$36,N87+M88-V87)))</f>
        <v>193.77777777777783</v>
      </c>
      <c r="O88" s="13">
        <f>N88*VLOOKUP('Données projet'!$B$9,Paramètres!$A$1:$I$89,3,0)*VLOOKUP('Données projet'!$B$9,Paramètres!$A$1:$I$89,5,0)</f>
        <v>175.33013333333338</v>
      </c>
      <c r="P88" s="13">
        <f t="shared" si="87"/>
        <v>44.281642764467087</v>
      </c>
      <c r="Q88" s="20">
        <f t="shared" si="54"/>
        <v>382.49051003700242</v>
      </c>
      <c r="R88" s="59">
        <f t="shared" si="55"/>
        <v>675.82384337033568</v>
      </c>
      <c r="S88" s="59">
        <f ca="1">AVERAGE(OFFSET($R$3,0,0,'Données projet'!$E$9+1,1))-AVERAGE(OFFSET($H$3,0,0,'Données projet'!$E$9+1,1))</f>
        <v>436.03161778768742</v>
      </c>
      <c r="T88" s="59">
        <f t="shared" si="88"/>
        <v>217.65884352525285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1.5179931144932246</v>
      </c>
      <c r="AA88" s="21">
        <f>EXP(-LN(2)/25)*AA87+(1-EXP(-LN(2)/25))/(LN(2)/25)*Calculateur!V88*Calculateur!X88*VLOOKUP('Données projet'!$B$9,Paramètres!$A$1:$I$89,3,0)*0.475*44/12</f>
        <v>25.738905280703538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27.256898395196764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5.7777777777777777</v>
      </c>
      <c r="AI88" s="13">
        <f>IF('Données projet'!$A$62&gt;35,AI87+AH88-AQ87,IF(A88&lt;'Données projet'!$A$62,$AF$205^A88,IF(A88='Données projet'!$A$62,'Données projet'!$B$62,AI87+AH88-AQ87)))</f>
        <v>193.77777777777783</v>
      </c>
      <c r="AJ88" s="13">
        <f>AI88*VLOOKUP('Données projet'!$B$10,Paramètres!$A$1:$I$89,3,0)*VLOOKUP('Données projet'!$B$10,Paramètres!$A$1:$I$89,5,0)</f>
        <v>196.49066666666673</v>
      </c>
      <c r="AK88" s="13">
        <f t="shared" si="89"/>
        <v>48.972129676563945</v>
      </c>
      <c r="AL88" s="20">
        <f t="shared" si="58"/>
        <v>427.51437029779345</v>
      </c>
      <c r="AM88" s="59">
        <f t="shared" si="59"/>
        <v>720.84770363112671</v>
      </c>
      <c r="AN88" s="59">
        <f ca="1">AVERAGE(OFFSET($AM$3,0,0,'Données projet'!$E$10+1,1))-AVERAGE(OFFSET($H$3,0,0,'Données projet'!$E$10+1,1))</f>
        <v>483.45320081988984</v>
      </c>
      <c r="AO88" s="59">
        <f t="shared" si="90"/>
        <v>238.92443174298893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1.7011991800355104</v>
      </c>
      <c r="AV88" s="21">
        <f>EXP(-LN(2)/25)*AV87+(1-EXP(-LN(2)/25))/(LN(2)/25)*Calculateur!AQ88*Calculateur!AS88*VLOOKUP('Données projet'!$B$10,Paramètres!$A$1:$I$89,3,0)*0.475*44/12</f>
        <v>28.845324883547072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30.546524063582581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1.7053025658242404E-13</v>
      </c>
      <c r="BE88" s="13">
        <f>BD88*VLOOKUP('Données projet'!$B$11,Paramètres!$A$1:$I$89,3,0)*VLOOKUP('Données projet'!$B$11,Paramètres!$A$1:$I$89,5,0)</f>
        <v>1.4897523215040567E-13</v>
      </c>
      <c r="BF88" s="13">
        <f t="shared" si="91"/>
        <v>2.136562777003313E-12</v>
      </c>
      <c r="BG88" s="20">
        <f t="shared" si="61"/>
        <v>3.9806453659427267E-12</v>
      </c>
      <c r="BH88" s="59">
        <f t="shared" si="62"/>
        <v>293.33333333333729</v>
      </c>
      <c r="BI88" s="59">
        <f ca="1">AVERAGE(OFFSET($BH$3,0,0,'Données projet'!$E$11+1,1))-AVERAGE(OFFSET($H$3,0,0,'Données projet'!$E$11+1,1))</f>
        <v>310.44153296396854</v>
      </c>
      <c r="BJ88" s="59">
        <f t="shared" si="92"/>
        <v>388.05195847800502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60.453555508029829</v>
      </c>
      <c r="BQ88" s="21">
        <f>EXP(-LN(2)/25)*BQ87+(1-EXP(-LN(2)/25))/(LN(2)/25)*Calculateur!BL88*Calculateur!BN88*VLOOKUP('Données projet'!$B$11,Paramètres!$A$1:$I$89,3,0)*0.475*44/12</f>
        <v>3.4996943248242305</v>
      </c>
      <c r="BR88" s="21">
        <f>EXP(-LN(2)/2)*BR87+(1-EXP(-LN(2)/2))/(LN(2)/2)*BL88*BO88*VLOOKUP('Données projet'!$B$11,Paramètres!$A$1:$I$89,3,0)*0.475*44/12</f>
        <v>0.22754811657145085</v>
      </c>
      <c r="BS88" s="22">
        <f t="shared" si="63"/>
        <v>64.180797949425511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-2.2737367544323206E-13</v>
      </c>
      <c r="BZ88" s="13">
        <f>BY88*VLOOKUP('Données projet'!$B$12,Paramètres!$A$1:$I$89,3,0)*VLOOKUP('Données projet'!$B$12,Paramètres!$A$1:$I$89,5,0)</f>
        <v>-1.2710188457276673E-13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443.34220761968419</v>
      </c>
      <c r="CE88" s="59">
        <f t="shared" si="94"/>
        <v>546.58234447298014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155.07444699361642</v>
      </c>
      <c r="CL88" s="21">
        <f>EXP(-LN(2)/25)*CL87+(1-EXP(-LN(2)/25))/(LN(2)/25)*Calculateur!CG88*Calculateur!CI88*VLOOKUP('Données projet'!$B$12,Paramètres!$A$1:$I$89,3,0)*0.475*44/12</f>
        <v>30.317416636860852</v>
      </c>
      <c r="CM88" s="21">
        <f>EXP(-LN(2)/2)*CM87+(1-EXP(-LN(2)/2))/(LN(2)/2)*CG88*CJ88*VLOOKUP('Données projet'!$B$12,Paramètres!$A$1:$I$89,3,0)*0.475*44/12</f>
        <v>7.4557660415853783E-3</v>
      </c>
      <c r="CN88" s="22">
        <f t="shared" si="66"/>
        <v>185.39931939651885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>
        <f>CT88*VLOOKUP('Données projet'!$B$13,Paramètres!$A$1:$I$89,3,0)*VLOOKUP('Données projet'!$B$13,Paramètres!$A$1:$I$89,5,0)</f>
        <v>0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214.22606988805535</v>
      </c>
      <c r="CZ88" s="59">
        <f t="shared" si="96"/>
        <v>305.78163836959078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87.011067952840122</v>
      </c>
      <c r="DG88" s="21">
        <f>EXP(-LN(2)/25)*DG87+(1-EXP(-LN(2)/25))/(LN(2)/25)*Calculateur!DB88*Calculateur!DD88*VLOOKUP('Données projet'!$B$13,Paramètres!$A$1:$I$89,3,0)*0.475*44/12</f>
        <v>17.768056936740752</v>
      </c>
      <c r="DH88" s="21">
        <f>EXP(-LN(2)/2)*DH87+(1-EXP(-LN(2)/2))/(LN(2)/2)*DB88*DE88*VLOOKUP('Données projet'!$B$13,Paramètres!$A$1:$I$89,3,0)*0.475*44/12</f>
        <v>3.2585357697643351E-3</v>
      </c>
      <c r="DI88" s="22">
        <f t="shared" si="69"/>
        <v>104.78238342535063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-1.7053025658242404E-13</v>
      </c>
      <c r="DP88" s="17">
        <f>DO88*VLOOKUP('Données projet'!$B$14,Paramètres!$A$1:$I$89,3,0)*VLOOKUP('Données projet'!$B$14,Paramètres!$A$1:$I$89,5,0)</f>
        <v>-1.383341441396624E-13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304.26232113495314</v>
      </c>
      <c r="DU88" s="59">
        <f t="shared" si="98"/>
        <v>297.47246687305056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95.469236151269911</v>
      </c>
      <c r="EB88" s="21">
        <f>EXP(-LN(2)/25)*EB87+(1-EXP(-LN(2)/25))/(LN(2)/25)*Calculateur!DW88*Calculateur!DY88*VLOOKUP('Données projet'!$B$14,Paramètres!$A$1:$I$89,3,0)*0.475*44/12</f>
        <v>2.516816597512614</v>
      </c>
      <c r="EC88" s="21">
        <f>EXP(-LN(2)/2)*EC87+(1-EXP(-LN(2)/2))/(LN(2)/2)*DW88*DZ88*VLOOKUP('Données projet'!$B$14,Paramètres!$A$1:$I$89,3,0)*0.475*44/12</f>
        <v>7.5004688946318661</v>
      </c>
      <c r="ED88" s="22">
        <f t="shared" si="72"/>
        <v>105.48652164341439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-1.7053025658242404E-13</v>
      </c>
      <c r="EK88" s="17">
        <f>EJ88*VLOOKUP('Données projet'!$B$15,Paramètres!$A$1:$I$89,3,0)*VLOOKUP('Données projet'!$B$15,Paramètres!$A$1:$I$89,5,0)</f>
        <v>-1.6493686416652052E-13</v>
      </c>
      <c r="EL88" s="13" t="e">
        <f t="shared" si="99"/>
        <v>#NUM!</v>
      </c>
      <c r="EM88" s="20" t="e">
        <f t="shared" si="73"/>
        <v>#NUM!</v>
      </c>
      <c r="EN88" s="59" t="e">
        <f t="shared" si="74"/>
        <v>#NUM!</v>
      </c>
      <c r="EO88" s="59">
        <f ca="1">AVERAGE(OFFSET($EN$3,0,0,'Données projet'!$E$15+1,1))-AVERAGE(OFFSET($H$3,0,0,'Données projet'!$E$15+1,1))</f>
        <v>355.72173590705142</v>
      </c>
      <c r="EP88" s="59">
        <f t="shared" si="100"/>
        <v>346.30980704469363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92.351590558521579</v>
      </c>
      <c r="EW88" s="21">
        <f>EXP(-LN(2)/25)*EW87+(1-EXP(-LN(2)/25))/(LN(2)/25)*Calculateur!ER88*Calculateur!ET88*VLOOKUP('Données projet'!$B$15,Paramètres!$A$1:$I$89,3,0)*0.475*44/12</f>
        <v>2.4346273762585731</v>
      </c>
      <c r="EX88" s="21">
        <f>EXP(-LN(2)/2)*EX87+(1-EXP(-LN(2)/2))/(LN(2)/2)*ER88*EU88*VLOOKUP('Données projet'!$B$15,Paramètres!$A$1:$I$89,3,0)*0.475*44/12</f>
        <v>8.9428667589841435</v>
      </c>
      <c r="EY88" s="22">
        <f t="shared" si="75"/>
        <v>103.72908469376429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-1.7053025658242404E-13</v>
      </c>
      <c r="FF88" s="17">
        <f>FE88*VLOOKUP('Données projet'!$B$16,Paramètres!$A$1:$I$89,3,0)*VLOOKUP('Données projet'!$B$16,Paramètres!$A$1:$I$89,5,0)</f>
        <v>-1.250327841262333E-13</v>
      </c>
      <c r="FG88" s="13" t="e">
        <f t="shared" si="101"/>
        <v>#NUM!</v>
      </c>
      <c r="FH88" s="20" t="e">
        <f t="shared" si="76"/>
        <v>#NUM!</v>
      </c>
      <c r="FI88" s="59" t="e">
        <f t="shared" si="77"/>
        <v>#NUM!</v>
      </c>
      <c r="FJ88" s="59">
        <f ca="1">AVERAGE(OFFSET($FI$3,0,0,'Données projet'!$E$16+1,1))-AVERAGE(OFFSET($H$3,0,0,'Données projet'!$E$16+1,1))</f>
        <v>278.45534008146865</v>
      </c>
      <c r="FK88" s="59">
        <f t="shared" si="102"/>
        <v>272.97841038165217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70.008463810492188</v>
      </c>
      <c r="FR88" s="21">
        <f>EXP(-LN(2)/25)*FR87+(1-EXP(-LN(2)/25))/(LN(2)/25)*Calculateur!FM88*Calculateur!FO88*VLOOKUP('Données projet'!$B$16,Paramètres!$A$1:$I$89,3,0)*0.475*44/12</f>
        <v>1.8456046239379509</v>
      </c>
      <c r="FS88" s="21">
        <f>EXP(-LN(2)/2)*FS87+(1-EXP(-LN(2)/2))/(LN(2)/2)*FM88*FP88*VLOOKUP('Données projet'!$B$16,Paramètres!$A$1:$I$89,3,0)*0.475*44/12</f>
        <v>6.779269962455726</v>
      </c>
      <c r="FT88" s="22">
        <f t="shared" si="78"/>
        <v>78.633338396885861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5.7777777777777777</v>
      </c>
      <c r="N89" s="13">
        <f>IF('Données projet'!$A$36&gt;35,N88+M89-V88,IF(A89&lt;'Données projet'!$A$36,$K$205^A89,IF(A89='Données projet'!$A$36,'Données projet'!$B$36,N88+M89-V88)))</f>
        <v>199.5555555555556</v>
      </c>
      <c r="O89" s="13">
        <f>N89*VLOOKUP('Données projet'!$B$9,Paramètres!$A$1:$I$89,3,0)*VLOOKUP('Données projet'!$B$9,Paramètres!$A$1:$I$89,5,0)</f>
        <v>180.55786666666671</v>
      </c>
      <c r="P89" s="13">
        <f t="shared" si="87"/>
        <v>45.446278860104456</v>
      </c>
      <c r="Q89" s="20">
        <f t="shared" si="54"/>
        <v>393.62388679245981</v>
      </c>
      <c r="R89" s="59">
        <f t="shared" si="55"/>
        <v>686.95722012579313</v>
      </c>
      <c r="S89" s="59">
        <f ca="1">AVERAGE(OFFSET($R$3,0,0,'Données projet'!$E$9+1,1))-AVERAGE(OFFSET($H$3,0,0,'Données projet'!$E$9+1,1))</f>
        <v>436.03161778768742</v>
      </c>
      <c r="T89" s="59">
        <f t="shared" si="88"/>
        <v>217.65884352525285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1.4882261954023888</v>
      </c>
      <c r="AA89" s="21">
        <f>EXP(-LN(2)/25)*AA88+(1-EXP(-LN(2)/25))/(LN(2)/25)*Calculateur!V89*Calculateur!X89*VLOOKUP('Données projet'!$B$9,Paramètres!$A$1:$I$89,3,0)*0.475*44/12</f>
        <v>25.035073562252499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26.52329975765489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5.7777777777777777</v>
      </c>
      <c r="AI89" s="13">
        <f>IF('Données projet'!$A$62&gt;35,AI88+AH89-AQ88,IF(A89&lt;'Données projet'!$A$62,$AF$205^A89,IF(A89='Données projet'!$A$62,'Données projet'!$B$62,AI88+AH89-AQ88)))</f>
        <v>199.5555555555556</v>
      </c>
      <c r="AJ89" s="13">
        <f>AI89*VLOOKUP('Données projet'!$B$10,Paramètres!$A$1:$I$89,3,0)*VLOOKUP('Données projet'!$B$10,Paramètres!$A$1:$I$89,5,0)</f>
        <v>202.34933333333339</v>
      </c>
      <c r="AK89" s="13">
        <f t="shared" si="89"/>
        <v>50.260128638231343</v>
      </c>
      <c r="AL89" s="20">
        <f t="shared" si="58"/>
        <v>439.96147960047523</v>
      </c>
      <c r="AM89" s="59">
        <f t="shared" si="59"/>
        <v>733.29481293380854</v>
      </c>
      <c r="AN89" s="59">
        <f ca="1">AVERAGE(OFFSET($AM$3,0,0,'Données projet'!$E$10+1,1))-AVERAGE(OFFSET($H$3,0,0,'Données projet'!$E$10+1,1))</f>
        <v>483.45320081988984</v>
      </c>
      <c r="AO89" s="59">
        <f t="shared" si="90"/>
        <v>238.92443174298893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1.6678397017440565</v>
      </c>
      <c r="AV89" s="21">
        <f>EXP(-LN(2)/25)*AV88+(1-EXP(-LN(2)/25))/(LN(2)/25)*Calculateur!AQ89*Calculateur!AS89*VLOOKUP('Données projet'!$B$10,Paramètres!$A$1:$I$89,3,0)*0.475*44/12</f>
        <v>28.056547957696768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29.724387659440826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1.7053025658242404E-13</v>
      </c>
      <c r="BE89" s="13">
        <f>BD89*VLOOKUP('Données projet'!$B$11,Paramètres!$A$1:$I$89,3,0)*VLOOKUP('Données projet'!$B$11,Paramètres!$A$1:$I$89,5,0)</f>
        <v>1.4897523215040567E-13</v>
      </c>
      <c r="BF89" s="13">
        <f t="shared" si="91"/>
        <v>2.136562777003313E-12</v>
      </c>
      <c r="BG89" s="20">
        <f t="shared" si="61"/>
        <v>3.9806453659427267E-12</v>
      </c>
      <c r="BH89" s="59">
        <f t="shared" si="62"/>
        <v>293.33333333333729</v>
      </c>
      <c r="BI89" s="59">
        <f ca="1">AVERAGE(OFFSET($BH$3,0,0,'Données projet'!$E$11+1,1))-AVERAGE(OFFSET($H$3,0,0,'Données projet'!$E$11+1,1))</f>
        <v>310.44153296396854</v>
      </c>
      <c r="BJ89" s="59">
        <f t="shared" si="92"/>
        <v>388.05195847800502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59.268098157545317</v>
      </c>
      <c r="BQ89" s="21">
        <f>EXP(-LN(2)/25)*BQ88+(1-EXP(-LN(2)/25))/(LN(2)/25)*Calculateur!BL89*Calculateur!BN89*VLOOKUP('Données projet'!$B$11,Paramètres!$A$1:$I$89,3,0)*0.475*44/12</f>
        <v>3.4039949994709859</v>
      </c>
      <c r="BR89" s="21">
        <f>EXP(-LN(2)/2)*BR88+(1-EXP(-LN(2)/2))/(LN(2)/2)*BL89*BO89*VLOOKUP('Données projet'!$B$11,Paramètres!$A$1:$I$89,3,0)*0.475*44/12</f>
        <v>0.1609008162738999</v>
      </c>
      <c r="BS89" s="22">
        <f t="shared" si="63"/>
        <v>62.832993973290208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-2.2737367544323206E-13</v>
      </c>
      <c r="BZ89" s="13">
        <f>BY89*VLOOKUP('Données projet'!$B$12,Paramètres!$A$1:$I$89,3,0)*VLOOKUP('Données projet'!$B$12,Paramètres!$A$1:$I$89,5,0)</f>
        <v>-1.2710188457276673E-13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443.34220761968419</v>
      </c>
      <c r="CE89" s="59">
        <f t="shared" si="94"/>
        <v>546.58234447298014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152.03353167414465</v>
      </c>
      <c r="CL89" s="21">
        <f>EXP(-LN(2)/25)*CL88+(1-EXP(-LN(2)/25))/(LN(2)/25)*Calculateur!CG89*Calculateur!CI89*VLOOKUP('Données projet'!$B$12,Paramètres!$A$1:$I$89,3,0)*0.475*44/12</f>
        <v>29.488385284602241</v>
      </c>
      <c r="CM89" s="21">
        <f>EXP(-LN(2)/2)*CM88+(1-EXP(-LN(2)/2))/(LN(2)/2)*CG89*CJ89*VLOOKUP('Données projet'!$B$12,Paramètres!$A$1:$I$89,3,0)*0.475*44/12</f>
        <v>5.2720227269454044E-3</v>
      </c>
      <c r="CN89" s="22">
        <f t="shared" si="66"/>
        <v>181.52718898147384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>
        <f>CT89*VLOOKUP('Données projet'!$B$13,Paramètres!$A$1:$I$89,3,0)*VLOOKUP('Données projet'!$B$13,Paramètres!$A$1:$I$89,5,0)</f>
        <v>0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214.22606988805535</v>
      </c>
      <c r="CZ89" s="59">
        <f t="shared" si="96"/>
        <v>305.78163836959078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85.304833981796008</v>
      </c>
      <c r="DG89" s="21">
        <f>EXP(-LN(2)/25)*DG88+(1-EXP(-LN(2)/25))/(LN(2)/25)*Calculateur!DB89*Calculateur!DD89*VLOOKUP('Données projet'!$B$13,Paramètres!$A$1:$I$89,3,0)*0.475*44/12</f>
        <v>17.282188485424072</v>
      </c>
      <c r="DH89" s="21">
        <f>EXP(-LN(2)/2)*DH88+(1-EXP(-LN(2)/2))/(LN(2)/2)*DB89*DE89*VLOOKUP('Données projet'!$B$13,Paramètres!$A$1:$I$89,3,0)*0.475*44/12</f>
        <v>2.3041327395392878E-3</v>
      </c>
      <c r="DI89" s="22">
        <f t="shared" si="69"/>
        <v>102.58932659995962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-1.7053025658242404E-13</v>
      </c>
      <c r="DP89" s="17">
        <f>DO89*VLOOKUP('Données projet'!$B$14,Paramètres!$A$1:$I$89,3,0)*VLOOKUP('Données projet'!$B$14,Paramètres!$A$1:$I$89,5,0)</f>
        <v>-1.383341441396624E-13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304.26232113495314</v>
      </c>
      <c r="DU89" s="59">
        <f t="shared" si="98"/>
        <v>297.47246687305056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93.597142660827771</v>
      </c>
      <c r="EB89" s="21">
        <f>EXP(-LN(2)/25)*EB88+(1-EXP(-LN(2)/25))/(LN(2)/25)*Calculateur!DW89*Calculateur!DY89*VLOOKUP('Données projet'!$B$14,Paramètres!$A$1:$I$89,3,0)*0.475*44/12</f>
        <v>2.4479941152999989</v>
      </c>
      <c r="EC89" s="21">
        <f>EXP(-LN(2)/2)*EC88+(1-EXP(-LN(2)/2))/(LN(2)/2)*DW89*DZ89*VLOOKUP('Données projet'!$B$14,Paramètres!$A$1:$I$89,3,0)*0.475*44/12</f>
        <v>5.3036324174729614</v>
      </c>
      <c r="ED89" s="22">
        <f t="shared" si="72"/>
        <v>101.34876919360073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-1.7053025658242404E-13</v>
      </c>
      <c r="EK89" s="17">
        <f>EJ89*VLOOKUP('Données projet'!$B$15,Paramètres!$A$1:$I$89,3,0)*VLOOKUP('Données projet'!$B$15,Paramètres!$A$1:$I$89,5,0)</f>
        <v>-1.6493686416652052E-13</v>
      </c>
      <c r="EL89" s="13" t="e">
        <f t="shared" si="99"/>
        <v>#NUM!</v>
      </c>
      <c r="EM89" s="20" t="e">
        <f t="shared" si="73"/>
        <v>#NUM!</v>
      </c>
      <c r="EN89" s="59" t="e">
        <f t="shared" si="74"/>
        <v>#NUM!</v>
      </c>
      <c r="EO89" s="59">
        <f ca="1">AVERAGE(OFFSET($EN$3,0,0,'Données projet'!$E$15+1,1))-AVERAGE(OFFSET($H$3,0,0,'Données projet'!$E$15+1,1))</f>
        <v>355.72173590705142</v>
      </c>
      <c r="EP89" s="59">
        <f t="shared" si="100"/>
        <v>346.30980704469363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90.540632196577192</v>
      </c>
      <c r="EW89" s="21">
        <f>EXP(-LN(2)/25)*EW88+(1-EXP(-LN(2)/25))/(LN(2)/25)*Calculateur!ER89*Calculateur!ET89*VLOOKUP('Données projet'!$B$15,Paramètres!$A$1:$I$89,3,0)*0.475*44/12</f>
        <v>2.3680523626232932</v>
      </c>
      <c r="EX89" s="21">
        <f>EXP(-LN(2)/2)*EX88+(1-EXP(-LN(2)/2))/(LN(2)/2)*ER89*EU89*VLOOKUP('Données projet'!$B$15,Paramètres!$A$1:$I$89,3,0)*0.475*44/12</f>
        <v>6.3235617285254504</v>
      </c>
      <c r="EY89" s="22">
        <f t="shared" si="75"/>
        <v>99.232246287725928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-1.7053025658242404E-13</v>
      </c>
      <c r="FF89" s="17">
        <f>FE89*VLOOKUP('Données projet'!$B$16,Paramètres!$A$1:$I$89,3,0)*VLOOKUP('Données projet'!$B$16,Paramètres!$A$1:$I$89,5,0)</f>
        <v>-1.250327841262333E-13</v>
      </c>
      <c r="FG89" s="13" t="e">
        <f t="shared" si="101"/>
        <v>#NUM!</v>
      </c>
      <c r="FH89" s="20" t="e">
        <f t="shared" si="76"/>
        <v>#NUM!</v>
      </c>
      <c r="FI89" s="59" t="e">
        <f t="shared" si="77"/>
        <v>#NUM!</v>
      </c>
      <c r="FJ89" s="59">
        <f ca="1">AVERAGE(OFFSET($FI$3,0,0,'Données projet'!$E$16+1,1))-AVERAGE(OFFSET($H$3,0,0,'Données projet'!$E$16+1,1))</f>
        <v>278.45534008146865</v>
      </c>
      <c r="FK89" s="59">
        <f t="shared" si="102"/>
        <v>272.97841038165217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68.635640536114991</v>
      </c>
      <c r="FR89" s="21">
        <f>EXP(-LN(2)/25)*FR88+(1-EXP(-LN(2)/25))/(LN(2)/25)*Calculateur!FM89*Calculateur!FO89*VLOOKUP('Données projet'!$B$16,Paramètres!$A$1:$I$89,3,0)*0.475*44/12</f>
        <v>1.7951364684402387</v>
      </c>
      <c r="FS89" s="21">
        <f>EXP(-LN(2)/2)*FS88+(1-EXP(-LN(2)/2))/(LN(2)/2)*FM89*FP89*VLOOKUP('Données projet'!$B$16,Paramètres!$A$1:$I$89,3,0)*0.475*44/12</f>
        <v>4.7936677619467156</v>
      </c>
      <c r="FT89" s="22">
        <f t="shared" si="78"/>
        <v>75.224444766501946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5.7777777777777777</v>
      </c>
      <c r="N90" s="13">
        <f>IF('Données projet'!$A$36&gt;35,N89+M90-V89,IF(A90&lt;'Données projet'!$A$36,$K$205^A90,IF(A90='Données projet'!$A$36,'Données projet'!$B$36,N89+M90-V89)))</f>
        <v>205.33333333333337</v>
      </c>
      <c r="O90" s="13">
        <f>N90*VLOOKUP('Données projet'!$B$9,Paramètres!$A$1:$I$89,3,0)*VLOOKUP('Données projet'!$B$9,Paramètres!$A$1:$I$89,5,0)</f>
        <v>185.78560000000002</v>
      </c>
      <c r="P90" s="13">
        <f t="shared" si="87"/>
        <v>46.606995978498198</v>
      </c>
      <c r="Q90" s="20">
        <f t="shared" si="54"/>
        <v>404.75043799588434</v>
      </c>
      <c r="R90" s="59">
        <f t="shared" si="55"/>
        <v>698.0837713292176</v>
      </c>
      <c r="S90" s="59">
        <f ca="1">AVERAGE(OFFSET($R$3,0,0,'Données projet'!$E$9+1,1))-AVERAGE(OFFSET($H$3,0,0,'Données projet'!$E$9+1,1))</f>
        <v>436.03161778768742</v>
      </c>
      <c r="T90" s="59">
        <f t="shared" si="88"/>
        <v>217.65884352525285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1.4590429874388964</v>
      </c>
      <c r="AA90" s="21">
        <f>EXP(-LN(2)/25)*AA89+(1-EXP(-LN(2)/25))/(LN(2)/25)*Calculateur!V90*Calculateur!X90*VLOOKUP('Données projet'!$B$9,Paramètres!$A$1:$I$89,3,0)*0.475*44/12</f>
        <v>24.350488159155404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25.809531146594299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5.7777777777777777</v>
      </c>
      <c r="AI90" s="13">
        <f>IF('Données projet'!$A$62&gt;35,AI89+AH90-AQ89,IF(A90&lt;'Données projet'!$A$62,$AF$205^A90,IF(A90='Données projet'!$A$62,'Données projet'!$B$62,AI89+AH90-AQ89)))</f>
        <v>205.33333333333337</v>
      </c>
      <c r="AJ90" s="13">
        <f>AI90*VLOOKUP('Données projet'!$B$10,Paramètres!$A$1:$I$89,3,0)*VLOOKUP('Données projet'!$B$10,Paramètres!$A$1:$I$89,5,0)</f>
        <v>208.20800000000006</v>
      </c>
      <c r="AK90" s="13">
        <f t="shared" si="89"/>
        <v>51.543793509070291</v>
      </c>
      <c r="AL90" s="20">
        <f t="shared" si="58"/>
        <v>452.40104036163081</v>
      </c>
      <c r="AM90" s="59">
        <f t="shared" si="59"/>
        <v>745.73437369496412</v>
      </c>
      <c r="AN90" s="59">
        <f ca="1">AVERAGE(OFFSET($AM$3,0,0,'Données projet'!$E$10+1,1))-AVERAGE(OFFSET($H$3,0,0,'Données projet'!$E$10+1,1))</f>
        <v>483.45320081988984</v>
      </c>
      <c r="AO90" s="59">
        <f t="shared" si="90"/>
        <v>238.92443174298893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1.6351343824746254</v>
      </c>
      <c r="AV90" s="21">
        <f>EXP(-LN(2)/25)*AV89+(1-EXP(-LN(2)/25))/(LN(2)/25)*Calculateur!AQ90*Calculateur!AS90*VLOOKUP('Données projet'!$B$10,Paramètres!$A$1:$I$89,3,0)*0.475*44/12</f>
        <v>27.289340178363815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28.924474560838441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1.7053025658242404E-13</v>
      </c>
      <c r="BE90" s="13">
        <f>BD90*VLOOKUP('Données projet'!$B$11,Paramètres!$A$1:$I$89,3,0)*VLOOKUP('Données projet'!$B$11,Paramètres!$A$1:$I$89,5,0)</f>
        <v>1.4897523215040567E-13</v>
      </c>
      <c r="BF90" s="13">
        <f t="shared" si="91"/>
        <v>2.136562777003313E-12</v>
      </c>
      <c r="BG90" s="20">
        <f t="shared" si="61"/>
        <v>3.9806453659427267E-12</v>
      </c>
      <c r="BH90" s="59">
        <f t="shared" si="62"/>
        <v>293.33333333333729</v>
      </c>
      <c r="BI90" s="59">
        <f ca="1">AVERAGE(OFFSET($BH$3,0,0,'Données projet'!$E$11+1,1))-AVERAGE(OFFSET($H$3,0,0,'Données projet'!$E$11+1,1))</f>
        <v>310.44153296396854</v>
      </c>
      <c r="BJ90" s="59">
        <f t="shared" si="92"/>
        <v>388.05195847800502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58.105886902646219</v>
      </c>
      <c r="BQ90" s="21">
        <f>EXP(-LN(2)/25)*BQ89+(1-EXP(-LN(2)/25))/(LN(2)/25)*Calculateur!BL90*Calculateur!BN90*VLOOKUP('Données projet'!$B$11,Paramètres!$A$1:$I$89,3,0)*0.475*44/12</f>
        <v>3.3109125772021346</v>
      </c>
      <c r="BR90" s="21">
        <f>EXP(-LN(2)/2)*BR89+(1-EXP(-LN(2)/2))/(LN(2)/2)*BL90*BO90*VLOOKUP('Données projet'!$B$11,Paramètres!$A$1:$I$89,3,0)*0.475*44/12</f>
        <v>0.11377405828572543</v>
      </c>
      <c r="BS90" s="22">
        <f t="shared" si="63"/>
        <v>61.530573538134078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-2.2737367544323206E-13</v>
      </c>
      <c r="BZ90" s="13">
        <f>BY90*VLOOKUP('Données projet'!$B$12,Paramètres!$A$1:$I$89,3,0)*VLOOKUP('Données projet'!$B$12,Paramètres!$A$1:$I$89,5,0)</f>
        <v>-1.2710188457276673E-13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443.34220761968419</v>
      </c>
      <c r="CE90" s="59">
        <f t="shared" si="94"/>
        <v>546.58234447298014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149.05224684931255</v>
      </c>
      <c r="CL90" s="21">
        <f>EXP(-LN(2)/25)*CL89+(1-EXP(-LN(2)/25))/(LN(2)/25)*Calculateur!CG90*Calculateur!CI90*VLOOKUP('Données projet'!$B$12,Paramètres!$A$1:$I$89,3,0)*0.475*44/12</f>
        <v>28.682023838268009</v>
      </c>
      <c r="CM90" s="21">
        <f>EXP(-LN(2)/2)*CM89+(1-EXP(-LN(2)/2))/(LN(2)/2)*CG90*CJ90*VLOOKUP('Données projet'!$B$12,Paramètres!$A$1:$I$89,3,0)*0.475*44/12</f>
        <v>3.72788302079269E-3</v>
      </c>
      <c r="CN90" s="22">
        <f t="shared" si="66"/>
        <v>177.73799857060135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>
        <f>CT90*VLOOKUP('Données projet'!$B$13,Paramètres!$A$1:$I$89,3,0)*VLOOKUP('Données projet'!$B$13,Paramètres!$A$1:$I$89,5,0)</f>
        <v>0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214.22606988805535</v>
      </c>
      <c r="CZ90" s="59">
        <f t="shared" si="96"/>
        <v>305.78163836959078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83.632058218224103</v>
      </c>
      <c r="DG90" s="21">
        <f>EXP(-LN(2)/25)*DG89+(1-EXP(-LN(2)/25))/(LN(2)/25)*Calculateur!DB90*Calculateur!DD90*VLOOKUP('Données projet'!$B$13,Paramètres!$A$1:$I$89,3,0)*0.475*44/12</f>
        <v>16.809606132459358</v>
      </c>
      <c r="DH90" s="21">
        <f>EXP(-LN(2)/2)*DH89+(1-EXP(-LN(2)/2))/(LN(2)/2)*DB90*DE90*VLOOKUP('Données projet'!$B$13,Paramètres!$A$1:$I$89,3,0)*0.475*44/12</f>
        <v>1.6292678848821675E-3</v>
      </c>
      <c r="DI90" s="22">
        <f t="shared" si="69"/>
        <v>100.44329361856833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-1.7053025658242404E-13</v>
      </c>
      <c r="DP90" s="17">
        <f>DO90*VLOOKUP('Données projet'!$B$14,Paramètres!$A$1:$I$89,3,0)*VLOOKUP('Données projet'!$B$14,Paramètres!$A$1:$I$89,5,0)</f>
        <v>-1.383341441396624E-13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304.26232113495314</v>
      </c>
      <c r="DU90" s="59">
        <f t="shared" si="98"/>
        <v>297.47246687305056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91.761759781868932</v>
      </c>
      <c r="EB90" s="21">
        <f>EXP(-LN(2)/25)*EB89+(1-EXP(-LN(2)/25))/(LN(2)/25)*Calculateur!DW90*Calculateur!DY90*VLOOKUP('Données projet'!$B$14,Paramètres!$A$1:$I$89,3,0)*0.475*44/12</f>
        <v>2.3810535874827048</v>
      </c>
      <c r="EC90" s="21">
        <f>EXP(-LN(2)/2)*EC89+(1-EXP(-LN(2)/2))/(LN(2)/2)*DW90*DZ90*VLOOKUP('Données projet'!$B$14,Paramètres!$A$1:$I$89,3,0)*0.475*44/12</f>
        <v>3.7502344473159335</v>
      </c>
      <c r="ED90" s="22">
        <f t="shared" si="72"/>
        <v>97.893047816667575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-1.7053025658242404E-13</v>
      </c>
      <c r="EK90" s="17">
        <f>EJ90*VLOOKUP('Données projet'!$B$15,Paramètres!$A$1:$I$89,3,0)*VLOOKUP('Données projet'!$B$15,Paramètres!$A$1:$I$89,5,0)</f>
        <v>-1.6493686416652052E-13</v>
      </c>
      <c r="EL90" s="13" t="e">
        <f t="shared" si="99"/>
        <v>#NUM!</v>
      </c>
      <c r="EM90" s="20" t="e">
        <f t="shared" si="73"/>
        <v>#NUM!</v>
      </c>
      <c r="EN90" s="59" t="e">
        <f t="shared" si="74"/>
        <v>#NUM!</v>
      </c>
      <c r="EO90" s="59">
        <f ca="1">AVERAGE(OFFSET($EN$3,0,0,'Données projet'!$E$15+1,1))-AVERAGE(OFFSET($H$3,0,0,'Données projet'!$E$15+1,1))</f>
        <v>355.72173590705142</v>
      </c>
      <c r="EP90" s="59">
        <f t="shared" si="100"/>
        <v>346.30980704469363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88.765185623535004</v>
      </c>
      <c r="EW90" s="21">
        <f>EXP(-LN(2)/25)*EW89+(1-EXP(-LN(2)/25))/(LN(2)/25)*Calculateur!ER90*Calculateur!ET90*VLOOKUP('Données projet'!$B$15,Paramètres!$A$1:$I$89,3,0)*0.475*44/12</f>
        <v>2.3032978462368976</v>
      </c>
      <c r="EX90" s="21">
        <f>EXP(-LN(2)/2)*EX89+(1-EXP(-LN(2)/2))/(LN(2)/2)*ER90*EU90*VLOOKUP('Données projet'!$B$15,Paramètres!$A$1:$I$89,3,0)*0.475*44/12</f>
        <v>4.4714333794920718</v>
      </c>
      <c r="EY90" s="22">
        <f t="shared" si="75"/>
        <v>95.539916849263975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-1.7053025658242404E-13</v>
      </c>
      <c r="FF90" s="17">
        <f>FE90*VLOOKUP('Données projet'!$B$16,Paramètres!$A$1:$I$89,3,0)*VLOOKUP('Données projet'!$B$16,Paramètres!$A$1:$I$89,5,0)</f>
        <v>-1.250327841262333E-13</v>
      </c>
      <c r="FG90" s="13" t="e">
        <f t="shared" si="101"/>
        <v>#NUM!</v>
      </c>
      <c r="FH90" s="20" t="e">
        <f t="shared" si="76"/>
        <v>#NUM!</v>
      </c>
      <c r="FI90" s="59" t="e">
        <f t="shared" si="77"/>
        <v>#NUM!</v>
      </c>
      <c r="FJ90" s="59">
        <f ca="1">AVERAGE(OFFSET($FI$3,0,0,'Données projet'!$E$16+1,1))-AVERAGE(OFFSET($H$3,0,0,'Données projet'!$E$16+1,1))</f>
        <v>278.45534008146865</v>
      </c>
      <c r="FK90" s="59">
        <f t="shared" si="102"/>
        <v>272.97841038165217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67.289737488808811</v>
      </c>
      <c r="FR90" s="21">
        <f>EXP(-LN(2)/25)*FR89+(1-EXP(-LN(2)/25))/(LN(2)/25)*Calculateur!FM90*Calculateur!FO90*VLOOKUP('Données projet'!$B$16,Paramètres!$A$1:$I$89,3,0)*0.475*44/12</f>
        <v>1.7460483673086162</v>
      </c>
      <c r="FS90" s="21">
        <f>EXP(-LN(2)/2)*FS89+(1-EXP(-LN(2)/2))/(LN(2)/2)*FM90*FP90*VLOOKUP('Données projet'!$B$16,Paramètres!$A$1:$I$89,3,0)*0.475*44/12</f>
        <v>3.3896349812278634</v>
      </c>
      <c r="FT90" s="22">
        <f t="shared" si="78"/>
        <v>72.425420837345285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5.7777777777777777</v>
      </c>
      <c r="N91" s="13">
        <f>IF('Données projet'!$A$36&gt;35,N90+M91-V90,IF(A91&lt;'Données projet'!$A$36,$K$205^A91,IF(A91='Données projet'!$A$36,'Données projet'!$B$36,N90+M91-V90)))</f>
        <v>211.11111111111114</v>
      </c>
      <c r="O91" s="13">
        <f>N91*VLOOKUP('Données projet'!$B$9,Paramètres!$A$1:$I$89,3,0)*VLOOKUP('Données projet'!$B$9,Paramètres!$A$1:$I$89,5,0)</f>
        <v>191.01333333333335</v>
      </c>
      <c r="P91" s="13">
        <f t="shared" si="87"/>
        <v>47.763917061299928</v>
      </c>
      <c r="Q91" s="20">
        <f t="shared" si="54"/>
        <v>415.87037777065296</v>
      </c>
      <c r="R91" s="59">
        <f t="shared" si="55"/>
        <v>709.20371110398628</v>
      </c>
      <c r="S91" s="59">
        <f ca="1">AVERAGE(OFFSET($R$3,0,0,'Données projet'!$E$9+1,1))-AVERAGE(OFFSET($H$3,0,0,'Données projet'!$E$9+1,1))</f>
        <v>436.03161778768742</v>
      </c>
      <c r="T91" s="59">
        <f t="shared" si="88"/>
        <v>217.65884352525285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1.4304320443835687</v>
      </c>
      <c r="AA91" s="21">
        <f>EXP(-LN(2)/25)*AA90+(1-EXP(-LN(2)/25))/(LN(2)/25)*Calculateur!V91*Calculateur!X91*VLOOKUP('Données projet'!$B$9,Paramètres!$A$1:$I$89,3,0)*0.475*44/12</f>
        <v>23.684622779906782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25.11505482429035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5.7777777777777777</v>
      </c>
      <c r="AI91" s="13">
        <f>IF('Données projet'!$A$62&gt;35,AI90+AH91-AQ90,IF(A91&lt;'Données projet'!$A$62,$AF$205^A91,IF(A91='Données projet'!$A$62,'Données projet'!$B$62,AI90+AH91-AQ90)))</f>
        <v>211.11111111111114</v>
      </c>
      <c r="AJ91" s="13">
        <f>AI91*VLOOKUP('Données projet'!$B$10,Paramètres!$A$1:$I$89,3,0)*VLOOKUP('Données projet'!$B$10,Paramètres!$A$1:$I$89,5,0)</f>
        <v>214.06666666666672</v>
      </c>
      <c r="AK91" s="13">
        <f t="shared" si="89"/>
        <v>52.82326025319891</v>
      </c>
      <c r="AL91" s="20">
        <f t="shared" si="58"/>
        <v>464.83328938543258</v>
      </c>
      <c r="AM91" s="59">
        <f t="shared" si="59"/>
        <v>758.16662271876589</v>
      </c>
      <c r="AN91" s="59">
        <f ca="1">AVERAGE(OFFSET($AM$3,0,0,'Données projet'!$E$10+1,1))-AVERAGE(OFFSET($H$3,0,0,'Données projet'!$E$10+1,1))</f>
        <v>483.45320081988984</v>
      </c>
      <c r="AO91" s="59">
        <f t="shared" si="90"/>
        <v>238.92443174298893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1.6030703945677929</v>
      </c>
      <c r="AV91" s="21">
        <f>EXP(-LN(2)/25)*AV90+(1-EXP(-LN(2)/25))/(LN(2)/25)*Calculateur!AQ91*Calculateur!AS91*VLOOKUP('Données projet'!$B$10,Paramètres!$A$1:$I$89,3,0)*0.475*44/12</f>
        <v>26.543111736102428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28.146182130670223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1.7053025658242404E-13</v>
      </c>
      <c r="BE91" s="13">
        <f>BD91*VLOOKUP('Données projet'!$B$11,Paramètres!$A$1:$I$89,3,0)*VLOOKUP('Données projet'!$B$11,Paramètres!$A$1:$I$89,5,0)</f>
        <v>1.4897523215040567E-13</v>
      </c>
      <c r="BF91" s="13">
        <f t="shared" si="91"/>
        <v>2.136562777003313E-12</v>
      </c>
      <c r="BG91" s="20">
        <f t="shared" si="61"/>
        <v>3.9806453659427267E-12</v>
      </c>
      <c r="BH91" s="59">
        <f t="shared" si="62"/>
        <v>293.33333333333729</v>
      </c>
      <c r="BI91" s="59">
        <f ca="1">AVERAGE(OFFSET($BH$3,0,0,'Données projet'!$E$11+1,1))-AVERAGE(OFFSET($H$3,0,0,'Données projet'!$E$11+1,1))</f>
        <v>310.44153296396854</v>
      </c>
      <c r="BJ91" s="59">
        <f t="shared" si="92"/>
        <v>388.05195847800502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56.966465901576818</v>
      </c>
      <c r="BQ91" s="21">
        <f>EXP(-LN(2)/25)*BQ90+(1-EXP(-LN(2)/25))/(LN(2)/25)*Calculateur!BL91*Calculateur!BN91*VLOOKUP('Données projet'!$B$11,Paramètres!$A$1:$I$89,3,0)*0.475*44/12</f>
        <v>3.2203754986652169</v>
      </c>
      <c r="BR91" s="21">
        <f>EXP(-LN(2)/2)*BR90+(1-EXP(-LN(2)/2))/(LN(2)/2)*BL91*BO91*VLOOKUP('Données projet'!$B$11,Paramètres!$A$1:$I$89,3,0)*0.475*44/12</f>
        <v>8.0450408136949952E-2</v>
      </c>
      <c r="BS91" s="22">
        <f t="shared" si="63"/>
        <v>60.267291808378985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-2.2737367544323206E-13</v>
      </c>
      <c r="BZ91" s="13">
        <f>BY91*VLOOKUP('Données projet'!$B$12,Paramètres!$A$1:$I$89,3,0)*VLOOKUP('Données projet'!$B$12,Paramètres!$A$1:$I$89,5,0)</f>
        <v>-1.2710188457276673E-13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443.34220761968419</v>
      </c>
      <c r="CE91" s="59">
        <f t="shared" si="94"/>
        <v>546.58234447298014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146.12942320149122</v>
      </c>
      <c r="CL91" s="21">
        <f>EXP(-LN(2)/25)*CL90+(1-EXP(-LN(2)/25))/(LN(2)/25)*Calculateur!CG91*Calculateur!CI91*VLOOKUP('Données projet'!$B$12,Paramètres!$A$1:$I$89,3,0)*0.475*44/12</f>
        <v>27.89771238808849</v>
      </c>
      <c r="CM91" s="21">
        <f>EXP(-LN(2)/2)*CM90+(1-EXP(-LN(2)/2))/(LN(2)/2)*CG91*CJ91*VLOOKUP('Données projet'!$B$12,Paramètres!$A$1:$I$89,3,0)*0.475*44/12</f>
        <v>2.6360113634727026E-3</v>
      </c>
      <c r="CN91" s="22">
        <f t="shared" si="66"/>
        <v>174.02977160094318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>
        <f>CT91*VLOOKUP('Données projet'!$B$13,Paramètres!$A$1:$I$89,3,0)*VLOOKUP('Données projet'!$B$13,Paramètres!$A$1:$I$89,5,0)</f>
        <v>0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214.22606988805535</v>
      </c>
      <c r="CZ91" s="59">
        <f t="shared" si="96"/>
        <v>305.78163836959078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81.992084567083367</v>
      </c>
      <c r="DG91" s="21">
        <f>EXP(-LN(2)/25)*DG90+(1-EXP(-LN(2)/25))/(LN(2)/25)*Calculateur!DB91*Calculateur!DD91*VLOOKUP('Données projet'!$B$13,Paramètres!$A$1:$I$89,3,0)*0.475*44/12</f>
        <v>16.349946568788489</v>
      </c>
      <c r="DH91" s="21">
        <f>EXP(-LN(2)/2)*DH90+(1-EXP(-LN(2)/2))/(LN(2)/2)*DB91*DE91*VLOOKUP('Données projet'!$B$13,Paramètres!$A$1:$I$89,3,0)*0.475*44/12</f>
        <v>1.1520663697696439E-3</v>
      </c>
      <c r="DI91" s="22">
        <f t="shared" si="69"/>
        <v>98.343183202241619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-1.7053025658242404E-13</v>
      </c>
      <c r="DP91" s="17">
        <f>DO91*VLOOKUP('Données projet'!$B$14,Paramètres!$A$1:$I$89,3,0)*VLOOKUP('Données projet'!$B$14,Paramètres!$A$1:$I$89,5,0)</f>
        <v>-1.383341441396624E-13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304.26232113495314</v>
      </c>
      <c r="DU91" s="59">
        <f t="shared" si="98"/>
        <v>297.47246687305056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89.962367641693461</v>
      </c>
      <c r="EB91" s="21">
        <f>EXP(-LN(2)/25)*EB90+(1-EXP(-LN(2)/25))/(LN(2)/25)*Calculateur!DW91*Calculateur!DY91*VLOOKUP('Données projet'!$B$14,Paramètres!$A$1:$I$89,3,0)*0.475*44/12</f>
        <v>2.3159435519188238</v>
      </c>
      <c r="EC91" s="21">
        <f>EXP(-LN(2)/2)*EC90+(1-EXP(-LN(2)/2))/(LN(2)/2)*DW91*DZ91*VLOOKUP('Données projet'!$B$14,Paramètres!$A$1:$I$89,3,0)*0.475*44/12</f>
        <v>2.6518162087364812</v>
      </c>
      <c r="ED91" s="22">
        <f t="shared" si="72"/>
        <v>94.930127402348759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-1.7053025658242404E-13</v>
      </c>
      <c r="EK91" s="17">
        <f>EJ91*VLOOKUP('Données projet'!$B$15,Paramètres!$A$1:$I$89,3,0)*VLOOKUP('Données projet'!$B$15,Paramètres!$A$1:$I$89,5,0)</f>
        <v>-1.6493686416652052E-13</v>
      </c>
      <c r="EL91" s="13" t="e">
        <f t="shared" si="99"/>
        <v>#NUM!</v>
      </c>
      <c r="EM91" s="20" t="e">
        <f t="shared" si="73"/>
        <v>#NUM!</v>
      </c>
      <c r="EN91" s="59" t="e">
        <f t="shared" si="74"/>
        <v>#NUM!</v>
      </c>
      <c r="EO91" s="59">
        <f ca="1">AVERAGE(OFFSET($EN$3,0,0,'Données projet'!$E$15+1,1))-AVERAGE(OFFSET($H$3,0,0,'Données projet'!$E$15+1,1))</f>
        <v>355.72173590705142</v>
      </c>
      <c r="EP91" s="59">
        <f t="shared" si="100"/>
        <v>346.30980704469363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87.024554474874691</v>
      </c>
      <c r="EW91" s="21">
        <f>EXP(-LN(2)/25)*EW90+(1-EXP(-LN(2)/25))/(LN(2)/25)*Calculateur!ER91*Calculateur!ET91*VLOOKUP('Données projet'!$B$15,Paramètres!$A$1:$I$89,3,0)*0.475*44/12</f>
        <v>2.2403140455063801</v>
      </c>
      <c r="EX91" s="21">
        <f>EXP(-LN(2)/2)*EX90+(1-EXP(-LN(2)/2))/(LN(2)/2)*ER91*EU91*VLOOKUP('Données projet'!$B$15,Paramètres!$A$1:$I$89,3,0)*0.475*44/12</f>
        <v>3.1617808642627252</v>
      </c>
      <c r="EY91" s="22">
        <f t="shared" si="75"/>
        <v>92.426649384643795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-1.7053025658242404E-13</v>
      </c>
      <c r="FF91" s="17">
        <f>FE91*VLOOKUP('Données projet'!$B$16,Paramètres!$A$1:$I$89,3,0)*VLOOKUP('Données projet'!$B$16,Paramètres!$A$1:$I$89,5,0)</f>
        <v>-1.250327841262333E-13</v>
      </c>
      <c r="FG91" s="13" t="e">
        <f t="shared" si="101"/>
        <v>#NUM!</v>
      </c>
      <c r="FH91" s="20" t="e">
        <f t="shared" si="76"/>
        <v>#NUM!</v>
      </c>
      <c r="FI91" s="59" t="e">
        <f t="shared" si="77"/>
        <v>#NUM!</v>
      </c>
      <c r="FJ91" s="59">
        <f ca="1">AVERAGE(OFFSET($FI$3,0,0,'Données projet'!$E$16+1,1))-AVERAGE(OFFSET($H$3,0,0,'Données projet'!$E$16+1,1))</f>
        <v>278.45534008146865</v>
      </c>
      <c r="FK91" s="59">
        <f t="shared" si="102"/>
        <v>272.97841038165217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65.970226779340507</v>
      </c>
      <c r="FR91" s="21">
        <f>EXP(-LN(2)/25)*FR90+(1-EXP(-LN(2)/25))/(LN(2)/25)*Calculateur!FM91*Calculateur!FO91*VLOOKUP('Données projet'!$B$16,Paramètres!$A$1:$I$89,3,0)*0.475*44/12</f>
        <v>1.6983025828838691</v>
      </c>
      <c r="FS91" s="21">
        <f>EXP(-LN(2)/2)*FS90+(1-EXP(-LN(2)/2))/(LN(2)/2)*FM91*FP91*VLOOKUP('Données projet'!$B$16,Paramètres!$A$1:$I$89,3,0)*0.475*44/12</f>
        <v>2.3968338809733583</v>
      </c>
      <c r="FT91" s="22">
        <f t="shared" si="78"/>
        <v>70.065363243197737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5.7777777777777777</v>
      </c>
      <c r="N92" s="13">
        <f>IF('Données projet'!$A$36&gt;35,N91+M92-V91,IF(A92&lt;'Données projet'!$A$36,$K$205^A92,IF(A92='Données projet'!$A$36,'Données projet'!$B$36,N91+M92-V91)))</f>
        <v>216.88888888888891</v>
      </c>
      <c r="O92" s="13">
        <f>N92*VLOOKUP('Données projet'!$B$9,Paramètres!$A$1:$I$89,3,0)*VLOOKUP('Données projet'!$B$9,Paramètres!$A$1:$I$89,5,0)</f>
        <v>196.24106666666668</v>
      </c>
      <c r="P92" s="13">
        <f t="shared" si="87"/>
        <v>48.917157937717533</v>
      </c>
      <c r="Q92" s="20">
        <f t="shared" si="54"/>
        <v>426.98390785263581</v>
      </c>
      <c r="R92" s="59">
        <f t="shared" si="55"/>
        <v>720.31724118596912</v>
      </c>
      <c r="S92" s="59">
        <f ca="1">AVERAGE(OFFSET($R$3,0,0,'Données projet'!$E$9+1,1))-AVERAGE(OFFSET($H$3,0,0,'Données projet'!$E$9+1,1))</f>
        <v>436.03161778768742</v>
      </c>
      <c r="T92" s="59">
        <f t="shared" si="88"/>
        <v>217.65884352525285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1.4023821444706039</v>
      </c>
      <c r="AA92" s="21">
        <f>EXP(-LN(2)/25)*AA91+(1-EXP(-LN(2)/25))/(LN(2)/25)*Calculateur!V92*Calculateur!X92*VLOOKUP('Données projet'!$B$9,Paramètres!$A$1:$I$89,3,0)*0.475*44/12</f>
        <v>23.036965524470052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24.439347668940655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5.7777777777777777</v>
      </c>
      <c r="AI92" s="13">
        <f>IF('Données projet'!$A$62&gt;35,AI91+AH92-AQ91,IF(A92&lt;'Données projet'!$A$62,$AF$205^A92,IF(A92='Données projet'!$A$62,'Données projet'!$B$62,AI91+AH92-AQ91)))</f>
        <v>216.88888888888891</v>
      </c>
      <c r="AJ92" s="13">
        <f>AI92*VLOOKUP('Données projet'!$B$10,Paramètres!$A$1:$I$89,3,0)*VLOOKUP('Données projet'!$B$10,Paramètres!$A$1:$I$89,5,0)</f>
        <v>219.92533333333336</v>
      </c>
      <c r="AK92" s="13">
        <f t="shared" si="89"/>
        <v>54.098656968913204</v>
      </c>
      <c r="AL92" s="20">
        <f t="shared" si="58"/>
        <v>477.25844977641265</v>
      </c>
      <c r="AM92" s="59">
        <f t="shared" si="59"/>
        <v>770.59178310974596</v>
      </c>
      <c r="AN92" s="59">
        <f ca="1">AVERAGE(OFFSET($AM$3,0,0,'Données projet'!$E$10+1,1))-AVERAGE(OFFSET($H$3,0,0,'Données projet'!$E$10+1,1))</f>
        <v>483.45320081988984</v>
      </c>
      <c r="AO92" s="59">
        <f t="shared" si="90"/>
        <v>238.92443174298893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1.5716351619067117</v>
      </c>
      <c r="AV92" s="21">
        <f>EXP(-LN(2)/25)*AV91+(1-EXP(-LN(2)/25))/(LN(2)/25)*Calculateur!AQ92*Calculateur!AS92*VLOOKUP('Données projet'!$B$10,Paramètres!$A$1:$I$89,3,0)*0.475*44/12</f>
        <v>25.817288949837128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27.38892411174384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1.7053025658242404E-13</v>
      </c>
      <c r="BE92" s="13">
        <f>BD92*VLOOKUP('Données projet'!$B$11,Paramètres!$A$1:$I$89,3,0)*VLOOKUP('Données projet'!$B$11,Paramètres!$A$1:$I$89,5,0)</f>
        <v>1.4897523215040567E-13</v>
      </c>
      <c r="BF92" s="13">
        <f t="shared" si="91"/>
        <v>2.136562777003313E-12</v>
      </c>
      <c r="BG92" s="20">
        <f t="shared" si="61"/>
        <v>3.9806453659427267E-12</v>
      </c>
      <c r="BH92" s="59">
        <f t="shared" si="62"/>
        <v>293.33333333333729</v>
      </c>
      <c r="BI92" s="59">
        <f ca="1">AVERAGE(OFFSET($BH$3,0,0,'Données projet'!$E$11+1,1))-AVERAGE(OFFSET($H$3,0,0,'Données projet'!$E$11+1,1))</f>
        <v>310.44153296396854</v>
      </c>
      <c r="BJ92" s="59">
        <f t="shared" si="92"/>
        <v>388.05195847800502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55.849388251360203</v>
      </c>
      <c r="BQ92" s="21">
        <f>EXP(-LN(2)/25)*BQ91+(1-EXP(-LN(2)/25))/(LN(2)/25)*Calculateur!BL92*Calculateur!BN92*VLOOKUP('Données projet'!$B$11,Paramètres!$A$1:$I$89,3,0)*0.475*44/12</f>
        <v>3.1323141613020291</v>
      </c>
      <c r="BR92" s="21">
        <f>EXP(-LN(2)/2)*BR91+(1-EXP(-LN(2)/2))/(LN(2)/2)*BL92*BO92*VLOOKUP('Données projet'!$B$11,Paramètres!$A$1:$I$89,3,0)*0.475*44/12</f>
        <v>5.6887029142862713E-2</v>
      </c>
      <c r="BS92" s="22">
        <f t="shared" si="63"/>
        <v>59.038589441805094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-2.2737367544323206E-13</v>
      </c>
      <c r="BZ92" s="13">
        <f>BY92*VLOOKUP('Données projet'!$B$12,Paramètres!$A$1:$I$89,3,0)*VLOOKUP('Données projet'!$B$12,Paramètres!$A$1:$I$89,5,0)</f>
        <v>-1.2710188457276673E-13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443.34220761968419</v>
      </c>
      <c r="CE92" s="59">
        <f t="shared" si="94"/>
        <v>546.58234447298014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143.26391434265727</v>
      </c>
      <c r="CL92" s="21">
        <f>EXP(-LN(2)/25)*CL91+(1-EXP(-LN(2)/25))/(LN(2)/25)*Calculateur!CG92*Calculateur!CI92*VLOOKUP('Données projet'!$B$12,Paramètres!$A$1:$I$89,3,0)*0.475*44/12</f>
        <v>27.134847975759275</v>
      </c>
      <c r="CM92" s="21">
        <f>EXP(-LN(2)/2)*CM91+(1-EXP(-LN(2)/2))/(LN(2)/2)*CG92*CJ92*VLOOKUP('Données projet'!$B$12,Paramètres!$A$1:$I$89,3,0)*0.475*44/12</f>
        <v>1.8639415103963452E-3</v>
      </c>
      <c r="CN92" s="22">
        <f t="shared" si="66"/>
        <v>170.40062625992695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>
        <f>CT92*VLOOKUP('Données projet'!$B$13,Paramètres!$A$1:$I$89,3,0)*VLOOKUP('Données projet'!$B$13,Paramètres!$A$1:$I$89,5,0)</f>
        <v>0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214.22606988805535</v>
      </c>
      <c r="CZ92" s="59">
        <f t="shared" si="96"/>
        <v>305.78163836959078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80.384269798956353</v>
      </c>
      <c r="DG92" s="21">
        <f>EXP(-LN(2)/25)*DG91+(1-EXP(-LN(2)/25))/(LN(2)/25)*Calculateur!DB92*Calculateur!DD92*VLOOKUP('Données projet'!$B$13,Paramètres!$A$1:$I$89,3,0)*0.475*44/12</f>
        <v>15.902856420058646</v>
      </c>
      <c r="DH92" s="21">
        <f>EXP(-LN(2)/2)*DH91+(1-EXP(-LN(2)/2))/(LN(2)/2)*DB92*DE92*VLOOKUP('Données projet'!$B$13,Paramètres!$A$1:$I$89,3,0)*0.475*44/12</f>
        <v>8.1463394244108377E-4</v>
      </c>
      <c r="DI92" s="22">
        <f t="shared" si="69"/>
        <v>96.287940852957433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-1.7053025658242404E-13</v>
      </c>
      <c r="DP92" s="17">
        <f>DO92*VLOOKUP('Données projet'!$B$14,Paramètres!$A$1:$I$89,3,0)*VLOOKUP('Données projet'!$B$14,Paramètres!$A$1:$I$89,5,0)</f>
        <v>-1.383341441396624E-13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304.26232113495314</v>
      </c>
      <c r="DU92" s="59">
        <f t="shared" si="98"/>
        <v>297.47246687305056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88.198260483865994</v>
      </c>
      <c r="EB92" s="21">
        <f>EXP(-LN(2)/25)*EB91+(1-EXP(-LN(2)/25))/(LN(2)/25)*Calculateur!DW92*Calculateur!DY92*VLOOKUP('Données projet'!$B$14,Paramètres!$A$1:$I$89,3,0)*0.475*44/12</f>
        <v>2.2526139537014256</v>
      </c>
      <c r="EC92" s="21">
        <f>EXP(-LN(2)/2)*EC91+(1-EXP(-LN(2)/2))/(LN(2)/2)*DW92*DZ92*VLOOKUP('Données projet'!$B$14,Paramètres!$A$1:$I$89,3,0)*0.475*44/12</f>
        <v>1.8751172236579672</v>
      </c>
      <c r="ED92" s="22">
        <f t="shared" si="72"/>
        <v>92.325991661225387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-1.7053025658242404E-13</v>
      </c>
      <c r="EK92" s="17">
        <f>EJ92*VLOOKUP('Données projet'!$B$15,Paramètres!$A$1:$I$89,3,0)*VLOOKUP('Données projet'!$B$15,Paramètres!$A$1:$I$89,5,0)</f>
        <v>-1.6493686416652052E-13</v>
      </c>
      <c r="EL92" s="13" t="e">
        <f t="shared" si="99"/>
        <v>#NUM!</v>
      </c>
      <c r="EM92" s="20" t="e">
        <f t="shared" si="73"/>
        <v>#NUM!</v>
      </c>
      <c r="EN92" s="59" t="e">
        <f t="shared" si="74"/>
        <v>#NUM!</v>
      </c>
      <c r="EO92" s="59">
        <f ca="1">AVERAGE(OFFSET($EN$3,0,0,'Données projet'!$E$15+1,1))-AVERAGE(OFFSET($H$3,0,0,'Données projet'!$E$15+1,1))</f>
        <v>355.72173590705142</v>
      </c>
      <c r="EP92" s="59">
        <f t="shared" si="100"/>
        <v>346.30980704469363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85.318056041359441</v>
      </c>
      <c r="EW92" s="21">
        <f>EXP(-LN(2)/25)*EW91+(1-EXP(-LN(2)/25))/(LN(2)/25)*Calculateur!ER92*Calculateur!ET92*VLOOKUP('Données projet'!$B$15,Paramètres!$A$1:$I$89,3,0)*0.475*44/12</f>
        <v>2.1790525401190126</v>
      </c>
      <c r="EX92" s="21">
        <f>EXP(-LN(2)/2)*EX91+(1-EXP(-LN(2)/2))/(LN(2)/2)*ER92*EU92*VLOOKUP('Données projet'!$B$15,Paramètres!$A$1:$I$89,3,0)*0.475*44/12</f>
        <v>2.2357166897460359</v>
      </c>
      <c r="EY92" s="22">
        <f t="shared" si="75"/>
        <v>89.732825271224499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-1.7053025658242404E-13</v>
      </c>
      <c r="FF92" s="17">
        <f>FE92*VLOOKUP('Données projet'!$B$16,Paramètres!$A$1:$I$89,3,0)*VLOOKUP('Données projet'!$B$16,Paramètres!$A$1:$I$89,5,0)</f>
        <v>-1.250327841262333E-13</v>
      </c>
      <c r="FG92" s="13" t="e">
        <f t="shared" si="101"/>
        <v>#NUM!</v>
      </c>
      <c r="FH92" s="20" t="e">
        <f t="shared" si="76"/>
        <v>#NUM!</v>
      </c>
      <c r="FI92" s="59" t="e">
        <f t="shared" si="77"/>
        <v>#NUM!</v>
      </c>
      <c r="FJ92" s="59">
        <f ca="1">AVERAGE(OFFSET($FI$3,0,0,'Données projet'!$E$16+1,1))-AVERAGE(OFFSET($H$3,0,0,'Données projet'!$E$16+1,1))</f>
        <v>278.45534008146865</v>
      </c>
      <c r="FK92" s="59">
        <f t="shared" si="102"/>
        <v>272.97841038165217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64.67659087006281</v>
      </c>
      <c r="FR92" s="21">
        <f>EXP(-LN(2)/25)*FR91+(1-EXP(-LN(2)/25))/(LN(2)/25)*Calculateur!FM92*Calculateur!FO92*VLOOKUP('Données projet'!$B$16,Paramètres!$A$1:$I$89,3,0)*0.475*44/12</f>
        <v>1.6518624094450585</v>
      </c>
      <c r="FS92" s="21">
        <f>EXP(-LN(2)/2)*FS91+(1-EXP(-LN(2)/2))/(LN(2)/2)*FM92*FP92*VLOOKUP('Données projet'!$B$16,Paramètres!$A$1:$I$89,3,0)*0.475*44/12</f>
        <v>1.6948174906139319</v>
      </c>
      <c r="FT92" s="22">
        <f t="shared" si="78"/>
        <v>68.023270770121798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5.7777777777777777</v>
      </c>
      <c r="N93" s="13">
        <f>IF('Données projet'!$A$36&gt;35,N92+M93-V92,IF(A93&lt;'Données projet'!$A$36,$K$205^A93,IF(A93='Données projet'!$A$36,'Données projet'!$B$36,N92+M93-V92)))</f>
        <v>222.66666666666669</v>
      </c>
      <c r="O93" s="13">
        <f>N93*VLOOKUP('Données projet'!$B$9,Paramètres!$A$1:$I$89,3,0)*VLOOKUP('Données projet'!$B$9,Paramètres!$A$1:$I$89,5,0)</f>
        <v>201.46880000000002</v>
      </c>
      <c r="P93" s="13">
        <f t="shared" si="87"/>
        <v>50.066827914349915</v>
      </c>
      <c r="Q93" s="20">
        <f t="shared" si="54"/>
        <v>438.09121861749276</v>
      </c>
      <c r="R93" s="59">
        <f t="shared" si="55"/>
        <v>731.42455195082607</v>
      </c>
      <c r="S93" s="59">
        <f ca="1">AVERAGE(OFFSET($R$3,0,0,'Données projet'!$E$9+1,1))-AVERAGE(OFFSET($H$3,0,0,'Données projet'!$E$9+1,1))</f>
        <v>436.03161778768742</v>
      </c>
      <c r="T93" s="59">
        <f t="shared" si="88"/>
        <v>217.65884352525285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1.3748822859861829</v>
      </c>
      <c r="AA93" s="21">
        <f>EXP(-LN(2)/25)*AA92+(1-EXP(-LN(2)/25))/(LN(2)/25)*Calculateur!V93*Calculateur!X93*VLOOKUP('Données projet'!$B$9,Paramètres!$A$1:$I$89,3,0)*0.475*44/12</f>
        <v>22.407018490742054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23.781900776728236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5.7777777777777777</v>
      </c>
      <c r="AI93" s="13">
        <f>IF('Données projet'!$A$62&gt;35,AI92+AH93-AQ92,IF(A93&lt;'Données projet'!$A$62,$AF$205^A93,IF(A93='Données projet'!$A$62,'Données projet'!$B$62,AI92+AH93-AQ92)))</f>
        <v>222.66666666666669</v>
      </c>
      <c r="AJ93" s="13">
        <f>AI93*VLOOKUP('Données projet'!$B$10,Paramètres!$A$1:$I$89,3,0)*VLOOKUP('Données projet'!$B$10,Paramètres!$A$1:$I$89,5,0)</f>
        <v>225.78400000000002</v>
      </c>
      <c r="AK93" s="13">
        <f t="shared" si="89"/>
        <v>55.370104540999925</v>
      </c>
      <c r="AL93" s="20">
        <f t="shared" si="58"/>
        <v>489.67673207557482</v>
      </c>
      <c r="AM93" s="59">
        <f t="shared" si="59"/>
        <v>783.01006540890808</v>
      </c>
      <c r="AN93" s="59">
        <f ca="1">AVERAGE(OFFSET($AM$3,0,0,'Données projet'!$E$10+1,1))-AVERAGE(OFFSET($H$3,0,0,'Données projet'!$E$10+1,1))</f>
        <v>483.45320081988984</v>
      </c>
      <c r="AO93" s="59">
        <f t="shared" si="90"/>
        <v>238.92443174298893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1.5408163549845157</v>
      </c>
      <c r="AV93" s="21">
        <f>EXP(-LN(2)/25)*AV92+(1-EXP(-LN(2)/25))/(LN(2)/25)*Calculateur!AQ93*Calculateur!AS93*VLOOKUP('Données projet'!$B$10,Paramètres!$A$1:$I$89,3,0)*0.475*44/12</f>
        <v>25.111313825831612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26.652130180816126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1.7053025658242404E-13</v>
      </c>
      <c r="BE93" s="13">
        <f>BD93*VLOOKUP('Données projet'!$B$11,Paramètres!$A$1:$I$89,3,0)*VLOOKUP('Données projet'!$B$11,Paramètres!$A$1:$I$89,5,0)</f>
        <v>1.4897523215040567E-13</v>
      </c>
      <c r="BF93" s="13">
        <f t="shared" si="91"/>
        <v>2.136562777003313E-12</v>
      </c>
      <c r="BG93" s="20">
        <f t="shared" si="61"/>
        <v>3.9806453659427267E-12</v>
      </c>
      <c r="BH93" s="59">
        <f t="shared" si="62"/>
        <v>293.33333333333729</v>
      </c>
      <c r="BI93" s="59">
        <f ca="1">AVERAGE(OFFSET($BH$3,0,0,'Données projet'!$E$11+1,1))-AVERAGE(OFFSET($H$3,0,0,'Données projet'!$E$11+1,1))</f>
        <v>310.44153296396854</v>
      </c>
      <c r="BJ93" s="59">
        <f t="shared" si="92"/>
        <v>388.05195847800502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54.754215812514246</v>
      </c>
      <c r="BQ93" s="21">
        <f>EXP(-LN(2)/25)*BQ92+(1-EXP(-LN(2)/25))/(LN(2)/25)*Calculateur!BL93*Calculateur!BN93*VLOOKUP('Données projet'!$B$11,Paramètres!$A$1:$I$89,3,0)*0.475*44/12</f>
        <v>3.0466608658399825</v>
      </c>
      <c r="BR93" s="21">
        <f>EXP(-LN(2)/2)*BR92+(1-EXP(-LN(2)/2))/(LN(2)/2)*BL93*BO93*VLOOKUP('Données projet'!$B$11,Paramètres!$A$1:$I$89,3,0)*0.475*44/12</f>
        <v>4.0225204068474976E-2</v>
      </c>
      <c r="BS93" s="22">
        <f t="shared" si="63"/>
        <v>57.841101882422706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-2.2737367544323206E-13</v>
      </c>
      <c r="BZ93" s="13">
        <f>BY93*VLOOKUP('Données projet'!$B$12,Paramètres!$A$1:$I$89,3,0)*VLOOKUP('Données projet'!$B$12,Paramètres!$A$1:$I$89,5,0)</f>
        <v>-1.2710188457276673E-13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443.34220761968419</v>
      </c>
      <c r="CE93" s="59">
        <f t="shared" si="94"/>
        <v>546.58234447298014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140.45459636475721</v>
      </c>
      <c r="CL93" s="21">
        <f>EXP(-LN(2)/25)*CL92+(1-EXP(-LN(2)/25))/(LN(2)/25)*Calculateur!CG93*Calculateur!CI93*VLOOKUP('Données projet'!$B$12,Paramètres!$A$1:$I$89,3,0)*0.475*44/12</f>
        <v>26.3928441309025</v>
      </c>
      <c r="CM93" s="21">
        <f>EXP(-LN(2)/2)*CM92+(1-EXP(-LN(2)/2))/(LN(2)/2)*CG93*CJ93*VLOOKUP('Données projet'!$B$12,Paramètres!$A$1:$I$89,3,0)*0.475*44/12</f>
        <v>1.3180056817363515E-3</v>
      </c>
      <c r="CN93" s="22">
        <f t="shared" si="66"/>
        <v>166.84875850134142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>
        <f>CT93*VLOOKUP('Données projet'!$B$13,Paramètres!$A$1:$I$89,3,0)*VLOOKUP('Données projet'!$B$13,Paramètres!$A$1:$I$89,5,0)</f>
        <v>0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214.22606988805535</v>
      </c>
      <c r="CZ93" s="59">
        <f t="shared" si="96"/>
        <v>305.78163836959078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78.807983297762135</v>
      </c>
      <c r="DG93" s="21">
        <f>EXP(-LN(2)/25)*DG92+(1-EXP(-LN(2)/25))/(LN(2)/25)*Calculateur!DB93*Calculateur!DD93*VLOOKUP('Données projet'!$B$13,Paramètres!$A$1:$I$89,3,0)*0.475*44/12</f>
        <v>15.46799197495727</v>
      </c>
      <c r="DH93" s="21">
        <f>EXP(-LN(2)/2)*DH92+(1-EXP(-LN(2)/2))/(LN(2)/2)*DB93*DE93*VLOOKUP('Données projet'!$B$13,Paramètres!$A$1:$I$89,3,0)*0.475*44/12</f>
        <v>5.7603318488482196E-4</v>
      </c>
      <c r="DI93" s="22">
        <f t="shared" si="69"/>
        <v>94.276551305904292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-1.7053025658242404E-13</v>
      </c>
      <c r="DP93" s="17">
        <f>DO93*VLOOKUP('Données projet'!$B$14,Paramètres!$A$1:$I$89,3,0)*VLOOKUP('Données projet'!$B$14,Paramètres!$A$1:$I$89,5,0)</f>
        <v>-1.383341441396624E-13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304.26232113495314</v>
      </c>
      <c r="DU93" s="59">
        <f t="shared" si="98"/>
        <v>297.47246687305056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86.468746391404395</v>
      </c>
      <c r="EB93" s="21">
        <f>EXP(-LN(2)/25)*EB92+(1-EXP(-LN(2)/25))/(LN(2)/25)*Calculateur!DW93*Calculateur!DY93*VLOOKUP('Données projet'!$B$14,Paramètres!$A$1:$I$89,3,0)*0.475*44/12</f>
        <v>2.1910161066776408</v>
      </c>
      <c r="EC93" s="21">
        <f>EXP(-LN(2)/2)*EC92+(1-EXP(-LN(2)/2))/(LN(2)/2)*DW93*DZ93*VLOOKUP('Données projet'!$B$14,Paramètres!$A$1:$I$89,3,0)*0.475*44/12</f>
        <v>1.3259081043682408</v>
      </c>
      <c r="ED93" s="22">
        <f t="shared" si="72"/>
        <v>89.98567060245027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-1.7053025658242404E-13</v>
      </c>
      <c r="EK93" s="17">
        <f>EJ93*VLOOKUP('Données projet'!$B$15,Paramètres!$A$1:$I$89,3,0)*VLOOKUP('Données projet'!$B$15,Paramètres!$A$1:$I$89,5,0)</f>
        <v>-1.6493686416652052E-13</v>
      </c>
      <c r="EL93" s="13" t="e">
        <f t="shared" si="99"/>
        <v>#NUM!</v>
      </c>
      <c r="EM93" s="20" t="e">
        <f t="shared" si="73"/>
        <v>#NUM!</v>
      </c>
      <c r="EN93" s="59" t="e">
        <f t="shared" si="74"/>
        <v>#NUM!</v>
      </c>
      <c r="EO93" s="59">
        <f ca="1">AVERAGE(OFFSET($EN$3,0,0,'Données projet'!$E$15+1,1))-AVERAGE(OFFSET($H$3,0,0,'Données projet'!$E$15+1,1))</f>
        <v>355.72173590705142</v>
      </c>
      <c r="EP93" s="59">
        <f t="shared" si="100"/>
        <v>346.30980704469363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83.645021001264155</v>
      </c>
      <c r="EW93" s="21">
        <f>EXP(-LN(2)/25)*EW92+(1-EXP(-LN(2)/25))/(LN(2)/25)*Calculateur!ER93*Calculateur!ET93*VLOOKUP('Données projet'!$B$15,Paramètres!$A$1:$I$89,3,0)*0.475*44/12</f>
        <v>2.1194662338180654</v>
      </c>
      <c r="EX93" s="21">
        <f>EXP(-LN(2)/2)*EX92+(1-EXP(-LN(2)/2))/(LN(2)/2)*ER93*EU93*VLOOKUP('Données projet'!$B$15,Paramètres!$A$1:$I$89,3,0)*0.475*44/12</f>
        <v>1.5808904321313626</v>
      </c>
      <c r="EY93" s="22">
        <f t="shared" si="75"/>
        <v>87.345377667213583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-1.7053025658242404E-13</v>
      </c>
      <c r="FF93" s="17">
        <f>FE93*VLOOKUP('Données projet'!$B$16,Paramètres!$A$1:$I$89,3,0)*VLOOKUP('Données projet'!$B$16,Paramètres!$A$1:$I$89,5,0)</f>
        <v>-1.250327841262333E-13</v>
      </c>
      <c r="FG93" s="13" t="e">
        <f t="shared" si="101"/>
        <v>#NUM!</v>
      </c>
      <c r="FH93" s="20" t="e">
        <f t="shared" si="76"/>
        <v>#NUM!</v>
      </c>
      <c r="FI93" s="59" t="e">
        <f t="shared" si="77"/>
        <v>#NUM!</v>
      </c>
      <c r="FJ93" s="59">
        <f ca="1">AVERAGE(OFFSET($FI$3,0,0,'Données projet'!$E$16+1,1))-AVERAGE(OFFSET($H$3,0,0,'Données projet'!$E$16+1,1))</f>
        <v>278.45534008146865</v>
      </c>
      <c r="FK93" s="59">
        <f t="shared" si="102"/>
        <v>272.97841038165217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63.408322371926062</v>
      </c>
      <c r="FR93" s="21">
        <f>EXP(-LN(2)/25)*FR92+(1-EXP(-LN(2)/25))/(LN(2)/25)*Calculateur!FM93*Calculateur!FO93*VLOOKUP('Données projet'!$B$16,Paramètres!$A$1:$I$89,3,0)*0.475*44/12</f>
        <v>1.6066921449911147</v>
      </c>
      <c r="FS93" s="21">
        <f>EXP(-LN(2)/2)*FS92+(1-EXP(-LN(2)/2))/(LN(2)/2)*FM93*FP93*VLOOKUP('Données projet'!$B$16,Paramètres!$A$1:$I$89,3,0)*0.475*44/12</f>
        <v>1.1984169404866791</v>
      </c>
      <c r="FT93" s="22">
        <f t="shared" si="78"/>
        <v>66.213431457403857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5.7777777777777777</v>
      </c>
      <c r="N94" s="13">
        <f>IF('Données projet'!$A$36&gt;35,N93+M94-V93,IF(A94&lt;'Données projet'!$A$36,$K$205^A94,IF(A94='Données projet'!$A$36,'Données projet'!$B$36,N93+M94-V93)))</f>
        <v>228.44444444444446</v>
      </c>
      <c r="O94" s="13">
        <f>N94*VLOOKUP('Données projet'!$B$9,Paramètres!$A$1:$I$89,3,0)*VLOOKUP('Données projet'!$B$9,Paramètres!$A$1:$I$89,5,0)</f>
        <v>206.69653333333332</v>
      </c>
      <c r="P94" s="13">
        <f t="shared" si="87"/>
        <v>51.213030302078494</v>
      </c>
      <c r="Q94" s="20">
        <f t="shared" si="54"/>
        <v>449.19248999834218</v>
      </c>
      <c r="R94" s="59">
        <f t="shared" si="55"/>
        <v>742.5258233316755</v>
      </c>
      <c r="S94" s="59">
        <f ca="1">AVERAGE(OFFSET($R$3,0,0,'Données projet'!$E$9+1,1))-AVERAGE(OFFSET($H$3,0,0,'Données projet'!$E$9+1,1))</f>
        <v>436.03161778768742</v>
      </c>
      <c r="T94" s="59">
        <f t="shared" si="88"/>
        <v>217.65884352525285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1.347921682953384</v>
      </c>
      <c r="AA94" s="21">
        <f>EXP(-LN(2)/25)*AA93+(1-EXP(-LN(2)/25))/(LN(2)/25)*Calculateur!V94*Calculateur!X94*VLOOKUP('Données projet'!$B$9,Paramètres!$A$1:$I$89,3,0)*0.475*44/12</f>
        <v>21.794297391778823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23.142219074732207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5.7777777777777777</v>
      </c>
      <c r="AI94" s="13">
        <f>IF('Données projet'!$A$62&gt;35,AI93+AH94-AQ93,IF(A94&lt;'Données projet'!$A$62,$AF$205^A94,IF(A94='Données projet'!$A$62,'Données projet'!$B$62,AI93+AH94-AQ93)))</f>
        <v>228.44444444444446</v>
      </c>
      <c r="AJ94" s="13">
        <f>AI94*VLOOKUP('Données projet'!$B$10,Paramètres!$A$1:$I$89,3,0)*VLOOKUP('Données projet'!$B$10,Paramètres!$A$1:$I$89,5,0)</f>
        <v>231.64266666666671</v>
      </c>
      <c r="AK94" s="13">
        <f t="shared" si="89"/>
        <v>56.637717223438059</v>
      </c>
      <c r="AL94" s="20">
        <f t="shared" si="58"/>
        <v>502.08833527526576</v>
      </c>
      <c r="AM94" s="59">
        <f t="shared" si="59"/>
        <v>795.42166860859902</v>
      </c>
      <c r="AN94" s="59">
        <f ca="1">AVERAGE(OFFSET($AM$3,0,0,'Données projet'!$E$10+1,1))-AVERAGE(OFFSET($H$3,0,0,'Données projet'!$E$10+1,1))</f>
        <v>483.45320081988984</v>
      </c>
      <c r="AO94" s="59">
        <f t="shared" si="90"/>
        <v>238.92443174298893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1.5106018860684478</v>
      </c>
      <c r="AV94" s="21">
        <f>EXP(-LN(2)/25)*AV93+(1-EXP(-LN(2)/25))/(LN(2)/25)*Calculateur!AQ94*Calculateur!AS94*VLOOKUP('Données projet'!$B$10,Paramètres!$A$1:$I$89,3,0)*0.475*44/12</f>
        <v>24.424643628717646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25.935245514786093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1.7053025658242404E-13</v>
      </c>
      <c r="BE94" s="13">
        <f>BD94*VLOOKUP('Données projet'!$B$11,Paramètres!$A$1:$I$89,3,0)*VLOOKUP('Données projet'!$B$11,Paramètres!$A$1:$I$89,5,0)</f>
        <v>1.4897523215040567E-13</v>
      </c>
      <c r="BF94" s="13">
        <f t="shared" si="91"/>
        <v>2.136562777003313E-12</v>
      </c>
      <c r="BG94" s="20">
        <f t="shared" si="61"/>
        <v>3.9806453659427267E-12</v>
      </c>
      <c r="BH94" s="59">
        <f t="shared" si="62"/>
        <v>293.33333333333729</v>
      </c>
      <c r="BI94" s="59">
        <f ca="1">AVERAGE(OFFSET($BH$3,0,0,'Données projet'!$E$11+1,1))-AVERAGE(OFFSET($H$3,0,0,'Données projet'!$E$11+1,1))</f>
        <v>310.44153296396854</v>
      </c>
      <c r="BJ94" s="59">
        <f t="shared" si="92"/>
        <v>388.05195847800502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53.680519037204832</v>
      </c>
      <c r="BQ94" s="21">
        <f>EXP(-LN(2)/25)*BQ93+(1-EXP(-LN(2)/25))/(LN(2)/25)*Calculateur!BL94*Calculateur!BN94*VLOOKUP('Données projet'!$B$11,Paramètres!$A$1:$I$89,3,0)*0.475*44/12</f>
        <v>2.9633497642466566</v>
      </c>
      <c r="BR94" s="21">
        <f>EXP(-LN(2)/2)*BR93+(1-EXP(-LN(2)/2))/(LN(2)/2)*BL94*BO94*VLOOKUP('Données projet'!$B$11,Paramètres!$A$1:$I$89,3,0)*0.475*44/12</f>
        <v>2.8443514571431357E-2</v>
      </c>
      <c r="BS94" s="22">
        <f t="shared" si="63"/>
        <v>56.672312316022918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-2.2737367544323206E-13</v>
      </c>
      <c r="BZ94" s="13">
        <f>BY94*VLOOKUP('Données projet'!$B$12,Paramètres!$A$1:$I$89,3,0)*VLOOKUP('Données projet'!$B$12,Paramètres!$A$1:$I$89,5,0)</f>
        <v>-1.2710188457276673E-13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443.34220761968419</v>
      </c>
      <c r="CE94" s="59">
        <f t="shared" si="94"/>
        <v>546.58234447298014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137.700367398889</v>
      </c>
      <c r="CL94" s="21">
        <f>EXP(-LN(2)/25)*CL93+(1-EXP(-LN(2)/25))/(LN(2)/25)*Calculateur!CG94*Calculateur!CI94*VLOOKUP('Données projet'!$B$12,Paramètres!$A$1:$I$89,3,0)*0.475*44/12</f>
        <v>25.671130420203621</v>
      </c>
      <c r="CM94" s="21">
        <f>EXP(-LN(2)/2)*CM93+(1-EXP(-LN(2)/2))/(LN(2)/2)*CG94*CJ94*VLOOKUP('Données projet'!$B$12,Paramètres!$A$1:$I$89,3,0)*0.475*44/12</f>
        <v>9.3197075519817283E-4</v>
      </c>
      <c r="CN94" s="22">
        <f t="shared" si="66"/>
        <v>163.37242978984781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>
        <f>CT94*VLOOKUP('Données projet'!$B$13,Paramètres!$A$1:$I$89,3,0)*VLOOKUP('Données projet'!$B$13,Paramètres!$A$1:$I$89,5,0)</f>
        <v>0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214.22606988805535</v>
      </c>
      <c r="CZ94" s="59">
        <f t="shared" si="96"/>
        <v>305.78163836959078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77.262606813416497</v>
      </c>
      <c r="DG94" s="21">
        <f>EXP(-LN(2)/25)*DG93+(1-EXP(-LN(2)/25))/(LN(2)/25)*Calculateur!DB94*Calculateur!DD94*VLOOKUP('Données projet'!$B$13,Paramètres!$A$1:$I$89,3,0)*0.475*44/12</f>
        <v>15.045018920975718</v>
      </c>
      <c r="DH94" s="21">
        <f>EXP(-LN(2)/2)*DH93+(1-EXP(-LN(2)/2))/(LN(2)/2)*DB94*DE94*VLOOKUP('Données projet'!$B$13,Paramètres!$A$1:$I$89,3,0)*0.475*44/12</f>
        <v>4.0731697122054188E-4</v>
      </c>
      <c r="DI94" s="22">
        <f t="shared" si="69"/>
        <v>92.308033051363438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-1.7053025658242404E-13</v>
      </c>
      <c r="DP94" s="17">
        <f>DO94*VLOOKUP('Données projet'!$B$14,Paramètres!$A$1:$I$89,3,0)*VLOOKUP('Données projet'!$B$14,Paramètres!$A$1:$I$89,5,0)</f>
        <v>-1.383341441396624E-13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304.26232113495314</v>
      </c>
      <c r="DU94" s="59">
        <f t="shared" si="98"/>
        <v>297.47246687305056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84.773147015396532</v>
      </c>
      <c r="EB94" s="21">
        <f>EXP(-LN(2)/25)*EB93+(1-EXP(-LN(2)/25))/(LN(2)/25)*Calculateur!DW94*Calculateur!DY94*VLOOKUP('Données projet'!$B$14,Paramètres!$A$1:$I$89,3,0)*0.475*44/12</f>
        <v>2.1311026560200115</v>
      </c>
      <c r="EC94" s="21">
        <f>EXP(-LN(2)/2)*EC93+(1-EXP(-LN(2)/2))/(LN(2)/2)*DW94*DZ94*VLOOKUP('Données projet'!$B$14,Paramètres!$A$1:$I$89,3,0)*0.475*44/12</f>
        <v>0.9375586118289837</v>
      </c>
      <c r="ED94" s="22">
        <f t="shared" si="72"/>
        <v>87.841808283245527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-1.7053025658242404E-13</v>
      </c>
      <c r="EK94" s="17">
        <f>EJ94*VLOOKUP('Données projet'!$B$15,Paramètres!$A$1:$I$89,3,0)*VLOOKUP('Données projet'!$B$15,Paramètres!$A$1:$I$89,5,0)</f>
        <v>-1.6493686416652052E-13</v>
      </c>
      <c r="EL94" s="13" t="e">
        <f t="shared" si="99"/>
        <v>#NUM!</v>
      </c>
      <c r="EM94" s="20" t="e">
        <f t="shared" si="73"/>
        <v>#NUM!</v>
      </c>
      <c r="EN94" s="59" t="e">
        <f t="shared" si="74"/>
        <v>#NUM!</v>
      </c>
      <c r="EO94" s="59">
        <f ca="1">AVERAGE(OFFSET($EN$3,0,0,'Données projet'!$E$15+1,1))-AVERAGE(OFFSET($H$3,0,0,'Données projet'!$E$15+1,1))</f>
        <v>355.72173590705142</v>
      </c>
      <c r="EP94" s="59">
        <f t="shared" si="100"/>
        <v>346.30980704469363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82.004793157854522</v>
      </c>
      <c r="EW94" s="21">
        <f>EXP(-LN(2)/25)*EW93+(1-EXP(-LN(2)/25))/(LN(2)/25)*Calculateur!ER94*Calculateur!ET94*VLOOKUP('Données projet'!$B$15,Paramètres!$A$1:$I$89,3,0)*0.475*44/12</f>
        <v>2.0615093181964252</v>
      </c>
      <c r="EX94" s="21">
        <f>EXP(-LN(2)/2)*EX93+(1-EXP(-LN(2)/2))/(LN(2)/2)*ER94*EU94*VLOOKUP('Données projet'!$B$15,Paramètres!$A$1:$I$89,3,0)*0.475*44/12</f>
        <v>1.1178583448730179</v>
      </c>
      <c r="EY94" s="22">
        <f t="shared" si="75"/>
        <v>85.184160820923964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-1.7053025658242404E-13</v>
      </c>
      <c r="FF94" s="17">
        <f>FE94*VLOOKUP('Données projet'!$B$16,Paramètres!$A$1:$I$89,3,0)*VLOOKUP('Données projet'!$B$16,Paramètres!$A$1:$I$89,5,0)</f>
        <v>-1.250327841262333E-13</v>
      </c>
      <c r="FG94" s="13" t="e">
        <f t="shared" si="101"/>
        <v>#NUM!</v>
      </c>
      <c r="FH94" s="20" t="e">
        <f t="shared" si="76"/>
        <v>#NUM!</v>
      </c>
      <c r="FI94" s="59" t="e">
        <f t="shared" si="77"/>
        <v>#NUM!</v>
      </c>
      <c r="FJ94" s="59">
        <f ca="1">AVERAGE(OFFSET($FI$3,0,0,'Données projet'!$E$16+1,1))-AVERAGE(OFFSET($H$3,0,0,'Données projet'!$E$16+1,1))</f>
        <v>278.45534008146865</v>
      </c>
      <c r="FK94" s="59">
        <f t="shared" si="102"/>
        <v>272.97841038165217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62.164923845470376</v>
      </c>
      <c r="FR94" s="21">
        <f>EXP(-LN(2)/25)*FR93+(1-EXP(-LN(2)/25))/(LN(2)/25)*Calculateur!FM94*Calculateur!FO94*VLOOKUP('Données projet'!$B$16,Paramètres!$A$1:$I$89,3,0)*0.475*44/12</f>
        <v>1.5627570637940649</v>
      </c>
      <c r="FS94" s="21">
        <f>EXP(-LN(2)/2)*FS93+(1-EXP(-LN(2)/2))/(LN(2)/2)*FM94*FP94*VLOOKUP('Données projet'!$B$16,Paramètres!$A$1:$I$89,3,0)*0.475*44/12</f>
        <v>0.84740874530696597</v>
      </c>
      <c r="FT94" s="22">
        <f t="shared" si="78"/>
        <v>64.575089654571414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5.7777777777777777</v>
      </c>
      <c r="N95" s="13">
        <f>IF('Données projet'!$A$36&gt;35,N94+M95-V94,IF(A95&lt;'Données projet'!$A$36,$K$205^A95,IF(A95='Données projet'!$A$36,'Données projet'!$B$36,N94+M95-V94)))</f>
        <v>234.22222222222223</v>
      </c>
      <c r="O95" s="13">
        <f>N95*VLOOKUP('Données projet'!$B$9,Paramètres!$A$1:$I$89,3,0)*VLOOKUP('Données projet'!$B$9,Paramètres!$A$1:$I$89,5,0)</f>
        <v>211.92426666666668</v>
      </c>
      <c r="P95" s="13">
        <f t="shared" si="87"/>
        <v>52.355862888154775</v>
      </c>
      <c r="Q95" s="20">
        <f t="shared" si="54"/>
        <v>460.2878923079806</v>
      </c>
      <c r="R95" s="59">
        <f t="shared" si="55"/>
        <v>753.62122564131391</v>
      </c>
      <c r="S95" s="59">
        <f ca="1">AVERAGE(OFFSET($R$3,0,0,'Données projet'!$E$9+1,1))-AVERAGE(OFFSET($H$3,0,0,'Données projet'!$E$9+1,1))</f>
        <v>436.03161778768742</v>
      </c>
      <c r="T95" s="59">
        <f t="shared" si="88"/>
        <v>217.65884352525285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1.321489760901714</v>
      </c>
      <c r="AA95" s="21">
        <f>EXP(-LN(2)/25)*AA94+(1-EXP(-LN(2)/25))/(LN(2)/25)*Calculateur!V95*Calculateur!X95*VLOOKUP('Données projet'!$B$9,Paramètres!$A$1:$I$89,3,0)*0.475*44/12</f>
        <v>21.198331183488342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22.519820944390055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5.7777777777777777</v>
      </c>
      <c r="AI95" s="13">
        <f>IF('Données projet'!$A$62&gt;35,AI94+AH95-AQ94,IF(A95&lt;'Données projet'!$A$62,$AF$205^A95,IF(A95='Données projet'!$A$62,'Données projet'!$B$62,AI94+AH95-AQ94)))</f>
        <v>234.22222222222223</v>
      </c>
      <c r="AJ95" s="13">
        <f>AI95*VLOOKUP('Données projet'!$B$10,Paramètres!$A$1:$I$89,3,0)*VLOOKUP('Données projet'!$B$10,Paramètres!$A$1:$I$89,5,0)</f>
        <v>237.50133333333332</v>
      </c>
      <c r="AK95" s="13">
        <f t="shared" si="89"/>
        <v>57.901603161491785</v>
      </c>
      <c r="AL95" s="20">
        <f t="shared" si="58"/>
        <v>514.49344772848701</v>
      </c>
      <c r="AM95" s="59">
        <f t="shared" si="59"/>
        <v>807.82678106182038</v>
      </c>
      <c r="AN95" s="59">
        <f ca="1">AVERAGE(OFFSET($AM$3,0,0,'Données projet'!$E$10+1,1))-AVERAGE(OFFSET($H$3,0,0,'Données projet'!$E$10+1,1))</f>
        <v>483.45320081988984</v>
      </c>
      <c r="AO95" s="59">
        <f t="shared" si="90"/>
        <v>238.92443174298893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1.4809799044588177</v>
      </c>
      <c r="AV95" s="21">
        <f>EXP(-LN(2)/25)*AV94+(1-EXP(-LN(2)/25))/(LN(2)/25)*Calculateur!AQ95*Calculateur!AS95*VLOOKUP('Données projet'!$B$10,Paramètres!$A$1:$I$89,3,0)*0.475*44/12</f>
        <v>23.756750464254178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25.237730368712995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1.7053025658242404E-13</v>
      </c>
      <c r="BE95" s="13">
        <f>BD95*VLOOKUP('Données projet'!$B$11,Paramètres!$A$1:$I$89,3,0)*VLOOKUP('Données projet'!$B$11,Paramètres!$A$1:$I$89,5,0)</f>
        <v>1.4897523215040567E-13</v>
      </c>
      <c r="BF95" s="13">
        <f t="shared" si="91"/>
        <v>2.136562777003313E-12</v>
      </c>
      <c r="BG95" s="20">
        <f t="shared" si="61"/>
        <v>3.9806453659427267E-12</v>
      </c>
      <c r="BH95" s="59">
        <f t="shared" si="62"/>
        <v>293.33333333333729</v>
      </c>
      <c r="BI95" s="59">
        <f ca="1">AVERAGE(OFFSET($BH$3,0,0,'Données projet'!$E$11+1,1))-AVERAGE(OFFSET($H$3,0,0,'Données projet'!$E$11+1,1))</f>
        <v>310.44153296396854</v>
      </c>
      <c r="BJ95" s="59">
        <f t="shared" si="92"/>
        <v>388.05195847800502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52.627876800768867</v>
      </c>
      <c r="BQ95" s="21">
        <f>EXP(-LN(2)/25)*BQ94+(1-EXP(-LN(2)/25))/(LN(2)/25)*Calculateur!BL95*Calculateur!BN95*VLOOKUP('Données projet'!$B$11,Paramètres!$A$1:$I$89,3,0)*0.475*44/12</f>
        <v>2.8823168091075404</v>
      </c>
      <c r="BR95" s="21">
        <f>EXP(-LN(2)/2)*BR94+(1-EXP(-LN(2)/2))/(LN(2)/2)*BL95*BO95*VLOOKUP('Données projet'!$B$11,Paramètres!$A$1:$I$89,3,0)*0.475*44/12</f>
        <v>2.0112602034237488E-2</v>
      </c>
      <c r="BS95" s="22">
        <f t="shared" si="63"/>
        <v>55.530306211910649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-2.2737367544323206E-13</v>
      </c>
      <c r="BZ95" s="13">
        <f>BY95*VLOOKUP('Données projet'!$B$12,Paramètres!$A$1:$I$89,3,0)*VLOOKUP('Données projet'!$B$12,Paramètres!$A$1:$I$89,5,0)</f>
        <v>-1.2710188457276673E-13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443.34220761968419</v>
      </c>
      <c r="CE95" s="59">
        <f t="shared" si="94"/>
        <v>546.58234447298014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135.00014718312769</v>
      </c>
      <c r="CL95" s="21">
        <f>EXP(-LN(2)/25)*CL94+(1-EXP(-LN(2)/25))/(LN(2)/25)*Calculateur!CG95*Calculateur!CI95*VLOOKUP('Données projet'!$B$12,Paramètres!$A$1:$I$89,3,0)*0.475*44/12</f>
        <v>24.969152008877078</v>
      </c>
      <c r="CM95" s="21">
        <f>EXP(-LN(2)/2)*CM94+(1-EXP(-LN(2)/2))/(LN(2)/2)*CG95*CJ95*VLOOKUP('Données projet'!$B$12,Paramètres!$A$1:$I$89,3,0)*0.475*44/12</f>
        <v>6.5900284086817587E-4</v>
      </c>
      <c r="CN95" s="22">
        <f t="shared" si="66"/>
        <v>159.96995819484565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>
        <f>CT95*VLOOKUP('Données projet'!$B$13,Paramètres!$A$1:$I$89,3,0)*VLOOKUP('Données projet'!$B$13,Paramètres!$A$1:$I$89,5,0)</f>
        <v>0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214.22606988805535</v>
      </c>
      <c r="CZ95" s="59">
        <f t="shared" si="96"/>
        <v>305.78163836959078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75.747534219342299</v>
      </c>
      <c r="DG95" s="21">
        <f>EXP(-LN(2)/25)*DG94+(1-EXP(-LN(2)/25))/(LN(2)/25)*Calculateur!DB95*Calculateur!DD95*VLOOKUP('Données projet'!$B$13,Paramètres!$A$1:$I$89,3,0)*0.475*44/12</f>
        <v>14.633612087398477</v>
      </c>
      <c r="DH95" s="21">
        <f>EXP(-LN(2)/2)*DH94+(1-EXP(-LN(2)/2))/(LN(2)/2)*DB95*DE95*VLOOKUP('Données projet'!$B$13,Paramètres!$A$1:$I$89,3,0)*0.475*44/12</f>
        <v>2.8801659244241098E-4</v>
      </c>
      <c r="DI95" s="22">
        <f t="shared" si="69"/>
        <v>90.381434323333224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-1.7053025658242404E-13</v>
      </c>
      <c r="DP95" s="17">
        <f>DO95*VLOOKUP('Données projet'!$B$14,Paramètres!$A$1:$I$89,3,0)*VLOOKUP('Données projet'!$B$14,Paramètres!$A$1:$I$89,5,0)</f>
        <v>-1.383341441396624E-13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304.26232113495314</v>
      </c>
      <c r="DU95" s="59">
        <f t="shared" si="98"/>
        <v>297.47246687305056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83.110797308938686</v>
      </c>
      <c r="EB95" s="21">
        <f>EXP(-LN(2)/25)*EB94+(1-EXP(-LN(2)/25))/(LN(2)/25)*Calculateur!DW95*Calculateur!DY95*VLOOKUP('Données projet'!$B$14,Paramètres!$A$1:$I$89,3,0)*0.475*44/12</f>
        <v>2.0728275418213262</v>
      </c>
      <c r="EC95" s="21">
        <f>EXP(-LN(2)/2)*EC94+(1-EXP(-LN(2)/2))/(LN(2)/2)*DW95*DZ95*VLOOKUP('Données projet'!$B$14,Paramètres!$A$1:$I$89,3,0)*0.475*44/12</f>
        <v>0.66295405218412051</v>
      </c>
      <c r="ED95" s="22">
        <f t="shared" si="72"/>
        <v>85.846578902944131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-1.7053025658242404E-13</v>
      </c>
      <c r="EK95" s="17">
        <f>EJ95*VLOOKUP('Données projet'!$B$15,Paramètres!$A$1:$I$89,3,0)*VLOOKUP('Données projet'!$B$15,Paramètres!$A$1:$I$89,5,0)</f>
        <v>-1.6493686416652052E-13</v>
      </c>
      <c r="EL95" s="13" t="e">
        <f t="shared" si="99"/>
        <v>#NUM!</v>
      </c>
      <c r="EM95" s="20" t="e">
        <f t="shared" si="73"/>
        <v>#NUM!</v>
      </c>
      <c r="EN95" s="59" t="e">
        <f t="shared" si="74"/>
        <v>#NUM!</v>
      </c>
      <c r="EO95" s="59">
        <f ca="1">AVERAGE(OFFSET($EN$3,0,0,'Données projet'!$E$15+1,1))-AVERAGE(OFFSET($H$3,0,0,'Données projet'!$E$15+1,1))</f>
        <v>355.72173590705142</v>
      </c>
      <c r="EP95" s="59">
        <f t="shared" si="100"/>
        <v>346.30980704469363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80.396729182013956</v>
      </c>
      <c r="EW95" s="21">
        <f>EXP(-LN(2)/25)*EW94+(1-EXP(-LN(2)/25))/(LN(2)/25)*Calculateur!ER95*Calculateur!ET95*VLOOKUP('Données projet'!$B$15,Paramètres!$A$1:$I$89,3,0)*0.475*44/12</f>
        <v>2.0051372374802807</v>
      </c>
      <c r="EX95" s="21">
        <f>EXP(-LN(2)/2)*EX94+(1-EXP(-LN(2)/2))/(LN(2)/2)*ER95*EU95*VLOOKUP('Données projet'!$B$15,Paramètres!$A$1:$I$89,3,0)*0.475*44/12</f>
        <v>0.7904452160656813</v>
      </c>
      <c r="EY95" s="22">
        <f t="shared" si="75"/>
        <v>83.192311635559918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-1.7053025658242404E-13</v>
      </c>
      <c r="FF95" s="17">
        <f>FE95*VLOOKUP('Données projet'!$B$16,Paramètres!$A$1:$I$89,3,0)*VLOOKUP('Données projet'!$B$16,Paramètres!$A$1:$I$89,5,0)</f>
        <v>-1.250327841262333E-13</v>
      </c>
      <c r="FG95" s="13" t="e">
        <f t="shared" si="101"/>
        <v>#NUM!</v>
      </c>
      <c r="FH95" s="20" t="e">
        <f t="shared" si="76"/>
        <v>#NUM!</v>
      </c>
      <c r="FI95" s="59" t="e">
        <f t="shared" si="77"/>
        <v>#NUM!</v>
      </c>
      <c r="FJ95" s="59">
        <f ca="1">AVERAGE(OFFSET($FI$3,0,0,'Données projet'!$E$16+1,1))-AVERAGE(OFFSET($H$3,0,0,'Données projet'!$E$16+1,1))</f>
        <v>278.45534008146865</v>
      </c>
      <c r="FK95" s="59">
        <f t="shared" si="102"/>
        <v>272.97841038165217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60.945907605720272</v>
      </c>
      <c r="FR95" s="21">
        <f>EXP(-LN(2)/25)*FR94+(1-EXP(-LN(2)/25))/(LN(2)/25)*Calculateur!FM95*Calculateur!FO95*VLOOKUP('Données projet'!$B$16,Paramètres!$A$1:$I$89,3,0)*0.475*44/12</f>
        <v>1.5200233897027939</v>
      </c>
      <c r="FS95" s="21">
        <f>EXP(-LN(2)/2)*FS94+(1-EXP(-LN(2)/2))/(LN(2)/2)*FM95*FP95*VLOOKUP('Données projet'!$B$16,Paramètres!$A$1:$I$89,3,0)*0.475*44/12</f>
        <v>0.59920847024333956</v>
      </c>
      <c r="FT95" s="22">
        <f t="shared" si="78"/>
        <v>63.065139465666405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>
        <f>VLOOKUP(A96,'Données projet'!$A$35:$I$55,2,0)</f>
        <v>240</v>
      </c>
      <c r="L96" s="12">
        <f>VLOOKUP(A96,'Données projet'!$A$35:$I$55,9,0)</f>
        <v>5.7777777777777777</v>
      </c>
      <c r="M96" s="12">
        <f t="array" ref="M96">INDEX(L:L,MIN(IF(ISNUMBER(L96:L292),ROW(L96:L292),"")))</f>
        <v>5.7777777777777777</v>
      </c>
      <c r="N96" s="13">
        <f>IF('Données projet'!$A$36&gt;35,N95+M96-V95,IF(A96&lt;'Données projet'!$A$36,$K$205^A96,IF(A96='Données projet'!$A$36,'Données projet'!$B$36,N95+M96-V95)))</f>
        <v>240</v>
      </c>
      <c r="O96" s="13">
        <f>N96*VLOOKUP('Données projet'!$B$9,Paramètres!$A$1:$I$89,3,0)*VLOOKUP('Données projet'!$B$9,Paramètres!$A$1:$I$89,5,0)</f>
        <v>217.15199999999999</v>
      </c>
      <c r="P96" s="13">
        <f t="shared" si="87"/>
        <v>53.495418360394225</v>
      </c>
      <c r="Q96" s="20">
        <f t="shared" si="54"/>
        <v>471.37758697768658</v>
      </c>
      <c r="R96" s="59">
        <f t="shared" si="55"/>
        <v>764.71092031101989</v>
      </c>
      <c r="S96" s="59">
        <f ca="1">AVERAGE(OFFSET($R$3,0,0,'Données projet'!$E$9+1,1))-AVERAGE(OFFSET($H$3,0,0,'Données projet'!$E$9+1,1))</f>
        <v>436.03161778768742</v>
      </c>
      <c r="T96" s="59">
        <f t="shared" si="88"/>
        <v>217.65884352525285</v>
      </c>
      <c r="U96" s="15">
        <f>IF(ISNA(VLOOKUP(A96,'Données projet'!$A$35:$I$55,3,0)),0,VLOOKUP(A96,'Données projet'!$A$35:$I$55,3,0))</f>
        <v>7</v>
      </c>
      <c r="V96" s="15">
        <f>IF(ISNA(VLOOKUP(A96,'Données projet'!$A$35:$I$55,4,0)),0,VLOOKUP(A96,'Données projet'!$A$35:$I$55,4,0))</f>
        <v>35</v>
      </c>
      <c r="W96" s="16">
        <f>IF(ISNA(VLOOKUP(A96,'Données projet'!$A$35:$I$55,5,0)),0%,VLOOKUP(A96,'Données projet'!$A$35:$I$55,5,0)*VLOOKUP('Données projet'!$B$9,Paramètres!$A$1:$I$89,7,0))</f>
        <v>0.129</v>
      </c>
      <c r="X96" s="16">
        <f>IF(ISNA(VLOOKUP(A96,'Données projet'!$A$35:$I$55,6,0)),0%,VLOOKUP(A96,'Données projet'!$A$35:$I$55,6,0)*VLOOKUP('Données projet'!$B$9,Paramètres!$A$1:$I$89,7,0))</f>
        <v>0.15049999999999999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5.8116127940169777</v>
      </c>
      <c r="AA96" s="21">
        <f>EXP(-LN(2)/25)*AA95+(1-EXP(-LN(2)/25))/(LN(2)/25)*Calculateur!V96*Calculateur!X96*VLOOKUP('Données projet'!$B$9,Paramètres!$A$1:$I$89,3,0)*0.475*44/12</f>
        <v>25.866626200849083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31.67823899486606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>
        <f>VLOOKUP(A96,'Données projet'!$A$61:$I$81,2,0)</f>
        <v>240</v>
      </c>
      <c r="AG96" s="12">
        <f>VLOOKUP(A96,'Données projet'!$A$61:$I$81,9,0)</f>
        <v>5.7777777777777777</v>
      </c>
      <c r="AH96" s="12">
        <f t="array" ref="AH96">INDEX(AG:AG,MIN(IF(ISNUMBER(AG96:AG292),ROW(AG96:AG292),"")))</f>
        <v>5.7777777777777777</v>
      </c>
      <c r="AI96" s="13">
        <f>IF('Données projet'!$A$62&gt;35,AI95+AH96-AQ95,IF(A96&lt;'Données projet'!$A$62,$AF$205^A96,IF(A96='Données projet'!$A$62,'Données projet'!$B$62,AI95+AH96-AQ95)))</f>
        <v>240</v>
      </c>
      <c r="AJ96" s="13">
        <f>AI96*VLOOKUP('Données projet'!$B$10,Paramètres!$A$1:$I$89,3,0)*VLOOKUP('Données projet'!$B$10,Paramètres!$A$1:$I$89,5,0)</f>
        <v>243.36</v>
      </c>
      <c r="AK96" s="13">
        <f t="shared" si="89"/>
        <v>59.161864860837127</v>
      </c>
      <c r="AL96" s="20">
        <f t="shared" si="58"/>
        <v>526.89224796595806</v>
      </c>
      <c r="AM96" s="59">
        <f t="shared" si="59"/>
        <v>820.22558129929143</v>
      </c>
      <c r="AN96" s="59">
        <f ca="1">AVERAGE(OFFSET($AM$3,0,0,'Données projet'!$E$10+1,1))-AVERAGE(OFFSET($H$3,0,0,'Données projet'!$E$10+1,1))</f>
        <v>483.45320081988984</v>
      </c>
      <c r="AO96" s="59">
        <f t="shared" si="90"/>
        <v>238.92443174298893</v>
      </c>
      <c r="AP96" s="15">
        <f>IF(ISNA(VLOOKUP(A96,'Données projet'!$A$61:$I$81,3,0)),0,VLOOKUP(A96,'Données projet'!$A$61:$I$81,3,0))</f>
        <v>7</v>
      </c>
      <c r="AQ96" s="15">
        <f>IF(ISNA(VLOOKUP(A96,'Données projet'!$A$61:$I$81,4,0)),0,VLOOKUP(A96,'Données projet'!$A$61:$I$81,4,0))</f>
        <v>35</v>
      </c>
      <c r="AR96" s="16">
        <f>IF(ISNA(VLOOKUP(A96,'Données projet'!$A$61:$I$81,5,0)),0%,VLOOKUP(A96,'Données projet'!$A$61:$I$81,5,0)*VLOOKUP('Données projet'!$B$10,Paramètres!$A$1:$I$89,7,0))</f>
        <v>0.129</v>
      </c>
      <c r="AS96" s="16">
        <f>IF(ISNA(VLOOKUP(A96,'Données projet'!$A$61:$I$81,6,0)),0%,VLOOKUP(A96,'Données projet'!$A$61:$I$81,6,0)*VLOOKUP('Données projet'!$B$10,Paramètres!$A$1:$I$89,7,0))</f>
        <v>0.15049999999999999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6.5130143381224759</v>
      </c>
      <c r="AV96" s="21">
        <f>EXP(-LN(2)/25)*AV95+(1-EXP(-LN(2)/25))/(LN(2)/25)*Calculateur!AQ96*Calculateur!AS96*VLOOKUP('Données projet'!$B$10,Paramètres!$A$1:$I$89,3,0)*0.475*44/12</f>
        <v>28.988460397503282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35.501474735625756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1.7053025658242404E-13</v>
      </c>
      <c r="BE96" s="13">
        <f>BD96*VLOOKUP('Données projet'!$B$11,Paramètres!$A$1:$I$89,3,0)*VLOOKUP('Données projet'!$B$11,Paramètres!$A$1:$I$89,5,0)</f>
        <v>1.4897523215040567E-13</v>
      </c>
      <c r="BF96" s="13">
        <f t="shared" si="91"/>
        <v>2.136562777003313E-12</v>
      </c>
      <c r="BG96" s="20">
        <f t="shared" si="61"/>
        <v>3.9806453659427267E-12</v>
      </c>
      <c r="BH96" s="59">
        <f t="shared" si="62"/>
        <v>293.33333333333729</v>
      </c>
      <c r="BI96" s="59">
        <f ca="1">AVERAGE(OFFSET($BH$3,0,0,'Données projet'!$E$11+1,1))-AVERAGE(OFFSET($H$3,0,0,'Données projet'!$E$11+1,1))</f>
        <v>310.44153296396854</v>
      </c>
      <c r="BJ96" s="59">
        <f t="shared" si="92"/>
        <v>388.05195847800502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51.595876236541045</v>
      </c>
      <c r="BQ96" s="21">
        <f>EXP(-LN(2)/25)*BQ95+(1-EXP(-LN(2)/25))/(LN(2)/25)*Calculateur!BL96*Calculateur!BN96*VLOOKUP('Données projet'!$B$11,Paramètres!$A$1:$I$89,3,0)*0.475*44/12</f>
        <v>2.8034997043880412</v>
      </c>
      <c r="BR96" s="21">
        <f>EXP(-LN(2)/2)*BR95+(1-EXP(-LN(2)/2))/(LN(2)/2)*BL96*BO96*VLOOKUP('Données projet'!$B$11,Paramètres!$A$1:$I$89,3,0)*0.475*44/12</f>
        <v>1.4221757285715678E-2</v>
      </c>
      <c r="BS96" s="22">
        <f t="shared" si="63"/>
        <v>54.413597698214801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-2.2737367544323206E-13</v>
      </c>
      <c r="BZ96" s="13">
        <f>BY96*VLOOKUP('Données projet'!$B$12,Paramètres!$A$1:$I$89,3,0)*VLOOKUP('Données projet'!$B$12,Paramètres!$A$1:$I$89,5,0)</f>
        <v>-1.2710188457276673E-13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443.34220761968419</v>
      </c>
      <c r="CE96" s="59">
        <f t="shared" si="94"/>
        <v>546.58234447298014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132.35287663882576</v>
      </c>
      <c r="CL96" s="21">
        <f>EXP(-LN(2)/25)*CL95+(1-EXP(-LN(2)/25))/(LN(2)/25)*Calculateur!CG96*Calculateur!CI96*VLOOKUP('Données projet'!$B$12,Paramètres!$A$1:$I$89,3,0)*0.475*44/12</f>
        <v>24.286369234123697</v>
      </c>
      <c r="CM96" s="21">
        <f>EXP(-LN(2)/2)*CM95+(1-EXP(-LN(2)/2))/(LN(2)/2)*CG96*CJ96*VLOOKUP('Données projet'!$B$12,Paramètres!$A$1:$I$89,3,0)*0.475*44/12</f>
        <v>4.6598537759908647E-4</v>
      </c>
      <c r="CN96" s="22">
        <f t="shared" si="66"/>
        <v>156.63971185832705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>
        <f>CT96*VLOOKUP('Données projet'!$B$13,Paramètres!$A$1:$I$89,3,0)*VLOOKUP('Données projet'!$B$13,Paramètres!$A$1:$I$89,5,0)</f>
        <v>0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214.22606988805535</v>
      </c>
      <c r="CZ96" s="59">
        <f t="shared" si="96"/>
        <v>305.78163836959078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74.262171274734854</v>
      </c>
      <c r="DG96" s="21">
        <f>EXP(-LN(2)/25)*DG95+(1-EXP(-LN(2)/25))/(LN(2)/25)*Calculateur!DB96*Calculateur!DD96*VLOOKUP('Données projet'!$B$13,Paramètres!$A$1:$I$89,3,0)*0.475*44/12</f>
        <v>14.233455195320351</v>
      </c>
      <c r="DH96" s="21">
        <f>EXP(-LN(2)/2)*DH95+(1-EXP(-LN(2)/2))/(LN(2)/2)*DB96*DE96*VLOOKUP('Données projet'!$B$13,Paramètres!$A$1:$I$89,3,0)*0.475*44/12</f>
        <v>2.0365848561027094E-4</v>
      </c>
      <c r="DI96" s="22">
        <f t="shared" si="69"/>
        <v>88.495830128540817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-1.7053025658242404E-13</v>
      </c>
      <c r="DP96" s="17">
        <f>DO96*VLOOKUP('Données projet'!$B$14,Paramètres!$A$1:$I$89,3,0)*VLOOKUP('Données projet'!$B$14,Paramètres!$A$1:$I$89,5,0)</f>
        <v>-1.383341441396624E-13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304.26232113495314</v>
      </c>
      <c r="DU96" s="59">
        <f t="shared" si="98"/>
        <v>297.47246687305056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81.481045266291275</v>
      </c>
      <c r="EB96" s="21">
        <f>EXP(-LN(2)/25)*EB95+(1-EXP(-LN(2)/25))/(LN(2)/25)*Calculateur!DW96*Calculateur!DY96*VLOOKUP('Données projet'!$B$14,Paramètres!$A$1:$I$89,3,0)*0.475*44/12</f>
        <v>2.0161459636849592</v>
      </c>
      <c r="EC96" s="21">
        <f>EXP(-LN(2)/2)*EC95+(1-EXP(-LN(2)/2))/(LN(2)/2)*DW96*DZ96*VLOOKUP('Données projet'!$B$14,Paramètres!$A$1:$I$89,3,0)*0.475*44/12</f>
        <v>0.46877930591449196</v>
      </c>
      <c r="ED96" s="22">
        <f t="shared" si="72"/>
        <v>83.965970535890733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-1.7053025658242404E-13</v>
      </c>
      <c r="EK96" s="17">
        <f>EJ96*VLOOKUP('Données projet'!$B$15,Paramètres!$A$1:$I$89,3,0)*VLOOKUP('Données projet'!$B$15,Paramètres!$A$1:$I$89,5,0)</f>
        <v>-1.6493686416652052E-13</v>
      </c>
      <c r="EL96" s="13" t="e">
        <f t="shared" si="99"/>
        <v>#NUM!</v>
      </c>
      <c r="EM96" s="20" t="e">
        <f t="shared" si="73"/>
        <v>#NUM!</v>
      </c>
      <c r="EN96" s="59" t="e">
        <f t="shared" si="74"/>
        <v>#NUM!</v>
      </c>
      <c r="EO96" s="59">
        <f ca="1">AVERAGE(OFFSET($EN$3,0,0,'Données projet'!$E$15+1,1))-AVERAGE(OFFSET($H$3,0,0,'Données projet'!$E$15+1,1))</f>
        <v>355.72173590705142</v>
      </c>
      <c r="EP96" s="59">
        <f t="shared" si="100"/>
        <v>346.30980704469363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78.820198359917441</v>
      </c>
      <c r="EW96" s="21">
        <f>EXP(-LN(2)/25)*EW95+(1-EXP(-LN(2)/25))/(LN(2)/25)*Calculateur!ER96*Calculateur!ET96*VLOOKUP('Données projet'!$B$15,Paramètres!$A$1:$I$89,3,0)*0.475*44/12</f>
        <v>1.9503066542757979</v>
      </c>
      <c r="EX96" s="21">
        <f>EXP(-LN(2)/2)*EX95+(1-EXP(-LN(2)/2))/(LN(2)/2)*ER96*EU96*VLOOKUP('Données projet'!$B$15,Paramètres!$A$1:$I$89,3,0)*0.475*44/12</f>
        <v>0.55892917243650897</v>
      </c>
      <c r="EY96" s="22">
        <f t="shared" si="75"/>
        <v>81.32943418662974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-1.7053025658242404E-13</v>
      </c>
      <c r="FF96" s="17">
        <f>FE96*VLOOKUP('Données projet'!$B$16,Paramètres!$A$1:$I$89,3,0)*VLOOKUP('Données projet'!$B$16,Paramètres!$A$1:$I$89,5,0)</f>
        <v>-1.250327841262333E-13</v>
      </c>
      <c r="FG96" s="13" t="e">
        <f t="shared" si="101"/>
        <v>#NUM!</v>
      </c>
      <c r="FH96" s="20" t="e">
        <f t="shared" si="76"/>
        <v>#NUM!</v>
      </c>
      <c r="FI96" s="59" t="e">
        <f t="shared" si="77"/>
        <v>#NUM!</v>
      </c>
      <c r="FJ96" s="59">
        <f ca="1">AVERAGE(OFFSET($FI$3,0,0,'Données projet'!$E$16+1,1))-AVERAGE(OFFSET($H$3,0,0,'Données projet'!$E$16+1,1))</f>
        <v>278.45534008146865</v>
      </c>
      <c r="FK96" s="59">
        <f t="shared" si="102"/>
        <v>272.97841038165217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59.750795530905172</v>
      </c>
      <c r="FR96" s="21">
        <f>EXP(-LN(2)/25)*FR95+(1-EXP(-LN(2)/25))/(LN(2)/25)*Calculateur!FM96*Calculateur!FO96*VLOOKUP('Données projet'!$B$16,Paramètres!$A$1:$I$89,3,0)*0.475*44/12</f>
        <v>1.478458270176815</v>
      </c>
      <c r="FS96" s="21">
        <f>EXP(-LN(2)/2)*FS95+(1-EXP(-LN(2)/2))/(LN(2)/2)*FM96*FP96*VLOOKUP('Données projet'!$B$16,Paramètres!$A$1:$I$89,3,0)*0.475*44/12</f>
        <v>0.42370437265348299</v>
      </c>
      <c r="FT96" s="22">
        <f t="shared" si="78"/>
        <v>61.65295817373547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5.7</v>
      </c>
      <c r="N97" s="13">
        <f>IF('Données projet'!$A$36&gt;35,N96+M97-V96,IF(A97&lt;'Données projet'!$A$36,$K$205^A97,IF(A97='Données projet'!$A$36,'Données projet'!$B$36,N96+M97-V96)))</f>
        <v>210.7</v>
      </c>
      <c r="O97" s="13">
        <f>N97*VLOOKUP('Données projet'!$B$9,Paramètres!$A$1:$I$89,3,0)*VLOOKUP('Données projet'!$B$9,Paramètres!$A$1:$I$89,5,0)</f>
        <v>190.64135999999999</v>
      </c>
      <c r="P97" s="13">
        <f t="shared" si="87"/>
        <v>47.681720619015643</v>
      </c>
      <c r="Q97" s="20">
        <f t="shared" si="54"/>
        <v>415.07936541145222</v>
      </c>
      <c r="R97" s="59">
        <f t="shared" si="55"/>
        <v>708.41269874478553</v>
      </c>
      <c r="S97" s="59">
        <f ca="1">AVERAGE(OFFSET($R$3,0,0,'Données projet'!$E$9+1,1))-AVERAGE(OFFSET($H$3,0,0,'Données projet'!$E$9+1,1))</f>
        <v>436.03161778768742</v>
      </c>
      <c r="T97" s="59">
        <f t="shared" si="88"/>
        <v>217.65884352525285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5.6976506118600954</v>
      </c>
      <c r="AA97" s="21">
        <f>EXP(-LN(2)/25)*AA96+(1-EXP(-LN(2)/25))/(LN(2)/25)*Calculateur!V97*Calculateur!X97*VLOOKUP('Données projet'!$B$9,Paramètres!$A$1:$I$89,3,0)*0.475*44/12</f>
        <v>25.159301947120113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30.856952558980208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5.7</v>
      </c>
      <c r="AI97" s="13">
        <f>IF('Données projet'!$A$62&gt;35,AI96+AH97-AQ96,IF(A97&lt;'Données projet'!$A$62,$AF$205^A97,IF(A97='Données projet'!$A$62,'Données projet'!$B$62,AI96+AH97-AQ96)))</f>
        <v>210.7</v>
      </c>
      <c r="AJ97" s="13">
        <f>AI97*VLOOKUP('Données projet'!$B$10,Paramètres!$A$1:$I$89,3,0)*VLOOKUP('Données projet'!$B$10,Paramètres!$A$1:$I$89,5,0)</f>
        <v>213.64979999999997</v>
      </c>
      <c r="AK97" s="13">
        <f t="shared" si="89"/>
        <v>52.732357238333108</v>
      </c>
      <c r="AL97" s="20">
        <f t="shared" si="58"/>
        <v>463.94892385676343</v>
      </c>
      <c r="AM97" s="59">
        <f t="shared" si="59"/>
        <v>757.28225719009674</v>
      </c>
      <c r="AN97" s="59">
        <f ca="1">AVERAGE(OFFSET($AM$3,0,0,'Données projet'!$E$10+1,1))-AVERAGE(OFFSET($H$3,0,0,'Données projet'!$E$10+1,1))</f>
        <v>483.45320081988984</v>
      </c>
      <c r="AO97" s="59">
        <f t="shared" si="90"/>
        <v>238.92443174298893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6.3852980994983843</v>
      </c>
      <c r="AV97" s="21">
        <f>EXP(-LN(2)/25)*AV96+(1-EXP(-LN(2)/25))/(LN(2)/25)*Calculateur!AQ97*Calculateur!AS97*VLOOKUP('Données projet'!$B$10,Paramètres!$A$1:$I$89,3,0)*0.475*44/12</f>
        <v>28.195769423496674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34.581067522995056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1.7053025658242404E-13</v>
      </c>
      <c r="BE97" s="13">
        <f>BD97*VLOOKUP('Données projet'!$B$11,Paramètres!$A$1:$I$89,3,0)*VLOOKUP('Données projet'!$B$11,Paramètres!$A$1:$I$89,5,0)</f>
        <v>1.4897523215040567E-13</v>
      </c>
      <c r="BF97" s="13">
        <f t="shared" si="91"/>
        <v>2.136562777003313E-12</v>
      </c>
      <c r="BG97" s="20">
        <f t="shared" si="61"/>
        <v>3.9806453659427267E-12</v>
      </c>
      <c r="BH97" s="59">
        <f t="shared" si="62"/>
        <v>293.33333333333729</v>
      </c>
      <c r="BI97" s="59">
        <f ca="1">AVERAGE(OFFSET($BH$3,0,0,'Données projet'!$E$11+1,1))-AVERAGE(OFFSET($H$3,0,0,'Données projet'!$E$11+1,1))</f>
        <v>310.44153296396854</v>
      </c>
      <c r="BJ97" s="59">
        <f t="shared" si="92"/>
        <v>388.05195847800502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50.584112573919541</v>
      </c>
      <c r="BQ97" s="21">
        <f>EXP(-LN(2)/25)*BQ96+(1-EXP(-LN(2)/25))/(LN(2)/25)*Calculateur!BL97*Calculateur!BN97*VLOOKUP('Données projet'!$B$11,Paramètres!$A$1:$I$89,3,0)*0.475*44/12</f>
        <v>2.7268378575419083</v>
      </c>
      <c r="BR97" s="21">
        <f>EXP(-LN(2)/2)*BR96+(1-EXP(-LN(2)/2))/(LN(2)/2)*BL97*BO97*VLOOKUP('Données projet'!$B$11,Paramètres!$A$1:$I$89,3,0)*0.475*44/12</f>
        <v>1.0056301017118744E-2</v>
      </c>
      <c r="BS97" s="22">
        <f t="shared" si="63"/>
        <v>53.321006732478565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-2.2737367544323206E-13</v>
      </c>
      <c r="BZ97" s="13">
        <f>BY97*VLOOKUP('Données projet'!$B$12,Paramètres!$A$1:$I$89,3,0)*VLOOKUP('Données projet'!$B$12,Paramètres!$A$1:$I$89,5,0)</f>
        <v>-1.2710188457276673E-13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443.34220761968419</v>
      </c>
      <c r="CE97" s="59">
        <f t="shared" si="94"/>
        <v>546.58234447298014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129.75751745522197</v>
      </c>
      <c r="CL97" s="21">
        <f>EXP(-LN(2)/25)*CL96+(1-EXP(-LN(2)/25))/(LN(2)/25)*Calculateur!CG97*Calculateur!CI97*VLOOKUP('Données projet'!$B$12,Paramètres!$A$1:$I$89,3,0)*0.475*44/12</f>
        <v>23.622257190251933</v>
      </c>
      <c r="CM97" s="21">
        <f>EXP(-LN(2)/2)*CM96+(1-EXP(-LN(2)/2))/(LN(2)/2)*CG97*CJ97*VLOOKUP('Données projet'!$B$12,Paramètres!$A$1:$I$89,3,0)*0.475*44/12</f>
        <v>3.2950142043408799E-4</v>
      </c>
      <c r="CN97" s="22">
        <f t="shared" si="66"/>
        <v>153.38010414689433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>
        <f>CT97*VLOOKUP('Données projet'!$B$13,Paramètres!$A$1:$I$89,3,0)*VLOOKUP('Données projet'!$B$13,Paramètres!$A$1:$I$89,5,0)</f>
        <v>0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214.22606988805535</v>
      </c>
      <c r="CZ97" s="59">
        <f t="shared" si="96"/>
        <v>305.78163836959078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72.805935391489228</v>
      </c>
      <c r="DG97" s="21">
        <f>EXP(-LN(2)/25)*DG96+(1-EXP(-LN(2)/25))/(LN(2)/25)*Calculateur!DB97*Calculateur!DD97*VLOOKUP('Données projet'!$B$13,Paramètres!$A$1:$I$89,3,0)*0.475*44/12</f>
        <v>13.844240614499439</v>
      </c>
      <c r="DH97" s="21">
        <f>EXP(-LN(2)/2)*DH96+(1-EXP(-LN(2)/2))/(LN(2)/2)*DB97*DE97*VLOOKUP('Données projet'!$B$13,Paramètres!$A$1:$I$89,3,0)*0.475*44/12</f>
        <v>1.4400829622120549E-4</v>
      </c>
      <c r="DI97" s="22">
        <f t="shared" si="69"/>
        <v>86.650320014284887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-1.7053025658242404E-13</v>
      </c>
      <c r="DP97" s="17">
        <f>DO97*VLOOKUP('Données projet'!$B$14,Paramètres!$A$1:$I$89,3,0)*VLOOKUP('Données projet'!$B$14,Paramètres!$A$1:$I$89,5,0)</f>
        <v>-1.383341441396624E-13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304.26232113495314</v>
      </c>
      <c r="DU97" s="59">
        <f t="shared" si="98"/>
        <v>297.47246687305056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79.883251667149594</v>
      </c>
      <c r="EB97" s="21">
        <f>EXP(-LN(2)/25)*EB96+(1-EXP(-LN(2)/25))/(LN(2)/25)*Calculateur!DW97*Calculateur!DY97*VLOOKUP('Données projet'!$B$14,Paramètres!$A$1:$I$89,3,0)*0.475*44/12</f>
        <v>1.9610143462834857</v>
      </c>
      <c r="EC97" s="21">
        <f>EXP(-LN(2)/2)*EC96+(1-EXP(-LN(2)/2))/(LN(2)/2)*DW97*DZ97*VLOOKUP('Données projet'!$B$14,Paramètres!$A$1:$I$89,3,0)*0.475*44/12</f>
        <v>0.33147702609206031</v>
      </c>
      <c r="ED97" s="22">
        <f t="shared" si="72"/>
        <v>82.175743039525145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-1.7053025658242404E-13</v>
      </c>
      <c r="EK97" s="17">
        <f>EJ97*VLOOKUP('Données projet'!$B$15,Paramètres!$A$1:$I$89,3,0)*VLOOKUP('Données projet'!$B$15,Paramètres!$A$1:$I$89,5,0)</f>
        <v>-1.6493686416652052E-13</v>
      </c>
      <c r="EL97" s="13" t="e">
        <f t="shared" si="99"/>
        <v>#NUM!</v>
      </c>
      <c r="EM97" s="20" t="e">
        <f t="shared" si="73"/>
        <v>#NUM!</v>
      </c>
      <c r="EN97" s="59" t="e">
        <f t="shared" si="74"/>
        <v>#NUM!</v>
      </c>
      <c r="EO97" s="59">
        <f ca="1">AVERAGE(OFFSET($EN$3,0,0,'Données projet'!$E$15+1,1))-AVERAGE(OFFSET($H$3,0,0,'Données projet'!$E$15+1,1))</f>
        <v>355.72173590705142</v>
      </c>
      <c r="EP97" s="59">
        <f t="shared" si="100"/>
        <v>346.30980704469363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77.274582345653386</v>
      </c>
      <c r="EW97" s="21">
        <f>EXP(-LN(2)/25)*EW96+(1-EXP(-LN(2)/25))/(LN(2)/25)*Calculateur!ER97*Calculateur!ET97*VLOOKUP('Données projet'!$B$15,Paramètres!$A$1:$I$89,3,0)*0.475*44/12</f>
        <v>1.8969754162524568</v>
      </c>
      <c r="EX97" s="21">
        <f>EXP(-LN(2)/2)*EX96+(1-EXP(-LN(2)/2))/(LN(2)/2)*ER97*EU97*VLOOKUP('Données projet'!$B$15,Paramètres!$A$1:$I$89,3,0)*0.475*44/12</f>
        <v>0.39522260803284065</v>
      </c>
      <c r="EY97" s="22">
        <f t="shared" si="75"/>
        <v>79.566780369938684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-1.7053025658242404E-13</v>
      </c>
      <c r="FF97" s="17">
        <f>FE97*VLOOKUP('Données projet'!$B$16,Paramètres!$A$1:$I$89,3,0)*VLOOKUP('Données projet'!$B$16,Paramètres!$A$1:$I$89,5,0)</f>
        <v>-1.250327841262333E-13</v>
      </c>
      <c r="FG97" s="13" t="e">
        <f t="shared" si="101"/>
        <v>#NUM!</v>
      </c>
      <c r="FH97" s="20" t="e">
        <f t="shared" si="76"/>
        <v>#NUM!</v>
      </c>
      <c r="FI97" s="59" t="e">
        <f t="shared" si="77"/>
        <v>#NUM!</v>
      </c>
      <c r="FJ97" s="59">
        <f ca="1">AVERAGE(OFFSET($FI$3,0,0,'Données projet'!$E$16+1,1))-AVERAGE(OFFSET($H$3,0,0,'Données projet'!$E$16+1,1))</f>
        <v>278.45534008146865</v>
      </c>
      <c r="FK97" s="59">
        <f t="shared" si="102"/>
        <v>272.97841038165217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58.579118874930813</v>
      </c>
      <c r="FR97" s="21">
        <f>EXP(-LN(2)/25)*FR96+(1-EXP(-LN(2)/25))/(LN(2)/25)*Calculateur!FM97*Calculateur!FO97*VLOOKUP('Données projet'!$B$16,Paramètres!$A$1:$I$89,3,0)*0.475*44/12</f>
        <v>1.4380297510300886</v>
      </c>
      <c r="FS97" s="21">
        <f>EXP(-LN(2)/2)*FS96+(1-EXP(-LN(2)/2))/(LN(2)/2)*FM97*FP97*VLOOKUP('Données projet'!$B$16,Paramètres!$A$1:$I$89,3,0)*0.475*44/12</f>
        <v>0.29960423512166978</v>
      </c>
      <c r="FT97" s="22">
        <f t="shared" si="78"/>
        <v>60.31675286108257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5.7</v>
      </c>
      <c r="N98" s="13">
        <f>IF('Données projet'!$A$36&gt;35,N97+M98-V97,IF(A98&lt;'Données projet'!$A$36,$K$205^A98,IF(A98='Données projet'!$A$36,'Données projet'!$B$36,N97+M98-V97)))</f>
        <v>216.39999999999998</v>
      </c>
      <c r="O98" s="13">
        <f>N98*VLOOKUP('Données projet'!$B$9,Paramètres!$A$1:$I$89,3,0)*VLOOKUP('Données projet'!$B$9,Paramètres!$A$1:$I$89,5,0)</f>
        <v>195.79871999999997</v>
      </c>
      <c r="P98" s="13">
        <f t="shared" si="87"/>
        <v>48.819715799409714</v>
      </c>
      <c r="Q98" s="20">
        <f t="shared" si="54"/>
        <v>426.04377568397189</v>
      </c>
      <c r="R98" s="59">
        <f t="shared" si="55"/>
        <v>719.3771090173052</v>
      </c>
      <c r="S98" s="59">
        <f ca="1">AVERAGE(OFFSET($R$3,0,0,'Données projet'!$E$9+1,1))-AVERAGE(OFFSET($H$3,0,0,'Données projet'!$E$9+1,1))</f>
        <v>436.03161778768742</v>
      </c>
      <c r="T98" s="59">
        <f t="shared" si="88"/>
        <v>217.65884352525285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5.585923158585242</v>
      </c>
      <c r="AA98" s="21">
        <f>EXP(-LN(2)/25)*AA97+(1-EXP(-LN(2)/25))/(LN(2)/25)*Calculateur!V98*Calculateur!X98*VLOOKUP('Données projet'!$B$9,Paramètres!$A$1:$I$89,3,0)*0.475*44/12</f>
        <v>24.471319512305925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30.057242670891167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5.7</v>
      </c>
      <c r="AI98" s="13">
        <f>IF('Données projet'!$A$62&gt;35,AI97+AH98-AQ97,IF(A98&lt;'Données projet'!$A$62,$AF$205^A98,IF(A98='Données projet'!$A$62,'Données projet'!$B$62,AI97+AH98-AQ97)))</f>
        <v>216.39999999999998</v>
      </c>
      <c r="AJ98" s="13">
        <f>AI98*VLOOKUP('Données projet'!$B$10,Paramètres!$A$1:$I$89,3,0)*VLOOKUP('Données projet'!$B$10,Paramètres!$A$1:$I$89,5,0)</f>
        <v>219.42959999999999</v>
      </c>
      <c r="AK98" s="13">
        <f t="shared" si="89"/>
        <v>53.990893373543585</v>
      </c>
      <c r="AL98" s="20">
        <f t="shared" si="58"/>
        <v>476.20735929225503</v>
      </c>
      <c r="AM98" s="59">
        <f t="shared" si="59"/>
        <v>769.54069262558835</v>
      </c>
      <c r="AN98" s="59">
        <f ca="1">AVERAGE(OFFSET($AM$3,0,0,'Données projet'!$E$10+1,1))-AVERAGE(OFFSET($H$3,0,0,'Données projet'!$E$10+1,1))</f>
        <v>483.45320081988984</v>
      </c>
      <c r="AO98" s="59">
        <f t="shared" si="90"/>
        <v>238.92443174298893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6.2600862984144969</v>
      </c>
      <c r="AV98" s="21">
        <f>EXP(-LN(2)/25)*AV97+(1-EXP(-LN(2)/25))/(LN(2)/25)*Calculateur!AQ98*Calculateur!AS98*VLOOKUP('Données projet'!$B$10,Paramètres!$A$1:$I$89,3,0)*0.475*44/12</f>
        <v>27.424754625860086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33.684840924274582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1.7053025658242404E-13</v>
      </c>
      <c r="BE98" s="13">
        <f>BD98*VLOOKUP('Données projet'!$B$11,Paramètres!$A$1:$I$89,3,0)*VLOOKUP('Données projet'!$B$11,Paramètres!$A$1:$I$89,5,0)</f>
        <v>1.4897523215040567E-13</v>
      </c>
      <c r="BF98" s="13">
        <f t="shared" si="91"/>
        <v>2.136562777003313E-12</v>
      </c>
      <c r="BG98" s="20">
        <f t="shared" si="61"/>
        <v>3.9806453659427267E-12</v>
      </c>
      <c r="BH98" s="59">
        <f t="shared" si="62"/>
        <v>293.33333333333729</v>
      </c>
      <c r="BI98" s="59">
        <f ca="1">AVERAGE(OFFSET($BH$3,0,0,'Données projet'!$E$11+1,1))-AVERAGE(OFFSET($H$3,0,0,'Données projet'!$E$11+1,1))</f>
        <v>310.44153296396854</v>
      </c>
      <c r="BJ98" s="59">
        <f t="shared" si="92"/>
        <v>388.05195847800502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49.592188979607144</v>
      </c>
      <c r="BQ98" s="21">
        <f>EXP(-LN(2)/25)*BQ97+(1-EXP(-LN(2)/25))/(LN(2)/25)*Calculateur!BL98*Calculateur!BN98*VLOOKUP('Données projet'!$B$11,Paramètres!$A$1:$I$89,3,0)*0.475*44/12</f>
        <v>2.6522723329292544</v>
      </c>
      <c r="BR98" s="21">
        <f>EXP(-LN(2)/2)*BR97+(1-EXP(-LN(2)/2))/(LN(2)/2)*BL98*BO98*VLOOKUP('Données projet'!$B$11,Paramètres!$A$1:$I$89,3,0)*0.475*44/12</f>
        <v>7.1108786428578392E-3</v>
      </c>
      <c r="BS98" s="22">
        <f t="shared" si="63"/>
        <v>52.251572191179257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-2.2737367544323206E-13</v>
      </c>
      <c r="BZ98" s="13">
        <f>BY98*VLOOKUP('Données projet'!$B$12,Paramètres!$A$1:$I$89,3,0)*VLOOKUP('Données projet'!$B$12,Paramètres!$A$1:$I$89,5,0)</f>
        <v>-1.2710188457276673E-13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443.34220761968419</v>
      </c>
      <c r="CE98" s="59">
        <f t="shared" si="94"/>
        <v>546.58234447298014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127.21305168219587</v>
      </c>
      <c r="CL98" s="21">
        <f>EXP(-LN(2)/25)*CL97+(1-EXP(-LN(2)/25))/(LN(2)/25)*Calculateur!CG98*Calculateur!CI98*VLOOKUP('Données projet'!$B$12,Paramètres!$A$1:$I$89,3,0)*0.475*44/12</f>
        <v>22.976305325143976</v>
      </c>
      <c r="CM98" s="21">
        <f>EXP(-LN(2)/2)*CM97+(1-EXP(-LN(2)/2))/(LN(2)/2)*CG98*CJ98*VLOOKUP('Données projet'!$B$12,Paramètres!$A$1:$I$89,3,0)*0.475*44/12</f>
        <v>2.3299268879954326E-4</v>
      </c>
      <c r="CN98" s="22">
        <f t="shared" si="66"/>
        <v>150.18959000002866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>
        <f>CT98*VLOOKUP('Données projet'!$B$13,Paramètres!$A$1:$I$89,3,0)*VLOOKUP('Données projet'!$B$13,Paramètres!$A$1:$I$89,5,0)</f>
        <v>0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214.22606988805535</v>
      </c>
      <c r="CZ98" s="59">
        <f t="shared" si="96"/>
        <v>305.78163836959078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71.378255405697857</v>
      </c>
      <c r="DG98" s="21">
        <f>EXP(-LN(2)/25)*DG97+(1-EXP(-LN(2)/25))/(LN(2)/25)*Calculateur!DB98*Calculateur!DD98*VLOOKUP('Données projet'!$B$13,Paramètres!$A$1:$I$89,3,0)*0.475*44/12</f>
        <v>13.465669126858979</v>
      </c>
      <c r="DH98" s="21">
        <f>EXP(-LN(2)/2)*DH97+(1-EXP(-LN(2)/2))/(LN(2)/2)*DB98*DE98*VLOOKUP('Données projet'!$B$13,Paramètres!$A$1:$I$89,3,0)*0.475*44/12</f>
        <v>1.0182924280513547E-4</v>
      </c>
      <c r="DI98" s="22">
        <f t="shared" si="69"/>
        <v>84.844026361799649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-1.7053025658242404E-13</v>
      </c>
      <c r="DP98" s="17">
        <f>DO98*VLOOKUP('Données projet'!$B$14,Paramètres!$A$1:$I$89,3,0)*VLOOKUP('Données projet'!$B$14,Paramètres!$A$1:$I$89,5,0)</f>
        <v>-1.383341441396624E-13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304.26232113495314</v>
      </c>
      <c r="DU98" s="59">
        <f t="shared" si="98"/>
        <v>297.47246687305056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78.31678982592922</v>
      </c>
      <c r="EB98" s="21">
        <f>EXP(-LN(2)/25)*EB97+(1-EXP(-LN(2)/25))/(LN(2)/25)*Calculateur!DW98*Calculateur!DY98*VLOOKUP('Données projet'!$B$14,Paramètres!$A$1:$I$89,3,0)*0.475*44/12</f>
        <v>1.9073903058591013</v>
      </c>
      <c r="EC98" s="21">
        <f>EXP(-LN(2)/2)*EC97+(1-EXP(-LN(2)/2))/(LN(2)/2)*DW98*DZ98*VLOOKUP('Données projet'!$B$14,Paramètres!$A$1:$I$89,3,0)*0.475*44/12</f>
        <v>0.23438965295724601</v>
      </c>
      <c r="ED98" s="22">
        <f t="shared" si="72"/>
        <v>80.458569784745563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-1.7053025658242404E-13</v>
      </c>
      <c r="EK98" s="17">
        <f>EJ98*VLOOKUP('Données projet'!$B$15,Paramètres!$A$1:$I$89,3,0)*VLOOKUP('Données projet'!$B$15,Paramètres!$A$1:$I$89,5,0)</f>
        <v>-1.6493686416652052E-13</v>
      </c>
      <c r="EL98" s="13" t="e">
        <f t="shared" si="99"/>
        <v>#NUM!</v>
      </c>
      <c r="EM98" s="20" t="e">
        <f t="shared" si="73"/>
        <v>#NUM!</v>
      </c>
      <c r="EN98" s="59" t="e">
        <f t="shared" si="74"/>
        <v>#NUM!</v>
      </c>
      <c r="EO98" s="59">
        <f ca="1">AVERAGE(OFFSET($EN$3,0,0,'Données projet'!$E$15+1,1))-AVERAGE(OFFSET($H$3,0,0,'Données projet'!$E$15+1,1))</f>
        <v>355.72173590705142</v>
      </c>
      <c r="EP98" s="59">
        <f t="shared" si="100"/>
        <v>346.30980704469363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75.759274918696377</v>
      </c>
      <c r="EW98" s="21">
        <f>EXP(-LN(2)/25)*EW97+(1-EXP(-LN(2)/25))/(LN(2)/25)*Calculateur!ER98*Calculateur!ET98*VLOOKUP('Données projet'!$B$15,Paramètres!$A$1:$I$89,3,0)*0.475*44/12</f>
        <v>1.8451025237374319</v>
      </c>
      <c r="EX98" s="21">
        <f>EXP(-LN(2)/2)*EX97+(1-EXP(-LN(2)/2))/(LN(2)/2)*ER98*EU98*VLOOKUP('Données projet'!$B$15,Paramètres!$A$1:$I$89,3,0)*0.475*44/12</f>
        <v>0.27946458621825448</v>
      </c>
      <c r="EY98" s="22">
        <f t="shared" si="75"/>
        <v>77.883842028652069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-1.7053025658242404E-13</v>
      </c>
      <c r="FF98" s="17">
        <f>FE98*VLOOKUP('Données projet'!$B$16,Paramètres!$A$1:$I$89,3,0)*VLOOKUP('Données projet'!$B$16,Paramètres!$A$1:$I$89,5,0)</f>
        <v>-1.250327841262333E-13</v>
      </c>
      <c r="FG98" s="13" t="e">
        <f t="shared" si="101"/>
        <v>#NUM!</v>
      </c>
      <c r="FH98" s="20" t="e">
        <f t="shared" si="76"/>
        <v>#NUM!</v>
      </c>
      <c r="FI98" s="59" t="e">
        <f t="shared" si="77"/>
        <v>#NUM!</v>
      </c>
      <c r="FJ98" s="59">
        <f ca="1">AVERAGE(OFFSET($FI$3,0,0,'Données projet'!$E$16+1,1))-AVERAGE(OFFSET($H$3,0,0,'Données projet'!$E$16+1,1))</f>
        <v>278.45534008146865</v>
      </c>
      <c r="FK98" s="59">
        <f t="shared" si="102"/>
        <v>272.97841038165217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57.430418083527918</v>
      </c>
      <c r="FR98" s="21">
        <f>EXP(-LN(2)/25)*FR97+(1-EXP(-LN(2)/25))/(LN(2)/25)*Calculateur!FM98*Calculateur!FO98*VLOOKUP('Données projet'!$B$16,Paramètres!$A$1:$I$89,3,0)*0.475*44/12</f>
        <v>1.3987067518654728</v>
      </c>
      <c r="FS98" s="21">
        <f>EXP(-LN(2)/2)*FS97+(1-EXP(-LN(2)/2))/(LN(2)/2)*FM98*FP98*VLOOKUP('Données projet'!$B$16,Paramètres!$A$1:$I$89,3,0)*0.475*44/12</f>
        <v>0.21185218632674149</v>
      </c>
      <c r="FT98" s="22">
        <f t="shared" si="78"/>
        <v>59.040977021720138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5.7</v>
      </c>
      <c r="N99" s="13">
        <f>IF('Données projet'!$A$36&gt;35,N98+M99-V98,IF(A99&lt;'Données projet'!$A$36,$K$205^A99,IF(A99='Données projet'!$A$36,'Données projet'!$B$36,N98+M99-V98)))</f>
        <v>222.09999999999997</v>
      </c>
      <c r="O99" s="13">
        <f>N99*VLOOKUP('Données projet'!$B$9,Paramètres!$A$1:$I$89,3,0)*VLOOKUP('Données projet'!$B$9,Paramètres!$A$1:$I$89,5,0)</f>
        <v>200.95607999999999</v>
      </c>
      <c r="P99" s="13">
        <f t="shared" si="87"/>
        <v>49.954226816728088</v>
      </c>
      <c r="Q99" s="20">
        <f t="shared" ref="Q99:Q130" si="107">(O99+P99)*0.475*44/12</f>
        <v>437.00211770580137</v>
      </c>
      <c r="R99" s="59">
        <f t="shared" si="55"/>
        <v>730.33545103913468</v>
      </c>
      <c r="S99" s="59">
        <f ca="1">AVERAGE(OFFSET($R$3,0,0,'Données projet'!$E$9+1,1))-AVERAGE(OFFSET($H$3,0,0,'Données projet'!$E$9+1,1))</f>
        <v>436.03161778768742</v>
      </c>
      <c r="T99" s="59">
        <f t="shared" si="88"/>
        <v>217.65884352525285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5.4763866125220915</v>
      </c>
      <c r="AA99" s="21">
        <f>EXP(-LN(2)/25)*AA98+(1-EXP(-LN(2)/25))/(LN(2)/25)*Calculateur!V99*Calculateur!X99*VLOOKUP('Données projet'!$B$9,Paramètres!$A$1:$I$89,3,0)*0.475*44/12</f>
        <v>23.802149993351158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29.278536605873249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5.7</v>
      </c>
      <c r="AI99" s="13">
        <f>IF('Données projet'!$A$62&gt;35,AI98+AH99-AQ98,IF(A99&lt;'Données projet'!$A$62,$AF$205^A99,IF(A99='Données projet'!$A$62,'Données projet'!$B$62,AI98+AH99-AQ98)))</f>
        <v>222.09999999999997</v>
      </c>
      <c r="AJ99" s="13">
        <f>AI99*VLOOKUP('Données projet'!$B$10,Paramètres!$A$1:$I$89,3,0)*VLOOKUP('Données projet'!$B$10,Paramètres!$A$1:$I$89,5,0)</f>
        <v>225.20939999999999</v>
      </c>
      <c r="AK99" s="13">
        <f t="shared" si="89"/>
        <v>55.245576289331673</v>
      </c>
      <c r="AL99" s="20">
        <f t="shared" si="58"/>
        <v>488.45908370391936</v>
      </c>
      <c r="AM99" s="59">
        <f t="shared" si="59"/>
        <v>781.79241703725268</v>
      </c>
      <c r="AN99" s="59">
        <f ca="1">AVERAGE(OFFSET($AM$3,0,0,'Données projet'!$E$10+1,1))-AVERAGE(OFFSET($H$3,0,0,'Données projet'!$E$10+1,1))</f>
        <v>483.45320081988984</v>
      </c>
      <c r="AO99" s="59">
        <f t="shared" si="90"/>
        <v>238.92443174298893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6.1373298243782068</v>
      </c>
      <c r="AV99" s="21">
        <f>EXP(-LN(2)/25)*AV98+(1-EXP(-LN(2)/25))/(LN(2)/25)*Calculateur!AQ99*Calculateur!AS99*VLOOKUP('Données projet'!$B$10,Paramètres!$A$1:$I$89,3,0)*0.475*44/12</f>
        <v>26.674823268410776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32.812153092788982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1.7053025658242404E-13</v>
      </c>
      <c r="BE99" s="13">
        <f>BD99*VLOOKUP('Données projet'!$B$11,Paramètres!$A$1:$I$89,3,0)*VLOOKUP('Données projet'!$B$11,Paramètres!$A$1:$I$89,5,0)</f>
        <v>1.4897523215040567E-13</v>
      </c>
      <c r="BF99" s="13">
        <f t="shared" si="91"/>
        <v>2.136562777003313E-12</v>
      </c>
      <c r="BG99" s="20">
        <f t="shared" si="61"/>
        <v>3.9806453659427267E-12</v>
      </c>
      <c r="BH99" s="59">
        <f t="shared" si="62"/>
        <v>293.33333333333729</v>
      </c>
      <c r="BI99" s="59">
        <f ca="1">AVERAGE(OFFSET($BH$3,0,0,'Données projet'!$E$11+1,1))-AVERAGE(OFFSET($H$3,0,0,'Données projet'!$E$11+1,1))</f>
        <v>310.44153296396854</v>
      </c>
      <c r="BJ99" s="59">
        <f t="shared" si="92"/>
        <v>388.05195847800502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48.619716401965562</v>
      </c>
      <c r="BQ99" s="21">
        <f>EXP(-LN(2)/25)*BQ98+(1-EXP(-LN(2)/25))/(LN(2)/25)*Calculateur!BL99*Calculateur!BN99*VLOOKUP('Données projet'!$B$11,Paramètres!$A$1:$I$89,3,0)*0.475*44/12</f>
        <v>2.5797458065083636</v>
      </c>
      <c r="BR99" s="21">
        <f>EXP(-LN(2)/2)*BR98+(1-EXP(-LN(2)/2))/(LN(2)/2)*BL99*BO99*VLOOKUP('Données projet'!$B$11,Paramètres!$A$1:$I$89,3,0)*0.475*44/12</f>
        <v>5.028150508559372E-3</v>
      </c>
      <c r="BS99" s="22">
        <f t="shared" si="63"/>
        <v>51.204490358982483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-2.2737367544323206E-13</v>
      </c>
      <c r="BZ99" s="13">
        <f>BY99*VLOOKUP('Données projet'!$B$12,Paramètres!$A$1:$I$89,3,0)*VLOOKUP('Données projet'!$B$12,Paramètres!$A$1:$I$89,5,0)</f>
        <v>-1.2710188457276673E-13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443.34220761968419</v>
      </c>
      <c r="CE99" s="59">
        <f t="shared" si="94"/>
        <v>546.58234447298014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124.71848133100794</v>
      </c>
      <c r="CL99" s="21">
        <f>EXP(-LN(2)/25)*CL98+(1-EXP(-LN(2)/25))/(LN(2)/25)*Calculateur!CG99*Calculateur!CI99*VLOOKUP('Données projet'!$B$12,Paramètres!$A$1:$I$89,3,0)*0.475*44/12</f>
        <v>22.348017047756528</v>
      </c>
      <c r="CM99" s="21">
        <f>EXP(-LN(2)/2)*CM98+(1-EXP(-LN(2)/2))/(LN(2)/2)*CG99*CJ99*VLOOKUP('Données projet'!$B$12,Paramètres!$A$1:$I$89,3,0)*0.475*44/12</f>
        <v>1.6475071021704402E-4</v>
      </c>
      <c r="CN99" s="22">
        <f t="shared" si="66"/>
        <v>147.06666312947468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>
        <f>CT99*VLOOKUP('Données projet'!$B$13,Paramètres!$A$1:$I$89,3,0)*VLOOKUP('Données projet'!$B$13,Paramètres!$A$1:$I$89,5,0)</f>
        <v>0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214.22606988805535</v>
      </c>
      <c r="CZ99" s="59">
        <f t="shared" si="96"/>
        <v>305.78163836959078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69.97857135362905</v>
      </c>
      <c r="DG99" s="21">
        <f>EXP(-LN(2)/25)*DG98+(1-EXP(-LN(2)/25))/(LN(2)/25)*Calculateur!DB99*Calculateur!DD99*VLOOKUP('Données projet'!$B$13,Paramètres!$A$1:$I$89,3,0)*0.475*44/12</f>
        <v>13.097449696456257</v>
      </c>
      <c r="DH99" s="21">
        <f>EXP(-LN(2)/2)*DH98+(1-EXP(-LN(2)/2))/(LN(2)/2)*DB99*DE99*VLOOKUP('Données projet'!$B$13,Paramètres!$A$1:$I$89,3,0)*0.475*44/12</f>
        <v>7.2004148110602745E-5</v>
      </c>
      <c r="DI99" s="22">
        <f t="shared" si="69"/>
        <v>83.076093054233411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-1.7053025658242404E-13</v>
      </c>
      <c r="DP99" s="17">
        <f>DO99*VLOOKUP('Données projet'!$B$14,Paramètres!$A$1:$I$89,3,0)*VLOOKUP('Données projet'!$B$14,Paramètres!$A$1:$I$89,5,0)</f>
        <v>-1.383341441396624E-13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304.26232113495314</v>
      </c>
      <c r="DU99" s="59">
        <f t="shared" si="98"/>
        <v>297.47246687305056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76.781045345967797</v>
      </c>
      <c r="EB99" s="21">
        <f>EXP(-LN(2)/25)*EB98+(1-EXP(-LN(2)/25))/(LN(2)/25)*Calculateur!DW99*Calculateur!DY99*VLOOKUP('Données projet'!$B$14,Paramètres!$A$1:$I$89,3,0)*0.475*44/12</f>
        <v>1.8552326176400873</v>
      </c>
      <c r="EC99" s="21">
        <f>EXP(-LN(2)/2)*EC98+(1-EXP(-LN(2)/2))/(LN(2)/2)*DW99*DZ99*VLOOKUP('Données projet'!$B$14,Paramètres!$A$1:$I$89,3,0)*0.475*44/12</f>
        <v>0.16573851304603018</v>
      </c>
      <c r="ED99" s="22">
        <f t="shared" si="72"/>
        <v>78.802016476653918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-1.7053025658242404E-13</v>
      </c>
      <c r="EK99" s="17">
        <f>EJ99*VLOOKUP('Données projet'!$B$15,Paramètres!$A$1:$I$89,3,0)*VLOOKUP('Données projet'!$B$15,Paramètres!$A$1:$I$89,5,0)</f>
        <v>-1.6493686416652052E-13</v>
      </c>
      <c r="EL99" s="13" t="e">
        <f t="shared" si="99"/>
        <v>#NUM!</v>
      </c>
      <c r="EM99" s="20" t="e">
        <f t="shared" si="73"/>
        <v>#NUM!</v>
      </c>
      <c r="EN99" s="59" t="e">
        <f t="shared" si="74"/>
        <v>#NUM!</v>
      </c>
      <c r="EO99" s="59">
        <f ca="1">AVERAGE(OFFSET($EN$3,0,0,'Données projet'!$E$15+1,1))-AVERAGE(OFFSET($H$3,0,0,'Données projet'!$E$15+1,1))</f>
        <v>355.72173590705142</v>
      </c>
      <c r="EP99" s="59">
        <f t="shared" si="100"/>
        <v>346.30980704469363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74.273681746135722</v>
      </c>
      <c r="EW99" s="21">
        <f>EXP(-LN(2)/25)*EW98+(1-EXP(-LN(2)/25))/(LN(2)/25)*Calculateur!ER99*Calculateur!ET99*VLOOKUP('Données projet'!$B$15,Paramètres!$A$1:$I$89,3,0)*0.475*44/12</f>
        <v>1.794648098196107</v>
      </c>
      <c r="EX99" s="21">
        <f>EXP(-LN(2)/2)*EX98+(1-EXP(-LN(2)/2))/(LN(2)/2)*ER99*EU99*VLOOKUP('Données projet'!$B$15,Paramètres!$A$1:$I$89,3,0)*0.475*44/12</f>
        <v>0.19761130401642032</v>
      </c>
      <c r="EY99" s="22">
        <f t="shared" si="75"/>
        <v>76.265941148348247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-1.7053025658242404E-13</v>
      </c>
      <c r="FF99" s="17">
        <f>FE99*VLOOKUP('Données projet'!$B$16,Paramètres!$A$1:$I$89,3,0)*VLOOKUP('Données projet'!$B$16,Paramètres!$A$1:$I$89,5,0)</f>
        <v>-1.250327841262333E-13</v>
      </c>
      <c r="FG99" s="13" t="e">
        <f t="shared" si="101"/>
        <v>#NUM!</v>
      </c>
      <c r="FH99" s="20" t="e">
        <f t="shared" si="76"/>
        <v>#NUM!</v>
      </c>
      <c r="FI99" s="59" t="e">
        <f t="shared" si="77"/>
        <v>#NUM!</v>
      </c>
      <c r="FJ99" s="59">
        <f ca="1">AVERAGE(OFFSET($FI$3,0,0,'Données projet'!$E$16+1,1))-AVERAGE(OFFSET($H$3,0,0,'Données projet'!$E$16+1,1))</f>
        <v>278.45534008146865</v>
      </c>
      <c r="FK99" s="59">
        <f t="shared" si="102"/>
        <v>272.97841038165217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56.304242614006128</v>
      </c>
      <c r="FR99" s="21">
        <f>EXP(-LN(2)/25)*FR98+(1-EXP(-LN(2)/25))/(LN(2)/25)*Calculateur!FM99*Calculateur!FO99*VLOOKUP('Données projet'!$B$16,Paramètres!$A$1:$I$89,3,0)*0.475*44/12</f>
        <v>1.3604590421809202</v>
      </c>
      <c r="FS99" s="21">
        <f>EXP(-LN(2)/2)*FS98+(1-EXP(-LN(2)/2))/(LN(2)/2)*FM99*FP99*VLOOKUP('Données projet'!$B$16,Paramètres!$A$1:$I$89,3,0)*0.475*44/12</f>
        <v>0.14980211756083489</v>
      </c>
      <c r="FT99" s="22">
        <f t="shared" si="78"/>
        <v>57.81450377374788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5.7</v>
      </c>
      <c r="N100" s="13">
        <f>IF('Données projet'!$A$36&gt;35,N99+M100-V99,IF(A100&lt;'Données projet'!$A$36,$K$205^A100,IF(A100='Données projet'!$A$36,'Données projet'!$B$36,N99+M100-V99)))</f>
        <v>227.79999999999995</v>
      </c>
      <c r="O100" s="13">
        <f>N100*VLOOKUP('Données projet'!$B$9,Paramètres!$A$1:$I$89,3,0)*VLOOKUP('Données projet'!$B$9,Paramètres!$A$1:$I$89,5,0)</f>
        <v>206.11343999999997</v>
      </c>
      <c r="P100" s="13">
        <f t="shared" si="87"/>
        <v>51.085353370375145</v>
      </c>
      <c r="Q100" s="20">
        <f t="shared" si="107"/>
        <v>447.95456512007007</v>
      </c>
      <c r="R100" s="59">
        <f t="shared" si="55"/>
        <v>741.28789845340339</v>
      </c>
      <c r="S100" s="59">
        <f ca="1">AVERAGE(OFFSET($R$3,0,0,'Données projet'!$E$9+1,1))-AVERAGE(OFFSET($H$3,0,0,'Données projet'!$E$9+1,1))</f>
        <v>436.03161778768742</v>
      </c>
      <c r="T100" s="59">
        <f t="shared" si="88"/>
        <v>217.65884352525285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5.3689980113165428</v>
      </c>
      <c r="AA100" s="21">
        <f>EXP(-LN(2)/25)*AA99+(1-EXP(-LN(2)/25))/(LN(2)/25)*Calculateur!V100*Calculateur!X100*VLOOKUP('Données projet'!$B$9,Paramètres!$A$1:$I$89,3,0)*0.475*44/12</f>
        <v>23.151278950082304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28.520276961398846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5.7</v>
      </c>
      <c r="AI100" s="13">
        <f>IF('Données projet'!$A$62&gt;35,AI99+AH100-AQ99,IF(A100&lt;'Données projet'!$A$62,$AF$205^A100,IF(A100='Données projet'!$A$62,'Données projet'!$B$62,AI99+AH100-AQ99)))</f>
        <v>227.79999999999995</v>
      </c>
      <c r="AJ100" s="13">
        <f>AI100*VLOOKUP('Données projet'!$B$10,Paramètres!$A$1:$I$89,3,0)*VLOOKUP('Données projet'!$B$10,Paramètres!$A$1:$I$89,5,0)</f>
        <v>230.98919999999995</v>
      </c>
      <c r="AK100" s="13">
        <f t="shared" si="89"/>
        <v>56.496516245657226</v>
      </c>
      <c r="AL100" s="20">
        <f t="shared" si="58"/>
        <v>500.70428912785286</v>
      </c>
      <c r="AM100" s="59">
        <f t="shared" si="59"/>
        <v>794.03762246118617</v>
      </c>
      <c r="AN100" s="59">
        <f ca="1">AVERAGE(OFFSET($AM$3,0,0,'Données projet'!$E$10+1,1))-AVERAGE(OFFSET($H$3,0,0,'Données projet'!$E$10+1,1))</f>
        <v>483.45320081988984</v>
      </c>
      <c r="AO100" s="59">
        <f t="shared" si="90"/>
        <v>238.92443174298893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6.0169805299237131</v>
      </c>
      <c r="AV100" s="21">
        <f>EXP(-LN(2)/25)*AV99+(1-EXP(-LN(2)/25))/(LN(2)/25)*Calculateur!AQ100*Calculateur!AS100*VLOOKUP('Données projet'!$B$10,Paramètres!$A$1:$I$89,3,0)*0.475*44/12</f>
        <v>25.945398823368095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31.962379353291809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1.7053025658242404E-13</v>
      </c>
      <c r="BE100" s="13">
        <f>BD100*VLOOKUP('Données projet'!$B$11,Paramètres!$A$1:$I$89,3,0)*VLOOKUP('Données projet'!$B$11,Paramètres!$A$1:$I$89,5,0)</f>
        <v>1.4897523215040567E-13</v>
      </c>
      <c r="BF100" s="13">
        <f t="shared" si="91"/>
        <v>2.136562777003313E-12</v>
      </c>
      <c r="BG100" s="20">
        <f t="shared" si="61"/>
        <v>3.9806453659427267E-12</v>
      </c>
      <c r="BH100" s="59">
        <f t="shared" si="62"/>
        <v>293.33333333333729</v>
      </c>
      <c r="BI100" s="59">
        <f ca="1">AVERAGE(OFFSET($BH$3,0,0,'Données projet'!$E$11+1,1))-AVERAGE(OFFSET($H$3,0,0,'Données projet'!$E$11+1,1))</f>
        <v>310.44153296396854</v>
      </c>
      <c r="BJ100" s="59">
        <f t="shared" si="92"/>
        <v>388.05195847800502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47.666313418421822</v>
      </c>
      <c r="BQ100" s="21">
        <f>EXP(-LN(2)/25)*BQ99+(1-EXP(-LN(2)/25))/(LN(2)/25)*Calculateur!BL100*Calculateur!BN100*VLOOKUP('Données projet'!$B$11,Paramètres!$A$1:$I$89,3,0)*0.475*44/12</f>
        <v>2.5092025217664564</v>
      </c>
      <c r="BR100" s="21">
        <f>EXP(-LN(2)/2)*BR99+(1-EXP(-LN(2)/2))/(LN(2)/2)*BL100*BO100*VLOOKUP('Données projet'!$B$11,Paramètres!$A$1:$I$89,3,0)*0.475*44/12</f>
        <v>3.5554393214289196E-3</v>
      </c>
      <c r="BS100" s="22">
        <f t="shared" si="63"/>
        <v>50.179071379509708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-2.2737367544323206E-13</v>
      </c>
      <c r="BZ100" s="13">
        <f>BY100*VLOOKUP('Données projet'!$B$12,Paramètres!$A$1:$I$89,3,0)*VLOOKUP('Données projet'!$B$12,Paramètres!$A$1:$I$89,5,0)</f>
        <v>-1.2710188457276673E-13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443.34220761968419</v>
      </c>
      <c r="CE100" s="59">
        <f t="shared" si="94"/>
        <v>546.58234447298014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122.27282798286912</v>
      </c>
      <c r="CL100" s="21">
        <f>EXP(-LN(2)/25)*CL99+(1-EXP(-LN(2)/25))/(LN(2)/25)*Calculateur!CG100*Calculateur!CI100*VLOOKUP('Données projet'!$B$12,Paramètres!$A$1:$I$89,3,0)*0.475*44/12</f>
        <v>21.736909346354487</v>
      </c>
      <c r="CM100" s="21">
        <f>EXP(-LN(2)/2)*CM99+(1-EXP(-LN(2)/2))/(LN(2)/2)*CG100*CJ100*VLOOKUP('Données projet'!$B$12,Paramètres!$A$1:$I$89,3,0)*0.475*44/12</f>
        <v>1.1649634439977166E-4</v>
      </c>
      <c r="CN100" s="22">
        <f t="shared" si="66"/>
        <v>144.009853825568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>
        <f>CT100*VLOOKUP('Données projet'!$B$13,Paramètres!$A$1:$I$89,3,0)*VLOOKUP('Données projet'!$B$13,Paramètres!$A$1:$I$89,5,0)</f>
        <v>0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214.22606988805535</v>
      </c>
      <c r="CZ100" s="59">
        <f t="shared" si="96"/>
        <v>305.78163836959078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68.606334252098335</v>
      </c>
      <c r="DG100" s="21">
        <f>EXP(-LN(2)/25)*DG99+(1-EXP(-LN(2)/25))/(LN(2)/25)*Calculateur!DB100*Calculateur!DD100*VLOOKUP('Données projet'!$B$13,Paramètres!$A$1:$I$89,3,0)*0.475*44/12</f>
        <v>12.739299245741716</v>
      </c>
      <c r="DH100" s="21">
        <f>EXP(-LN(2)/2)*DH99+(1-EXP(-LN(2)/2))/(LN(2)/2)*DB100*DE100*VLOOKUP('Données projet'!$B$13,Paramètres!$A$1:$I$89,3,0)*0.475*44/12</f>
        <v>5.0914621402567736E-5</v>
      </c>
      <c r="DI100" s="22">
        <f t="shared" si="69"/>
        <v>81.345684412461452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-1.7053025658242404E-13</v>
      </c>
      <c r="DP100" s="17">
        <f>DO100*VLOOKUP('Données projet'!$B$14,Paramètres!$A$1:$I$89,3,0)*VLOOKUP('Données projet'!$B$14,Paramètres!$A$1:$I$89,5,0)</f>
        <v>-1.383341441396624E-13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304.26232113495314</v>
      </c>
      <c r="DU100" s="59">
        <f t="shared" si="98"/>
        <v>297.47246687305056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75.275415878546767</v>
      </c>
      <c r="EB100" s="21">
        <f>EXP(-LN(2)/25)*EB99+(1-EXP(-LN(2)/25))/(LN(2)/25)*Calculateur!DW100*Calculateur!DY100*VLOOKUP('Données projet'!$B$14,Paramètres!$A$1:$I$89,3,0)*0.475*44/12</f>
        <v>1.8045011841482759</v>
      </c>
      <c r="EC100" s="21">
        <f>EXP(-LN(2)/2)*EC99+(1-EXP(-LN(2)/2))/(LN(2)/2)*DW100*DZ100*VLOOKUP('Données projet'!$B$14,Paramètres!$A$1:$I$89,3,0)*0.475*44/12</f>
        <v>0.11719482647862303</v>
      </c>
      <c r="ED100" s="22">
        <f t="shared" si="72"/>
        <v>77.197111889173669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-1.7053025658242404E-13</v>
      </c>
      <c r="EK100" s="17">
        <f>EJ100*VLOOKUP('Données projet'!$B$15,Paramètres!$A$1:$I$89,3,0)*VLOOKUP('Données projet'!$B$15,Paramètres!$A$1:$I$89,5,0)</f>
        <v>-1.6493686416652052E-13</v>
      </c>
      <c r="EL100" s="13" t="e">
        <f t="shared" si="99"/>
        <v>#NUM!</v>
      </c>
      <c r="EM100" s="20" t="e">
        <f t="shared" si="73"/>
        <v>#NUM!</v>
      </c>
      <c r="EN100" s="59" t="e">
        <f t="shared" si="74"/>
        <v>#NUM!</v>
      </c>
      <c r="EO100" s="59">
        <f ca="1">AVERAGE(OFFSET($EN$3,0,0,'Données projet'!$E$15+1,1))-AVERAGE(OFFSET($H$3,0,0,'Données projet'!$E$15+1,1))</f>
        <v>355.72173590705142</v>
      </c>
      <c r="EP100" s="59">
        <f t="shared" si="100"/>
        <v>346.30980704469363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72.817220149566623</v>
      </c>
      <c r="EW100" s="21">
        <f>EXP(-LN(2)/25)*EW99+(1-EXP(-LN(2)/25))/(LN(2)/25)*Calculateur!ER100*Calculateur!ET100*VLOOKUP('Données projet'!$B$15,Paramètres!$A$1:$I$89,3,0)*0.475*44/12</f>
        <v>1.7455733515744927</v>
      </c>
      <c r="EX100" s="21">
        <f>EXP(-LN(2)/2)*EX99+(1-EXP(-LN(2)/2))/(LN(2)/2)*ER100*EU100*VLOOKUP('Données projet'!$B$15,Paramètres!$A$1:$I$89,3,0)*0.475*44/12</f>
        <v>0.13973229310912724</v>
      </c>
      <c r="EY100" s="22">
        <f t="shared" si="75"/>
        <v>74.702525794250249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-1.7053025658242404E-13</v>
      </c>
      <c r="FF100" s="17">
        <f>FE100*VLOOKUP('Données projet'!$B$16,Paramètres!$A$1:$I$89,3,0)*VLOOKUP('Données projet'!$B$16,Paramètres!$A$1:$I$89,5,0)</f>
        <v>-1.250327841262333E-13</v>
      </c>
      <c r="FG100" s="13" t="e">
        <f t="shared" si="101"/>
        <v>#NUM!</v>
      </c>
      <c r="FH100" s="20" t="e">
        <f t="shared" si="76"/>
        <v>#NUM!</v>
      </c>
      <c r="FI100" s="59" t="e">
        <f t="shared" si="77"/>
        <v>#NUM!</v>
      </c>
      <c r="FJ100" s="59">
        <f ca="1">AVERAGE(OFFSET($FI$3,0,0,'Données projet'!$E$16+1,1))-AVERAGE(OFFSET($H$3,0,0,'Données projet'!$E$16+1,1))</f>
        <v>278.45534008146865</v>
      </c>
      <c r="FK100" s="59">
        <f t="shared" si="102"/>
        <v>272.97841038165217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55.200150758542449</v>
      </c>
      <c r="FR100" s="21">
        <f>EXP(-LN(2)/25)*FR99+(1-EXP(-LN(2)/25))/(LN(2)/25)*Calculateur!FM100*Calculateur!FO100*VLOOKUP('Données projet'!$B$16,Paramètres!$A$1:$I$89,3,0)*0.475*44/12</f>
        <v>1.3232572181290512</v>
      </c>
      <c r="FS100" s="21">
        <f>EXP(-LN(2)/2)*FS99+(1-EXP(-LN(2)/2))/(LN(2)/2)*FM100*FP100*VLOOKUP('Données projet'!$B$16,Paramètres!$A$1:$I$89,3,0)*0.475*44/12</f>
        <v>0.10592609316337075</v>
      </c>
      <c r="FT100" s="22">
        <f t="shared" si="78"/>
        <v>56.629334069834869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5.7</v>
      </c>
      <c r="N101" s="13">
        <f>IF('Données projet'!$A$36&gt;35,N100+M101-V100,IF(A101&lt;'Données projet'!$A$36,$K$205^A101,IF(A101='Données projet'!$A$36,'Données projet'!$B$36,N100+M101-V100)))</f>
        <v>233.49999999999994</v>
      </c>
      <c r="O101" s="13">
        <f>N101*VLOOKUP('Données projet'!$B$9,Paramètres!$A$1:$I$89,3,0)*VLOOKUP('Données projet'!$B$9,Paramètres!$A$1:$I$89,5,0)</f>
        <v>211.27079999999992</v>
      </c>
      <c r="P101" s="13">
        <f t="shared" si="87"/>
        <v>52.213189886050465</v>
      </c>
      <c r="Q101" s="20">
        <f t="shared" si="107"/>
        <v>458.90128238487108</v>
      </c>
      <c r="R101" s="59">
        <f t="shared" si="55"/>
        <v>752.2346157182044</v>
      </c>
      <c r="S101" s="59">
        <f ca="1">AVERAGE(OFFSET($R$3,0,0,'Données projet'!$E$9+1,1))-AVERAGE(OFFSET($H$3,0,0,'Données projet'!$E$9+1,1))</f>
        <v>436.03161778768742</v>
      </c>
      <c r="T101" s="59">
        <f t="shared" si="88"/>
        <v>217.65884352525285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5.2637152350800562</v>
      </c>
      <c r="AA101" s="21">
        <f>EXP(-LN(2)/25)*AA100+(1-EXP(-LN(2)/25))/(LN(2)/25)*Calculateur!V101*Calculateur!X101*VLOOKUP('Données projet'!$B$9,Paramètres!$A$1:$I$89,3,0)*0.475*44/12</f>
        <v>22.518206009719457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27.781921244799513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5.7</v>
      </c>
      <c r="AI101" s="13">
        <f>IF('Données projet'!$A$62&gt;35,AI100+AH101-AQ100,IF(A101&lt;'Données projet'!$A$62,$AF$205^A101,IF(A101='Données projet'!$A$62,'Données projet'!$B$62,AI100+AH101-AQ100)))</f>
        <v>233.49999999999994</v>
      </c>
      <c r="AJ101" s="13">
        <f>AI101*VLOOKUP('Données projet'!$B$10,Paramètres!$A$1:$I$89,3,0)*VLOOKUP('Données projet'!$B$10,Paramètres!$A$1:$I$89,5,0)</f>
        <v>236.76899999999998</v>
      </c>
      <c r="AK101" s="13">
        <f t="shared" si="89"/>
        <v>57.743817670163907</v>
      </c>
      <c r="AL101" s="20">
        <f t="shared" si="58"/>
        <v>512.94315744220205</v>
      </c>
      <c r="AM101" s="59">
        <f t="shared" si="59"/>
        <v>806.27649077553542</v>
      </c>
      <c r="AN101" s="59">
        <f ca="1">AVERAGE(OFFSET($AM$3,0,0,'Données projet'!$E$10+1,1))-AVERAGE(OFFSET($H$3,0,0,'Données projet'!$E$10+1,1))</f>
        <v>483.45320081988984</v>
      </c>
      <c r="AO101" s="59">
        <f t="shared" si="90"/>
        <v>238.92443174298893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5.8989912117276502</v>
      </c>
      <c r="AV101" s="21">
        <f>EXP(-LN(2)/25)*AV100+(1-EXP(-LN(2)/25))/(LN(2)/25)*Calculateur!AQ101*Calculateur!AS101*VLOOKUP('Données projet'!$B$10,Paramètres!$A$1:$I$89,3,0)*0.475*44/12</f>
        <v>25.235920528133867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31.134911739861518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1.7053025658242404E-13</v>
      </c>
      <c r="BE101" s="13">
        <f>BD101*VLOOKUP('Données projet'!$B$11,Paramètres!$A$1:$I$89,3,0)*VLOOKUP('Données projet'!$B$11,Paramètres!$A$1:$I$89,5,0)</f>
        <v>1.4897523215040567E-13</v>
      </c>
      <c r="BF101" s="13">
        <f t="shared" si="91"/>
        <v>2.136562777003313E-12</v>
      </c>
      <c r="BG101" s="20">
        <f t="shared" si="61"/>
        <v>3.9806453659427267E-12</v>
      </c>
      <c r="BH101" s="59">
        <f t="shared" si="62"/>
        <v>293.33333333333729</v>
      </c>
      <c r="BI101" s="59">
        <f ca="1">AVERAGE(OFFSET($BH$3,0,0,'Données projet'!$E$11+1,1))-AVERAGE(OFFSET($H$3,0,0,'Données projet'!$E$11+1,1))</f>
        <v>310.44153296396854</v>
      </c>
      <c r="BJ101" s="59">
        <f t="shared" si="92"/>
        <v>388.05195847800502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46.731606085866979</v>
      </c>
      <c r="BQ101" s="21">
        <f>EXP(-LN(2)/25)*BQ100+(1-EXP(-LN(2)/25))/(LN(2)/25)*Calculateur!BL101*Calculateur!BN101*VLOOKUP('Données projet'!$B$11,Paramètres!$A$1:$I$89,3,0)*0.475*44/12</f>
        <v>2.4405882468555271</v>
      </c>
      <c r="BR101" s="21">
        <f>EXP(-LN(2)/2)*BR100+(1-EXP(-LN(2)/2))/(LN(2)/2)*BL101*BO101*VLOOKUP('Données projet'!$B$11,Paramètres!$A$1:$I$89,3,0)*0.475*44/12</f>
        <v>2.514075254279686E-3</v>
      </c>
      <c r="BS101" s="22">
        <f t="shared" si="63"/>
        <v>49.174708407976787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-2.2737367544323206E-13</v>
      </c>
      <c r="BZ101" s="13">
        <f>BY101*VLOOKUP('Données projet'!$B$12,Paramètres!$A$1:$I$89,3,0)*VLOOKUP('Données projet'!$B$12,Paramètres!$A$1:$I$89,5,0)</f>
        <v>-1.2710188457276673E-13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443.34220761968419</v>
      </c>
      <c r="CE101" s="59">
        <f t="shared" si="94"/>
        <v>546.58234447298014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119.87513240518605</v>
      </c>
      <c r="CL101" s="21">
        <f>EXP(-LN(2)/25)*CL100+(1-EXP(-LN(2)/25))/(LN(2)/25)*Calculateur!CG101*Calculateur!CI101*VLOOKUP('Données projet'!$B$12,Paramètres!$A$1:$I$89,3,0)*0.475*44/12</f>
        <v>21.14251241718404</v>
      </c>
      <c r="CM101" s="21">
        <f>EXP(-LN(2)/2)*CM100+(1-EXP(-LN(2)/2))/(LN(2)/2)*CG101*CJ101*VLOOKUP('Données projet'!$B$12,Paramètres!$A$1:$I$89,3,0)*0.475*44/12</f>
        <v>8.2375355108522025E-5</v>
      </c>
      <c r="CN101" s="22">
        <f t="shared" si="66"/>
        <v>141.01772719772521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>
        <f>CT101*VLOOKUP('Données projet'!$B$13,Paramètres!$A$1:$I$89,3,0)*VLOOKUP('Données projet'!$B$13,Paramètres!$A$1:$I$89,5,0)</f>
        <v>0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214.22606988805535</v>
      </c>
      <c r="CZ101" s="59">
        <f t="shared" si="96"/>
        <v>305.78163836959078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67.261005883146652</v>
      </c>
      <c r="DG101" s="21">
        <f>EXP(-LN(2)/25)*DG100+(1-EXP(-LN(2)/25))/(LN(2)/25)*Calculateur!DB101*Calculateur!DD101*VLOOKUP('Données projet'!$B$13,Paramètres!$A$1:$I$89,3,0)*0.475*44/12</f>
        <v>12.390942437936276</v>
      </c>
      <c r="DH101" s="21">
        <f>EXP(-LN(2)/2)*DH100+(1-EXP(-LN(2)/2))/(LN(2)/2)*DB101*DE101*VLOOKUP('Données projet'!$B$13,Paramètres!$A$1:$I$89,3,0)*0.475*44/12</f>
        <v>3.6002074055301373E-5</v>
      </c>
      <c r="DI101" s="22">
        <f t="shared" si="69"/>
        <v>79.651984323156981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-1.7053025658242404E-13</v>
      </c>
      <c r="DP101" s="17">
        <f>DO101*VLOOKUP('Données projet'!$B$14,Paramètres!$A$1:$I$89,3,0)*VLOOKUP('Données projet'!$B$14,Paramètres!$A$1:$I$89,5,0)</f>
        <v>-1.383341441396624E-13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304.26232113495314</v>
      </c>
      <c r="DU101" s="59">
        <f t="shared" si="98"/>
        <v>297.47246687305056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73.799310886638565</v>
      </c>
      <c r="EB101" s="21">
        <f>EXP(-LN(2)/25)*EB100+(1-EXP(-LN(2)/25))/(LN(2)/25)*Calculateur!DW101*Calculateur!DY101*VLOOKUP('Données projet'!$B$14,Paramètres!$A$1:$I$89,3,0)*0.475*44/12</f>
        <v>1.7551570043731481</v>
      </c>
      <c r="EC101" s="21">
        <f>EXP(-LN(2)/2)*EC100+(1-EXP(-LN(2)/2))/(LN(2)/2)*DW101*DZ101*VLOOKUP('Données projet'!$B$14,Paramètres!$A$1:$I$89,3,0)*0.475*44/12</f>
        <v>8.2869256523015106E-2</v>
      </c>
      <c r="ED101" s="22">
        <f t="shared" si="72"/>
        <v>75.637337147534723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-1.7053025658242404E-13</v>
      </c>
      <c r="EK101" s="17">
        <f>EJ101*VLOOKUP('Données projet'!$B$15,Paramètres!$A$1:$I$89,3,0)*VLOOKUP('Données projet'!$B$15,Paramètres!$A$1:$I$89,5,0)</f>
        <v>-1.6493686416652052E-13</v>
      </c>
      <c r="EL101" s="13" t="e">
        <f t="shared" si="99"/>
        <v>#NUM!</v>
      </c>
      <c r="EM101" s="20" t="e">
        <f t="shared" si="73"/>
        <v>#NUM!</v>
      </c>
      <c r="EN101" s="59" t="e">
        <f t="shared" si="74"/>
        <v>#NUM!</v>
      </c>
      <c r="EO101" s="59">
        <f ca="1">AVERAGE(OFFSET($EN$3,0,0,'Données projet'!$E$15+1,1))-AVERAGE(OFFSET($H$3,0,0,'Données projet'!$E$15+1,1))</f>
        <v>355.72173590705142</v>
      </c>
      <c r="EP101" s="59">
        <f t="shared" si="100"/>
        <v>346.30980704469363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71.38931887655238</v>
      </c>
      <c r="EW101" s="21">
        <f>EXP(-LN(2)/25)*EW100+(1-EXP(-LN(2)/25))/(LN(2)/25)*Calculateur!ER101*Calculateur!ET101*VLOOKUP('Données projet'!$B$15,Paramètres!$A$1:$I$89,3,0)*0.475*44/12</f>
        <v>1.6978405564799752</v>
      </c>
      <c r="EX101" s="21">
        <f>EXP(-LN(2)/2)*EX100+(1-EXP(-LN(2)/2))/(LN(2)/2)*ER101*EU101*VLOOKUP('Données projet'!$B$15,Paramètres!$A$1:$I$89,3,0)*0.475*44/12</f>
        <v>9.8805652008210162E-2</v>
      </c>
      <c r="EY101" s="22">
        <f t="shared" si="75"/>
        <v>73.185965085040564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-1.7053025658242404E-13</v>
      </c>
      <c r="FF101" s="17">
        <f>FE101*VLOOKUP('Données projet'!$B$16,Paramètres!$A$1:$I$89,3,0)*VLOOKUP('Données projet'!$B$16,Paramètres!$A$1:$I$89,5,0)</f>
        <v>-1.250327841262333E-13</v>
      </c>
      <c r="FG101" s="13" t="e">
        <f t="shared" si="101"/>
        <v>#NUM!</v>
      </c>
      <c r="FH101" s="20" t="e">
        <f t="shared" si="76"/>
        <v>#NUM!</v>
      </c>
      <c r="FI101" s="59" t="e">
        <f t="shared" si="77"/>
        <v>#NUM!</v>
      </c>
      <c r="FJ101" s="59">
        <f ca="1">AVERAGE(OFFSET($FI$3,0,0,'Données projet'!$E$16+1,1))-AVERAGE(OFFSET($H$3,0,0,'Données projet'!$E$16+1,1))</f>
        <v>278.45534008146865</v>
      </c>
      <c r="FK101" s="59">
        <f t="shared" si="102"/>
        <v>272.97841038165217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54.117709470934876</v>
      </c>
      <c r="FR101" s="21">
        <f>EXP(-LN(2)/25)*FR100+(1-EXP(-LN(2)/25))/(LN(2)/25)*Calculateur!FM101*Calculateur!FO101*VLOOKUP('Données projet'!$B$16,Paramètres!$A$1:$I$89,3,0)*0.475*44/12</f>
        <v>1.2870726799122396</v>
      </c>
      <c r="FS101" s="21">
        <f>EXP(-LN(2)/2)*FS100+(1-EXP(-LN(2)/2))/(LN(2)/2)*FM101*FP101*VLOOKUP('Données projet'!$B$16,Paramètres!$A$1:$I$89,3,0)*0.475*44/12</f>
        <v>7.4901058780417445E-2</v>
      </c>
      <c r="FT101" s="22">
        <f t="shared" si="78"/>
        <v>55.479683209627538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5.7</v>
      </c>
      <c r="N102" s="13">
        <f>IF('Données projet'!$A$36&gt;35,N101+M102-V101,IF(A102&lt;'Données projet'!$A$36,$K$205^A102,IF(A102='Données projet'!$A$36,'Données projet'!$B$36,N101+M102-V101)))</f>
        <v>239.19999999999993</v>
      </c>
      <c r="O102" s="13">
        <f>N102*VLOOKUP('Données projet'!$B$9,Paramètres!$A$1:$I$89,3,0)*VLOOKUP('Données projet'!$B$9,Paramètres!$A$1:$I$89,5,0)</f>
        <v>216.42815999999993</v>
      </c>
      <c r="P102" s="13">
        <f t="shared" si="87"/>
        <v>53.337825916536346</v>
      </c>
      <c r="Q102" s="20">
        <f t="shared" si="107"/>
        <v>469.84242547130066</v>
      </c>
      <c r="R102" s="59">
        <f t="shared" si="55"/>
        <v>763.17575880463392</v>
      </c>
      <c r="S102" s="59">
        <f ca="1">AVERAGE(OFFSET($R$3,0,0,'Données projet'!$E$9+1,1))-AVERAGE(OFFSET($H$3,0,0,'Données projet'!$E$9+1,1))</f>
        <v>436.03161778768742</v>
      </c>
      <c r="T102" s="59">
        <f t="shared" si="88"/>
        <v>217.65884352525285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5.1604969898694142</v>
      </c>
      <c r="AA102" s="21">
        <f>EXP(-LN(2)/25)*AA101+(1-EXP(-LN(2)/25))/(LN(2)/25)*Calculateur!V102*Calculateur!X102*VLOOKUP('Données projet'!$B$9,Paramètres!$A$1:$I$89,3,0)*0.475*44/12</f>
        <v>21.902444482202689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27.062941472072104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5.7</v>
      </c>
      <c r="AI102" s="13">
        <f>IF('Données projet'!$A$62&gt;35,AI101+AH102-AQ101,IF(A102&lt;'Données projet'!$A$62,$AF$205^A102,IF(A102='Données projet'!$A$62,'Données projet'!$B$62,AI101+AH102-AQ101)))</f>
        <v>239.19999999999993</v>
      </c>
      <c r="AJ102" s="13">
        <f>AI102*VLOOKUP('Données projet'!$B$10,Paramètres!$A$1:$I$89,3,0)*VLOOKUP('Données projet'!$B$10,Paramètres!$A$1:$I$89,5,0)</f>
        <v>242.54879999999994</v>
      </c>
      <c r="AK102" s="13">
        <f t="shared" si="89"/>
        <v>58.987579601419206</v>
      </c>
      <c r="AL102" s="20">
        <f t="shared" si="58"/>
        <v>525.17586113913831</v>
      </c>
      <c r="AM102" s="59">
        <f t="shared" si="59"/>
        <v>818.50919447247156</v>
      </c>
      <c r="AN102" s="59">
        <f ca="1">AVERAGE(OFFSET($AM$3,0,0,'Données projet'!$E$10+1,1))-AVERAGE(OFFSET($H$3,0,0,'Données projet'!$E$10+1,1))</f>
        <v>483.45320081988984</v>
      </c>
      <c r="AO102" s="59">
        <f t="shared" si="90"/>
        <v>238.92443174298893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5.7833155920950343</v>
      </c>
      <c r="AV102" s="21">
        <f>EXP(-LN(2)/25)*AV101+(1-EXP(-LN(2)/25))/(LN(2)/25)*Calculateur!AQ102*Calculateur!AS102*VLOOKUP('Données projet'!$B$10,Paramètres!$A$1:$I$89,3,0)*0.475*44/12</f>
        <v>24.545842954192665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30.329158546287701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1.7053025658242404E-13</v>
      </c>
      <c r="BE102" s="13">
        <f>BD102*VLOOKUP('Données projet'!$B$11,Paramètres!$A$1:$I$89,3,0)*VLOOKUP('Données projet'!$B$11,Paramètres!$A$1:$I$89,5,0)</f>
        <v>1.4897523215040567E-13</v>
      </c>
      <c r="BF102" s="13">
        <f t="shared" si="91"/>
        <v>2.136562777003313E-12</v>
      </c>
      <c r="BG102" s="20">
        <f t="shared" si="61"/>
        <v>3.9806453659427267E-12</v>
      </c>
      <c r="BH102" s="59">
        <f t="shared" si="62"/>
        <v>293.33333333333729</v>
      </c>
      <c r="BI102" s="59">
        <f ca="1">AVERAGE(OFFSET($BH$3,0,0,'Données projet'!$E$11+1,1))-AVERAGE(OFFSET($H$3,0,0,'Données projet'!$E$11+1,1))</f>
        <v>310.44153296396854</v>
      </c>
      <c r="BJ102" s="59">
        <f t="shared" si="92"/>
        <v>388.05195847800502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45.815227793988356</v>
      </c>
      <c r="BQ102" s="21">
        <f>EXP(-LN(2)/25)*BQ101+(1-EXP(-LN(2)/25))/(LN(2)/25)*Calculateur!BL102*Calculateur!BN102*VLOOKUP('Données projet'!$B$11,Paramètres!$A$1:$I$89,3,0)*0.475*44/12</f>
        <v>2.3738502329003048</v>
      </c>
      <c r="BR102" s="21">
        <f>EXP(-LN(2)/2)*BR101+(1-EXP(-LN(2)/2))/(LN(2)/2)*BL102*BO102*VLOOKUP('Données projet'!$B$11,Paramètres!$A$1:$I$89,3,0)*0.475*44/12</f>
        <v>1.7777196607144598E-3</v>
      </c>
      <c r="BS102" s="22">
        <f t="shared" si="63"/>
        <v>48.190855746549374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-2.2737367544323206E-13</v>
      </c>
      <c r="BZ102" s="13">
        <f>BY102*VLOOKUP('Données projet'!$B$12,Paramètres!$A$1:$I$89,3,0)*VLOOKUP('Données projet'!$B$12,Paramètres!$A$1:$I$89,5,0)</f>
        <v>-1.2710188457276673E-13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443.34220761968419</v>
      </c>
      <c r="CE102" s="59">
        <f t="shared" si="94"/>
        <v>546.58234447298014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117.52445417533146</v>
      </c>
      <c r="CL102" s="21">
        <f>EXP(-LN(2)/25)*CL101+(1-EXP(-LN(2)/25))/(LN(2)/25)*Calculateur!CG102*Calculateur!CI102*VLOOKUP('Données projet'!$B$12,Paramètres!$A$1:$I$89,3,0)*0.475*44/12</f>
        <v>20.564369303299735</v>
      </c>
      <c r="CM102" s="21">
        <f>EXP(-LN(2)/2)*CM101+(1-EXP(-LN(2)/2))/(LN(2)/2)*CG102*CJ102*VLOOKUP('Données projet'!$B$12,Paramètres!$A$1:$I$89,3,0)*0.475*44/12</f>
        <v>5.8248172199885836E-5</v>
      </c>
      <c r="CN102" s="22">
        <f t="shared" si="66"/>
        <v>138.08888172680338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>
        <f>CT102*VLOOKUP('Données projet'!$B$13,Paramètres!$A$1:$I$89,3,0)*VLOOKUP('Données projet'!$B$13,Paramètres!$A$1:$I$89,5,0)</f>
        <v>0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214.22606988805535</v>
      </c>
      <c r="CZ102" s="59">
        <f t="shared" si="96"/>
        <v>305.78163836959078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65.942058582940831</v>
      </c>
      <c r="DG102" s="21">
        <f>EXP(-LN(2)/25)*DG101+(1-EXP(-LN(2)/25))/(LN(2)/25)*Calculateur!DB102*Calculateur!DD102*VLOOKUP('Données projet'!$B$13,Paramètres!$A$1:$I$89,3,0)*0.475*44/12</f>
        <v>12.052111465359566</v>
      </c>
      <c r="DH102" s="21">
        <f>EXP(-LN(2)/2)*DH101+(1-EXP(-LN(2)/2))/(LN(2)/2)*DB102*DE102*VLOOKUP('Données projet'!$B$13,Paramètres!$A$1:$I$89,3,0)*0.475*44/12</f>
        <v>2.5457310701283868E-5</v>
      </c>
      <c r="DI102" s="22">
        <f t="shared" si="69"/>
        <v>77.994195505611088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-1.7053025658242404E-13</v>
      </c>
      <c r="DP102" s="17">
        <f>DO102*VLOOKUP('Données projet'!$B$14,Paramètres!$A$1:$I$89,3,0)*VLOOKUP('Données projet'!$B$14,Paramètres!$A$1:$I$89,5,0)</f>
        <v>-1.383341441396624E-13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304.26232113495314</v>
      </c>
      <c r="DU102" s="59">
        <f t="shared" si="98"/>
        <v>297.47246687305056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72.352151413286549</v>
      </c>
      <c r="EB102" s="21">
        <f>EXP(-LN(2)/25)*EB101+(1-EXP(-LN(2)/25))/(LN(2)/25)*Calculateur!DW102*Calculateur!DY102*VLOOKUP('Données projet'!$B$14,Paramètres!$A$1:$I$89,3,0)*0.475*44/12</f>
        <v>1.7071621437888691</v>
      </c>
      <c r="EC102" s="21">
        <f>EXP(-LN(2)/2)*EC101+(1-EXP(-LN(2)/2))/(LN(2)/2)*DW102*DZ102*VLOOKUP('Données projet'!$B$14,Paramètres!$A$1:$I$89,3,0)*0.475*44/12</f>
        <v>5.8597413239311523E-2</v>
      </c>
      <c r="ED102" s="22">
        <f t="shared" si="72"/>
        <v>74.117910970314725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-1.7053025658242404E-13</v>
      </c>
      <c r="EK102" s="17">
        <f>EJ102*VLOOKUP('Données projet'!$B$15,Paramètres!$A$1:$I$89,3,0)*VLOOKUP('Données projet'!$B$15,Paramètres!$A$1:$I$89,5,0)</f>
        <v>-1.6493686416652052E-13</v>
      </c>
      <c r="EL102" s="13" t="e">
        <f t="shared" si="99"/>
        <v>#NUM!</v>
      </c>
      <c r="EM102" s="20" t="e">
        <f t="shared" si="73"/>
        <v>#NUM!</v>
      </c>
      <c r="EN102" s="59" t="e">
        <f t="shared" si="74"/>
        <v>#NUM!</v>
      </c>
      <c r="EO102" s="59">
        <f ca="1">AVERAGE(OFFSET($EN$3,0,0,'Données projet'!$E$15+1,1))-AVERAGE(OFFSET($H$3,0,0,'Données projet'!$E$15+1,1))</f>
        <v>355.72173590705142</v>
      </c>
      <c r="EP102" s="59">
        <f t="shared" si="100"/>
        <v>346.30980704469363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69.989417876568169</v>
      </c>
      <c r="EW102" s="21">
        <f>EXP(-LN(2)/25)*EW101+(1-EXP(-LN(2)/25))/(LN(2)/25)*Calculateur!ER102*Calculateur!ET102*VLOOKUP('Données projet'!$B$15,Paramètres!$A$1:$I$89,3,0)*0.475*44/12</f>
        <v>1.6514130171774759</v>
      </c>
      <c r="EX102" s="21">
        <f>EXP(-LN(2)/2)*EX101+(1-EXP(-LN(2)/2))/(LN(2)/2)*ER102*EU102*VLOOKUP('Données projet'!$B$15,Paramètres!$A$1:$I$89,3,0)*0.475*44/12</f>
        <v>6.9866146554563621E-2</v>
      </c>
      <c r="EY102" s="22">
        <f t="shared" si="75"/>
        <v>71.710697040300204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-1.7053025658242404E-13</v>
      </c>
      <c r="FF102" s="17">
        <f>FE102*VLOOKUP('Données projet'!$B$16,Paramètres!$A$1:$I$89,3,0)*VLOOKUP('Données projet'!$B$16,Paramètres!$A$1:$I$89,5,0)</f>
        <v>-1.250327841262333E-13</v>
      </c>
      <c r="FG102" s="13" t="e">
        <f t="shared" si="101"/>
        <v>#NUM!</v>
      </c>
      <c r="FH102" s="20" t="e">
        <f t="shared" si="76"/>
        <v>#NUM!</v>
      </c>
      <c r="FI102" s="59" t="e">
        <f t="shared" si="77"/>
        <v>#NUM!</v>
      </c>
      <c r="FJ102" s="59">
        <f ca="1">AVERAGE(OFFSET($FI$3,0,0,'Données projet'!$E$16+1,1))-AVERAGE(OFFSET($H$3,0,0,'Données projet'!$E$16+1,1))</f>
        <v>278.45534008146865</v>
      </c>
      <c r="FK102" s="59">
        <f t="shared" si="102"/>
        <v>272.97841038165217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53.056494196753299</v>
      </c>
      <c r="FR102" s="21">
        <f>EXP(-LN(2)/25)*FR101+(1-EXP(-LN(2)/25))/(LN(2)/25)*Calculateur!FM102*Calculateur!FO102*VLOOKUP('Données projet'!$B$16,Paramètres!$A$1:$I$89,3,0)*0.475*44/12</f>
        <v>1.2518776097958288</v>
      </c>
      <c r="FS102" s="21">
        <f>EXP(-LN(2)/2)*FS101+(1-EXP(-LN(2)/2))/(LN(2)/2)*FM102*FP102*VLOOKUP('Données projet'!$B$16,Paramètres!$A$1:$I$89,3,0)*0.475*44/12</f>
        <v>5.2963046581685373E-2</v>
      </c>
      <c r="FT102" s="22">
        <f t="shared" si="78"/>
        <v>54.361334853130813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5.7</v>
      </c>
      <c r="N103" s="13">
        <f>IF('Données projet'!$A$36&gt;35,N102+M103-V102,IF(A103&lt;'Données projet'!$A$36,$K$205^A103,IF(A103='Données projet'!$A$36,'Données projet'!$B$36,N102+M103-V102)))</f>
        <v>244.89999999999992</v>
      </c>
      <c r="O103" s="13">
        <f>N103*VLOOKUP('Données projet'!$B$9,Paramètres!$A$1:$I$89,3,0)*VLOOKUP('Données projet'!$B$9,Paramètres!$A$1:$I$89,5,0)</f>
        <v>221.58551999999992</v>
      </c>
      <c r="P103" s="13">
        <f t="shared" si="87"/>
        <v>54.459346503207058</v>
      </c>
      <c r="Q103" s="20">
        <f t="shared" si="107"/>
        <v>480.77814249308557</v>
      </c>
      <c r="R103" s="59">
        <f t="shared" si="55"/>
        <v>774.11147582641888</v>
      </c>
      <c r="S103" s="59">
        <f ca="1">AVERAGE(OFFSET($R$3,0,0,'Données projet'!$E$9+1,1))-AVERAGE(OFFSET($H$3,0,0,'Données projet'!$E$9+1,1))</f>
        <v>436.03161778768742</v>
      </c>
      <c r="T103" s="59">
        <f t="shared" si="88"/>
        <v>217.65884352525285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5.05930279149044</v>
      </c>
      <c r="AA103" s="21">
        <f>EXP(-LN(2)/25)*AA102+(1-EXP(-LN(2)/25))/(LN(2)/25)*Calculateur!V103*Calculateur!X103*VLOOKUP('Données projet'!$B$9,Paramètres!$A$1:$I$89,3,0)*0.475*44/12</f>
        <v>21.303520986037359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26.362823777527801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5.7</v>
      </c>
      <c r="AI103" s="13">
        <f>IF('Données projet'!$A$62&gt;35,AI102+AH103-AQ102,IF(A103&lt;'Données projet'!$A$62,$AF$205^A103,IF(A103='Données projet'!$A$62,'Données projet'!$B$62,AI102+AH103-AQ102)))</f>
        <v>244.89999999999992</v>
      </c>
      <c r="AJ103" s="13">
        <f>AI103*VLOOKUP('Données projet'!$B$10,Paramètres!$A$1:$I$89,3,0)*VLOOKUP('Données projet'!$B$10,Paramètres!$A$1:$I$89,5,0)</f>
        <v>248.32859999999991</v>
      </c>
      <c r="AK103" s="13">
        <f t="shared" si="89"/>
        <v>60.227896088716427</v>
      </c>
      <c r="AL103" s="20">
        <f t="shared" si="58"/>
        <v>537.40256402118098</v>
      </c>
      <c r="AM103" s="59">
        <f t="shared" si="59"/>
        <v>830.73589735451424</v>
      </c>
      <c r="AN103" s="59">
        <f ca="1">AVERAGE(OFFSET($AM$3,0,0,'Données projet'!$E$10+1,1))-AVERAGE(OFFSET($H$3,0,0,'Données projet'!$E$10+1,1))</f>
        <v>483.45320081988984</v>
      </c>
      <c r="AO103" s="59">
        <f t="shared" si="90"/>
        <v>238.92443174298893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5.6699083008082525</v>
      </c>
      <c r="AV103" s="21">
        <f>EXP(-LN(2)/25)*AV102+(1-EXP(-LN(2)/25))/(LN(2)/25)*Calculateur!AQ103*Calculateur!AS103*VLOOKUP('Données projet'!$B$10,Paramètres!$A$1:$I$89,3,0)*0.475*44/12</f>
        <v>23.874635587800487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29.544543888608739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1.7053025658242404E-13</v>
      </c>
      <c r="BE103" s="13">
        <f>BD103*VLOOKUP('Données projet'!$B$11,Paramètres!$A$1:$I$89,3,0)*VLOOKUP('Données projet'!$B$11,Paramètres!$A$1:$I$89,5,0)</f>
        <v>1.4897523215040567E-13</v>
      </c>
      <c r="BF103" s="13">
        <f t="shared" si="91"/>
        <v>2.136562777003313E-12</v>
      </c>
      <c r="BG103" s="20">
        <f t="shared" si="61"/>
        <v>3.9806453659427267E-12</v>
      </c>
      <c r="BH103" s="59">
        <f t="shared" si="62"/>
        <v>293.33333333333729</v>
      </c>
      <c r="BI103" s="59">
        <f ca="1">AVERAGE(OFFSET($BH$3,0,0,'Données projet'!$E$11+1,1))-AVERAGE(OFFSET($H$3,0,0,'Données projet'!$E$11+1,1))</f>
        <v>310.44153296396854</v>
      </c>
      <c r="BJ103" s="59">
        <f t="shared" si="92"/>
        <v>388.05195847800502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44.916819121477907</v>
      </c>
      <c r="BQ103" s="21">
        <f>EXP(-LN(2)/25)*BQ102+(1-EXP(-LN(2)/25))/(LN(2)/25)*Calculateur!BL103*Calculateur!BN103*VLOOKUP('Données projet'!$B$11,Paramètres!$A$1:$I$89,3,0)*0.475*44/12</f>
        <v>2.3089371734462878</v>
      </c>
      <c r="BR103" s="21">
        <f>EXP(-LN(2)/2)*BR102+(1-EXP(-LN(2)/2))/(LN(2)/2)*BL103*BO103*VLOOKUP('Données projet'!$B$11,Paramètres!$A$1:$I$89,3,0)*0.475*44/12</f>
        <v>1.257037627139843E-3</v>
      </c>
      <c r="BS103" s="22">
        <f t="shared" si="63"/>
        <v>47.227013332551337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-2.2737367544323206E-13</v>
      </c>
      <c r="BZ103" s="13">
        <f>BY103*VLOOKUP('Données projet'!$B$12,Paramètres!$A$1:$I$89,3,0)*VLOOKUP('Données projet'!$B$12,Paramètres!$A$1:$I$89,5,0)</f>
        <v>-1.2710188457276673E-13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443.34220761968419</v>
      </c>
      <c r="CE103" s="59">
        <f t="shared" si="94"/>
        <v>546.58234447298014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115.21987131179216</v>
      </c>
      <c r="CL103" s="21">
        <f>EXP(-LN(2)/25)*CL102+(1-EXP(-LN(2)/25))/(LN(2)/25)*Calculateur!CG103*Calculateur!CI103*VLOOKUP('Données projet'!$B$12,Paramètres!$A$1:$I$89,3,0)*0.475*44/12</f>
        <v>20.002035543267823</v>
      </c>
      <c r="CM103" s="21">
        <f>EXP(-LN(2)/2)*CM102+(1-EXP(-LN(2)/2))/(LN(2)/2)*CG103*CJ103*VLOOKUP('Données projet'!$B$12,Paramètres!$A$1:$I$89,3,0)*0.475*44/12</f>
        <v>4.1187677554261019E-5</v>
      </c>
      <c r="CN103" s="22">
        <f t="shared" si="66"/>
        <v>135.22194804273755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>
        <f>CT103*VLOOKUP('Données projet'!$B$13,Paramètres!$A$1:$I$89,3,0)*VLOOKUP('Données projet'!$B$13,Paramètres!$A$1:$I$89,5,0)</f>
        <v>0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214.22606988805535</v>
      </c>
      <c r="CZ103" s="59">
        <f t="shared" si="96"/>
        <v>305.78163836959078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64.648975034813631</v>
      </c>
      <c r="DG103" s="21">
        <f>EXP(-LN(2)/25)*DG102+(1-EXP(-LN(2)/25))/(LN(2)/25)*Calculateur!DB103*Calculateur!DD103*VLOOKUP('Données projet'!$B$13,Paramètres!$A$1:$I$89,3,0)*0.475*44/12</f>
        <v>11.722545843546312</v>
      </c>
      <c r="DH103" s="21">
        <f>EXP(-LN(2)/2)*DH102+(1-EXP(-LN(2)/2))/(LN(2)/2)*DB103*DE103*VLOOKUP('Données projet'!$B$13,Paramètres!$A$1:$I$89,3,0)*0.475*44/12</f>
        <v>1.8001037027650686E-5</v>
      </c>
      <c r="DI103" s="22">
        <f t="shared" si="69"/>
        <v>76.371538879396979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-1.7053025658242404E-13</v>
      </c>
      <c r="DP103" s="17">
        <f>DO103*VLOOKUP('Données projet'!$B$14,Paramètres!$A$1:$I$89,3,0)*VLOOKUP('Données projet'!$B$14,Paramètres!$A$1:$I$89,5,0)</f>
        <v>-1.383341441396624E-13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304.26232113495314</v>
      </c>
      <c r="DU103" s="59">
        <f t="shared" si="98"/>
        <v>297.47246687305056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70.933369854526845</v>
      </c>
      <c r="EB103" s="21">
        <f>EXP(-LN(2)/25)*EB102+(1-EXP(-LN(2)/25))/(LN(2)/25)*Calculateur!DW103*Calculateur!DY103*VLOOKUP('Données projet'!$B$14,Paramètres!$A$1:$I$89,3,0)*0.475*44/12</f>
        <v>1.660479705191207</v>
      </c>
      <c r="EC103" s="21">
        <f>EXP(-LN(2)/2)*EC102+(1-EXP(-LN(2)/2))/(LN(2)/2)*DW103*DZ103*VLOOKUP('Données projet'!$B$14,Paramètres!$A$1:$I$89,3,0)*0.475*44/12</f>
        <v>4.143462826150756E-2</v>
      </c>
      <c r="ED103" s="22">
        <f t="shared" si="72"/>
        <v>72.635284187979565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-1.7053025658242404E-13</v>
      </c>
      <c r="EK103" s="17">
        <f>EJ103*VLOOKUP('Données projet'!$B$15,Paramètres!$A$1:$I$89,3,0)*VLOOKUP('Données projet'!$B$15,Paramètres!$A$1:$I$89,5,0)</f>
        <v>-1.6493686416652052E-13</v>
      </c>
      <c r="EL103" s="13" t="e">
        <f t="shared" si="99"/>
        <v>#NUM!</v>
      </c>
      <c r="EM103" s="20" t="e">
        <f t="shared" si="73"/>
        <v>#NUM!</v>
      </c>
      <c r="EN103" s="59" t="e">
        <f t="shared" si="74"/>
        <v>#NUM!</v>
      </c>
      <c r="EO103" s="59">
        <f ca="1">AVERAGE(OFFSET($EN$3,0,0,'Données projet'!$E$15+1,1))-AVERAGE(OFFSET($H$3,0,0,'Données projet'!$E$15+1,1))</f>
        <v>355.72173590705142</v>
      </c>
      <c r="EP103" s="59">
        <f t="shared" si="100"/>
        <v>346.30980704469363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68.616968081338356</v>
      </c>
      <c r="EW103" s="21">
        <f>EXP(-LN(2)/25)*EW102+(1-EXP(-LN(2)/25))/(LN(2)/25)*Calculateur!ER103*Calculateur!ET103*VLOOKUP('Données projet'!$B$15,Paramètres!$A$1:$I$89,3,0)*0.475*44/12</f>
        <v>1.6062550413787215</v>
      </c>
      <c r="EX103" s="21">
        <f>EXP(-LN(2)/2)*EX102+(1-EXP(-LN(2)/2))/(LN(2)/2)*ER103*EU103*VLOOKUP('Données projet'!$B$15,Paramètres!$A$1:$I$89,3,0)*0.475*44/12</f>
        <v>4.9402826004105081E-2</v>
      </c>
      <c r="EY103" s="22">
        <f t="shared" si="75"/>
        <v>70.272625948721185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-1.7053025658242404E-13</v>
      </c>
      <c r="FF103" s="17">
        <f>FE103*VLOOKUP('Données projet'!$B$16,Paramètres!$A$1:$I$89,3,0)*VLOOKUP('Données projet'!$B$16,Paramètres!$A$1:$I$89,5,0)</f>
        <v>-1.250327841262333E-13</v>
      </c>
      <c r="FG103" s="13" t="e">
        <f t="shared" si="101"/>
        <v>#NUM!</v>
      </c>
      <c r="FH103" s="20" t="e">
        <f t="shared" si="76"/>
        <v>#NUM!</v>
      </c>
      <c r="FI103" s="59" t="e">
        <f t="shared" si="77"/>
        <v>#NUM!</v>
      </c>
      <c r="FJ103" s="59">
        <f ca="1">AVERAGE(OFFSET($FI$3,0,0,'Données projet'!$E$16+1,1))-AVERAGE(OFFSET($H$3,0,0,'Données projet'!$E$16+1,1))</f>
        <v>278.45534008146865</v>
      </c>
      <c r="FK103" s="59">
        <f t="shared" si="102"/>
        <v>272.97841038165217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52.016088706821016</v>
      </c>
      <c r="FR103" s="21">
        <f>EXP(-LN(2)/25)*FR102+(1-EXP(-LN(2)/25))/(LN(2)/25)*Calculateur!FM103*Calculateur!FO103*VLOOKUP('Données projet'!$B$16,Paramètres!$A$1:$I$89,3,0)*0.475*44/12</f>
        <v>1.2176449507225797</v>
      </c>
      <c r="FS103" s="21">
        <f>EXP(-LN(2)/2)*FS102+(1-EXP(-LN(2)/2))/(LN(2)/2)*FM103*FP103*VLOOKUP('Données projet'!$B$16,Paramètres!$A$1:$I$89,3,0)*0.475*44/12</f>
        <v>3.7450529390208723E-2</v>
      </c>
      <c r="FT103" s="22">
        <f t="shared" si="78"/>
        <v>53.271184186933802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5.7</v>
      </c>
      <c r="N104" s="13">
        <f>IF('Données projet'!$A$36&gt;35,N103+M104-V103,IF(A104&lt;'Données projet'!$A$36,$K$205^A104,IF(A104='Données projet'!$A$36,'Données projet'!$B$36,N103+M104-V103)))</f>
        <v>250.59999999999991</v>
      </c>
      <c r="O104" s="13">
        <f>N104*VLOOKUP('Données projet'!$B$9,Paramètres!$A$1:$I$89,3,0)*VLOOKUP('Données projet'!$B$9,Paramètres!$A$1:$I$89,5,0)</f>
        <v>226.7428799999999</v>
      </c>
      <c r="P104" s="13">
        <f t="shared" si="87"/>
        <v>55.577832502933106</v>
      </c>
      <c r="Q104" s="20">
        <f t="shared" si="107"/>
        <v>491.70857427594166</v>
      </c>
      <c r="R104" s="59">
        <f t="shared" si="55"/>
        <v>785.04190760927497</v>
      </c>
      <c r="S104" s="59">
        <f ca="1">AVERAGE(OFFSET($R$3,0,0,'Données projet'!$E$9+1,1))-AVERAGE(OFFSET($H$3,0,0,'Données projet'!$E$9+1,1))</f>
        <v>436.03161778768742</v>
      </c>
      <c r="T104" s="59">
        <f t="shared" si="88"/>
        <v>217.65884352525285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4.9600929496193107</v>
      </c>
      <c r="AA104" s="21">
        <f>EXP(-LN(2)/25)*AA103+(1-EXP(-LN(2)/25))/(LN(2)/25)*Calculateur!V104*Calculateur!X104*VLOOKUP('Données projet'!$B$9,Paramètres!$A$1:$I$89,3,0)*0.475*44/12</f>
        <v>20.720975084370689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25.681068033990002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5.7</v>
      </c>
      <c r="AI104" s="13">
        <f>IF('Données projet'!$A$62&gt;35,AI103+AH104-AQ103,IF(A104&lt;'Données projet'!$A$62,$AF$205^A104,IF(A104='Données projet'!$A$62,'Données projet'!$B$62,AI103+AH104-AQ103)))</f>
        <v>250.59999999999991</v>
      </c>
      <c r="AJ104" s="13">
        <f>AI104*VLOOKUP('Données projet'!$B$10,Paramètres!$A$1:$I$89,3,0)*VLOOKUP('Données projet'!$B$10,Paramètres!$A$1:$I$89,5,0)</f>
        <v>254.10839999999993</v>
      </c>
      <c r="AK104" s="13">
        <f t="shared" si="89"/>
        <v>61.464856553605912</v>
      </c>
      <c r="AL104" s="20">
        <f t="shared" si="58"/>
        <v>549.62342183086355</v>
      </c>
      <c r="AM104" s="59">
        <f t="shared" si="59"/>
        <v>842.95675516419692</v>
      </c>
      <c r="AN104" s="59">
        <f ca="1">AVERAGE(OFFSET($AM$3,0,0,'Données projet'!$E$10+1,1))-AVERAGE(OFFSET($H$3,0,0,'Données projet'!$E$10+1,1))</f>
        <v>483.45320081988984</v>
      </c>
      <c r="AO104" s="59">
        <f t="shared" si="90"/>
        <v>238.92443174298893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5.5587248573319874</v>
      </c>
      <c r="AV104" s="21">
        <f>EXP(-LN(2)/25)*AV103+(1-EXP(-LN(2)/25))/(LN(2)/25)*Calculateur!AQ104*Calculateur!AS104*VLOOKUP('Données projet'!$B$10,Paramètres!$A$1:$I$89,3,0)*0.475*44/12</f>
        <v>23.221782422139562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28.78050727947155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1.7053025658242404E-13</v>
      </c>
      <c r="BE104" s="13">
        <f>BD104*VLOOKUP('Données projet'!$B$11,Paramètres!$A$1:$I$89,3,0)*VLOOKUP('Données projet'!$B$11,Paramètres!$A$1:$I$89,5,0)</f>
        <v>1.4897523215040567E-13</v>
      </c>
      <c r="BF104" s="13">
        <f t="shared" si="91"/>
        <v>2.136562777003313E-12</v>
      </c>
      <c r="BG104" s="20">
        <f t="shared" si="61"/>
        <v>3.9806453659427267E-12</v>
      </c>
      <c r="BH104" s="59">
        <f t="shared" si="62"/>
        <v>293.33333333333729</v>
      </c>
      <c r="BI104" s="59">
        <f ca="1">AVERAGE(OFFSET($BH$3,0,0,'Données projet'!$E$11+1,1))-AVERAGE(OFFSET($H$3,0,0,'Données projet'!$E$11+1,1))</f>
        <v>310.44153296396854</v>
      </c>
      <c r="BJ104" s="59">
        <f t="shared" si="92"/>
        <v>388.05195847800502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44.036027695060206</v>
      </c>
      <c r="BQ104" s="21">
        <f>EXP(-LN(2)/25)*BQ103+(1-EXP(-LN(2)/25))/(LN(2)/25)*Calculateur!BL104*Calculateur!BN104*VLOOKUP('Données projet'!$B$11,Paramètres!$A$1:$I$89,3,0)*0.475*44/12</f>
        <v>2.2457991650166704</v>
      </c>
      <c r="BR104" s="21">
        <f>EXP(-LN(2)/2)*BR103+(1-EXP(-LN(2)/2))/(LN(2)/2)*BL104*BO104*VLOOKUP('Données projet'!$B$11,Paramètres!$A$1:$I$89,3,0)*0.475*44/12</f>
        <v>8.888598303572299E-4</v>
      </c>
      <c r="BS104" s="22">
        <f t="shared" si="63"/>
        <v>46.28271571990723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-2.2737367544323206E-13</v>
      </c>
      <c r="BZ104" s="13">
        <f>BY104*VLOOKUP('Données projet'!$B$12,Paramètres!$A$1:$I$89,3,0)*VLOOKUP('Données projet'!$B$12,Paramètres!$A$1:$I$89,5,0)</f>
        <v>-1.2710188457276673E-13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443.34220761968419</v>
      </c>
      <c r="CE104" s="59">
        <f t="shared" si="94"/>
        <v>546.58234447298014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112.96047991255013</v>
      </c>
      <c r="CL104" s="21">
        <f>EXP(-LN(2)/25)*CL103+(1-EXP(-LN(2)/25))/(LN(2)/25)*Calculateur!CG104*Calculateur!CI104*VLOOKUP('Données projet'!$B$12,Paramètres!$A$1:$I$89,3,0)*0.475*44/12</f>
        <v>19.455078829475831</v>
      </c>
      <c r="CM104" s="21">
        <f>EXP(-LN(2)/2)*CM103+(1-EXP(-LN(2)/2))/(LN(2)/2)*CG104*CJ104*VLOOKUP('Données projet'!$B$12,Paramètres!$A$1:$I$89,3,0)*0.475*44/12</f>
        <v>2.9124086099942925E-5</v>
      </c>
      <c r="CN104" s="22">
        <f t="shared" si="66"/>
        <v>132.41558786611205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>
        <f>CT104*VLOOKUP('Données projet'!$B$13,Paramètres!$A$1:$I$89,3,0)*VLOOKUP('Données projet'!$B$13,Paramètres!$A$1:$I$89,5,0)</f>
        <v>0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214.22606988805535</v>
      </c>
      <c r="CZ104" s="59">
        <f t="shared" si="96"/>
        <v>305.78163836959078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63.381248066362126</v>
      </c>
      <c r="DG104" s="21">
        <f>EXP(-LN(2)/25)*DG103+(1-EXP(-LN(2)/25))/(LN(2)/25)*Calculateur!DB104*Calculateur!DD104*VLOOKUP('Données projet'!$B$13,Paramètres!$A$1:$I$89,3,0)*0.475*44/12</f>
        <v>11.401992210992644</v>
      </c>
      <c r="DH104" s="21">
        <f>EXP(-LN(2)/2)*DH103+(1-EXP(-LN(2)/2))/(LN(2)/2)*DB104*DE104*VLOOKUP('Données projet'!$B$13,Paramètres!$A$1:$I$89,3,0)*0.475*44/12</f>
        <v>1.2728655350641934E-5</v>
      </c>
      <c r="DI104" s="22">
        <f t="shared" si="69"/>
        <v>74.783253006010113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-1.7053025658242404E-13</v>
      </c>
      <c r="DP104" s="17">
        <f>DO104*VLOOKUP('Données projet'!$B$14,Paramètres!$A$1:$I$89,3,0)*VLOOKUP('Données projet'!$B$14,Paramètres!$A$1:$I$89,5,0)</f>
        <v>-1.383341441396624E-13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304.26232113495314</v>
      </c>
      <c r="DU104" s="59">
        <f t="shared" si="98"/>
        <v>297.47246687305056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69.542409736763119</v>
      </c>
      <c r="EB104" s="21">
        <f>EXP(-LN(2)/25)*EB103+(1-EXP(-LN(2)/25))/(LN(2)/25)*Calculateur!DW104*Calculateur!DY104*VLOOKUP('Données projet'!$B$14,Paramètres!$A$1:$I$89,3,0)*0.475*44/12</f>
        <v>1.6150738003319209</v>
      </c>
      <c r="EC104" s="21">
        <f>EXP(-LN(2)/2)*EC103+(1-EXP(-LN(2)/2))/(LN(2)/2)*DW104*DZ104*VLOOKUP('Données projet'!$B$14,Paramètres!$A$1:$I$89,3,0)*0.475*44/12</f>
        <v>2.9298706619655765E-2</v>
      </c>
      <c r="ED104" s="22">
        <f t="shared" si="72"/>
        <v>71.186782243714703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-1.7053025658242404E-13</v>
      </c>
      <c r="EK104" s="17">
        <f>EJ104*VLOOKUP('Données projet'!$B$15,Paramètres!$A$1:$I$89,3,0)*VLOOKUP('Données projet'!$B$15,Paramètres!$A$1:$I$89,5,0)</f>
        <v>-1.6493686416652052E-13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355.72173590705142</v>
      </c>
      <c r="EP104" s="59">
        <f t="shared" si="100"/>
        <v>346.30980704469363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67.271431189481277</v>
      </c>
      <c r="EW104" s="21">
        <f>EXP(-LN(2)/25)*EW103+(1-EXP(-LN(2)/25))/(LN(2)/25)*Calculateur!ER104*Calculateur!ET104*VLOOKUP('Données projet'!$B$15,Paramètres!$A$1:$I$89,3,0)*0.475*44/12</f>
        <v>1.5623319128029389</v>
      </c>
      <c r="EX104" s="21">
        <f>EXP(-LN(2)/2)*EX103+(1-EXP(-LN(2)/2))/(LN(2)/2)*ER104*EU104*VLOOKUP('Données projet'!$B$15,Paramètres!$A$1:$I$89,3,0)*0.475*44/12</f>
        <v>3.4933073277281811E-2</v>
      </c>
      <c r="EY104" s="22">
        <f t="shared" si="75"/>
        <v>68.868696175561496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-1.7053025658242404E-13</v>
      </c>
      <c r="FF104" s="17">
        <f>FE104*VLOOKUP('Données projet'!$B$16,Paramètres!$A$1:$I$89,3,0)*VLOOKUP('Données projet'!$B$16,Paramètres!$A$1:$I$89,5,0)</f>
        <v>-1.250327841262333E-13</v>
      </c>
      <c r="FG104" s="13" t="e">
        <f t="shared" si="101"/>
        <v>#NUM!</v>
      </c>
      <c r="FH104" s="20" t="e">
        <f t="shared" si="76"/>
        <v>#NUM!</v>
      </c>
      <c r="FI104" s="59" t="e">
        <f t="shared" si="77"/>
        <v>#NUM!</v>
      </c>
      <c r="FJ104" s="59">
        <f ca="1">AVERAGE(OFFSET($FI$3,0,0,'Données projet'!$E$16+1,1))-AVERAGE(OFFSET($H$3,0,0,'Données projet'!$E$16+1,1))</f>
        <v>278.45534008146865</v>
      </c>
      <c r="FK104" s="59">
        <f t="shared" si="102"/>
        <v>272.97841038165217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50.996084933961619</v>
      </c>
      <c r="FR104" s="21">
        <f>EXP(-LN(2)/25)*FR103+(1-EXP(-LN(2)/25))/(LN(2)/25)*Calculateur!FM104*Calculateur!FO104*VLOOKUP('Données projet'!$B$16,Paramètres!$A$1:$I$89,3,0)*0.475*44/12</f>
        <v>1.1843483855119057</v>
      </c>
      <c r="FS104" s="21">
        <f>EXP(-LN(2)/2)*FS103+(1-EXP(-LN(2)/2))/(LN(2)/2)*FM104*FP104*VLOOKUP('Données projet'!$B$16,Paramètres!$A$1:$I$89,3,0)*0.475*44/12</f>
        <v>2.6481523290842687E-2</v>
      </c>
      <c r="FT104" s="22">
        <f t="shared" si="78"/>
        <v>52.206914842764363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5.7</v>
      </c>
      <c r="N105" s="13">
        <f>IF('Données projet'!$A$36&gt;35,N104+M105-V104,IF(A105&lt;'Données projet'!$A$36,$K$205^A105,IF(A105='Données projet'!$A$36,'Données projet'!$B$36,N104+M105-V104)))</f>
        <v>256.2999999999999</v>
      </c>
      <c r="O105" s="13">
        <f>N105*VLOOKUP('Données projet'!$B$9,Paramètres!$A$1:$I$89,3,0)*VLOOKUP('Données projet'!$B$9,Paramètres!$A$1:$I$89,5,0)</f>
        <v>231.90023999999991</v>
      </c>
      <c r="P105" s="13">
        <f t="shared" si="87"/>
        <v>56.693360884405195</v>
      </c>
      <c r="Q105" s="20">
        <f t="shared" si="107"/>
        <v>502.63385487367213</v>
      </c>
      <c r="R105" s="59">
        <f t="shared" si="55"/>
        <v>795.96718820700539</v>
      </c>
      <c r="S105" s="59">
        <f ca="1">AVERAGE(OFFSET($R$3,0,0,'Données projet'!$E$9+1,1))-AVERAGE(OFFSET($H$3,0,0,'Données projet'!$E$9+1,1))</f>
        <v>436.03161778768742</v>
      </c>
      <c r="T105" s="59">
        <f t="shared" si="88"/>
        <v>217.65884352525285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4.8628285522352463</v>
      </c>
      <c r="AA105" s="21">
        <f>EXP(-LN(2)/25)*AA104+(1-EXP(-LN(2)/25))/(LN(2)/25)*Calculateur!V105*Calculateur!X105*VLOOKUP('Données projet'!$B$9,Paramètres!$A$1:$I$89,3,0)*0.475*44/12</f>
        <v>20.15435893101985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25.017187483255096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5.7</v>
      </c>
      <c r="AI105" s="13">
        <f>IF('Données projet'!$A$62&gt;35,AI104+AH105-AQ104,IF(A105&lt;'Données projet'!$A$62,$AF$205^A105,IF(A105='Données projet'!$A$62,'Données projet'!$B$62,AI104+AH105-AQ104)))</f>
        <v>256.2999999999999</v>
      </c>
      <c r="AJ105" s="13">
        <f>AI105*VLOOKUP('Données projet'!$B$10,Paramètres!$A$1:$I$89,3,0)*VLOOKUP('Données projet'!$B$10,Paramètres!$A$1:$I$89,5,0)</f>
        <v>259.88819999999993</v>
      </c>
      <c r="AK105" s="13">
        <f t="shared" si="89"/>
        <v>62.69854611760686</v>
      </c>
      <c r="AL105" s="20">
        <f t="shared" si="58"/>
        <v>561.83858282149833</v>
      </c>
      <c r="AM105" s="59">
        <f t="shared" si="59"/>
        <v>855.17191615483171</v>
      </c>
      <c r="AN105" s="59">
        <f ca="1">AVERAGE(OFFSET($AM$3,0,0,'Données projet'!$E$10+1,1))-AVERAGE(OFFSET($H$3,0,0,'Données projet'!$E$10+1,1))</f>
        <v>483.45320081988984</v>
      </c>
      <c r="AO105" s="59">
        <f t="shared" si="90"/>
        <v>238.92443174298893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5.4497216533670869</v>
      </c>
      <c r="AV105" s="21">
        <f>EXP(-LN(2)/25)*AV104+(1-EXP(-LN(2)/25))/(LN(2)/25)*Calculateur!AQ105*Calculateur!AS105*VLOOKUP('Données projet'!$B$10,Paramètres!$A$1:$I$89,3,0)*0.475*44/12</f>
        <v>22.586781560625692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28.036503213992781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1.7053025658242404E-13</v>
      </c>
      <c r="BE105" s="13">
        <f>BD105*VLOOKUP('Données projet'!$B$11,Paramètres!$A$1:$I$89,3,0)*VLOOKUP('Données projet'!$B$11,Paramètres!$A$1:$I$89,5,0)</f>
        <v>1.4897523215040567E-13</v>
      </c>
      <c r="BF105" s="13">
        <f t="shared" si="91"/>
        <v>2.136562777003313E-12</v>
      </c>
      <c r="BG105" s="20">
        <f t="shared" si="61"/>
        <v>3.9806453659427267E-12</v>
      </c>
      <c r="BH105" s="59">
        <f t="shared" si="62"/>
        <v>293.33333333333729</v>
      </c>
      <c r="BI105" s="59">
        <f ca="1">AVERAGE(OFFSET($BH$3,0,0,'Données projet'!$E$11+1,1))-AVERAGE(OFFSET($H$3,0,0,'Données projet'!$E$11+1,1))</f>
        <v>310.44153296396854</v>
      </c>
      <c r="BJ105" s="59">
        <f t="shared" si="92"/>
        <v>388.05195847800502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43.172508051284829</v>
      </c>
      <c r="BQ105" s="21">
        <f>EXP(-LN(2)/25)*BQ104+(1-EXP(-LN(2)/25))/(LN(2)/25)*Calculateur!BL105*Calculateur!BN105*VLOOKUP('Données projet'!$B$11,Paramètres!$A$1:$I$89,3,0)*0.475*44/12</f>
        <v>2.1843876687478443</v>
      </c>
      <c r="BR105" s="21">
        <f>EXP(-LN(2)/2)*BR104+(1-EXP(-LN(2)/2))/(LN(2)/2)*BL105*BO105*VLOOKUP('Données projet'!$B$11,Paramètres!$A$1:$I$89,3,0)*0.475*44/12</f>
        <v>6.285188135699215E-4</v>
      </c>
      <c r="BS105" s="22">
        <f t="shared" si="63"/>
        <v>45.357524238846246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-2.2737367544323206E-13</v>
      </c>
      <c r="BZ105" s="13">
        <f>BY105*VLOOKUP('Données projet'!$B$12,Paramètres!$A$1:$I$89,3,0)*VLOOKUP('Données projet'!$B$12,Paramètres!$A$1:$I$89,5,0)</f>
        <v>-1.2710188457276673E-13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443.34220761968419</v>
      </c>
      <c r="CE105" s="59">
        <f t="shared" si="94"/>
        <v>546.58234447298014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110.74539380055455</v>
      </c>
      <c r="CL105" s="21">
        <f>EXP(-LN(2)/25)*CL104+(1-EXP(-LN(2)/25))/(LN(2)/25)*Calculateur!CG105*Calculateur!CI105*VLOOKUP('Données projet'!$B$12,Paramètres!$A$1:$I$89,3,0)*0.475*44/12</f>
        <v>18.923078675785682</v>
      </c>
      <c r="CM105" s="21">
        <f>EXP(-LN(2)/2)*CM104+(1-EXP(-LN(2)/2))/(LN(2)/2)*CG105*CJ105*VLOOKUP('Données projet'!$B$12,Paramètres!$A$1:$I$89,3,0)*0.475*44/12</f>
        <v>2.0593838777130513E-5</v>
      </c>
      <c r="CN105" s="22">
        <f t="shared" si="66"/>
        <v>129.66849307017901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>
        <f>CT105*VLOOKUP('Données projet'!$B$13,Paramètres!$A$1:$I$89,3,0)*VLOOKUP('Données projet'!$B$13,Paramètres!$A$1:$I$89,5,0)</f>
        <v>0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214.22606988805535</v>
      </c>
      <c r="CZ105" s="59">
        <f t="shared" si="96"/>
        <v>305.78163836959078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62.138380450524849</v>
      </c>
      <c r="DG105" s="21">
        <f>EXP(-LN(2)/25)*DG104+(1-EXP(-LN(2)/25))/(LN(2)/25)*Calculateur!DB105*Calculateur!DD105*VLOOKUP('Données projet'!$B$13,Paramètres!$A$1:$I$89,3,0)*0.475*44/12</f>
        <v>11.09020413437834</v>
      </c>
      <c r="DH105" s="21">
        <f>EXP(-LN(2)/2)*DH104+(1-EXP(-LN(2)/2))/(LN(2)/2)*DB105*DE105*VLOOKUP('Données projet'!$B$13,Paramètres!$A$1:$I$89,3,0)*0.475*44/12</f>
        <v>9.0005185138253432E-6</v>
      </c>
      <c r="DI105" s="22">
        <f t="shared" si="69"/>
        <v>73.228593585421706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-1.7053025658242404E-13</v>
      </c>
      <c r="DP105" s="17">
        <f>DO105*VLOOKUP('Données projet'!$B$14,Paramètres!$A$1:$I$89,3,0)*VLOOKUP('Données projet'!$B$14,Paramètres!$A$1:$I$89,5,0)</f>
        <v>-1.383341441396624E-13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304.26232113495314</v>
      </c>
      <c r="DU105" s="59">
        <f t="shared" si="98"/>
        <v>297.47246687305056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68.178725498506836</v>
      </c>
      <c r="EB105" s="21">
        <f>EXP(-LN(2)/25)*EB104+(1-EXP(-LN(2)/25))/(LN(2)/25)*Calculateur!DW105*Calculateur!DY105*VLOOKUP('Données projet'!$B$14,Paramètres!$A$1:$I$89,3,0)*0.475*44/12</f>
        <v>1.5709095223288048</v>
      </c>
      <c r="EC105" s="21">
        <f>EXP(-LN(2)/2)*EC104+(1-EXP(-LN(2)/2))/(LN(2)/2)*DW105*DZ105*VLOOKUP('Données projet'!$B$14,Paramètres!$A$1:$I$89,3,0)*0.475*44/12</f>
        <v>2.0717314130753783E-2</v>
      </c>
      <c r="ED105" s="22">
        <f t="shared" si="72"/>
        <v>69.77035233496639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-1.7053025658242404E-13</v>
      </c>
      <c r="EK105" s="17">
        <f>EJ105*VLOOKUP('Données projet'!$B$15,Paramètres!$A$1:$I$89,3,0)*VLOOKUP('Données projet'!$B$15,Paramètres!$A$1:$I$89,5,0)</f>
        <v>-1.6493686416652052E-13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355.72173590705142</v>
      </c>
      <c r="EP105" s="59">
        <f t="shared" si="100"/>
        <v>346.30980704469363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65.952279455377052</v>
      </c>
      <c r="EW105" s="21">
        <f>EXP(-LN(2)/25)*EW104+(1-EXP(-LN(2)/25))/(LN(2)/25)*Calculateur!ER105*Calculateur!ET105*VLOOKUP('Données projet'!$B$15,Paramètres!$A$1:$I$89,3,0)*0.475*44/12</f>
        <v>1.5196098644878779</v>
      </c>
      <c r="EX105" s="21">
        <f>EXP(-LN(2)/2)*EX104+(1-EXP(-LN(2)/2))/(LN(2)/2)*ER105*EU105*VLOOKUP('Données projet'!$B$15,Paramètres!$A$1:$I$89,3,0)*0.475*44/12</f>
        <v>2.4701413002052541E-2</v>
      </c>
      <c r="EY105" s="22">
        <f t="shared" si="75"/>
        <v>67.496590732866977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-1.7053025658242404E-13</v>
      </c>
      <c r="FF105" s="17">
        <f>FE105*VLOOKUP('Données projet'!$B$16,Paramètres!$A$1:$I$89,3,0)*VLOOKUP('Données projet'!$B$16,Paramètres!$A$1:$I$89,5,0)</f>
        <v>-1.250327841262333E-13</v>
      </c>
      <c r="FG105" s="13" t="e">
        <f t="shared" si="101"/>
        <v>#NUM!</v>
      </c>
      <c r="FH105" s="20" t="e">
        <f t="shared" si="76"/>
        <v>#NUM!</v>
      </c>
      <c r="FI105" s="59" t="e">
        <f t="shared" si="77"/>
        <v>#NUM!</v>
      </c>
      <c r="FJ105" s="59">
        <f ca="1">AVERAGE(OFFSET($FI$3,0,0,'Données projet'!$E$16+1,1))-AVERAGE(OFFSET($H$3,0,0,'Données projet'!$E$16+1,1))</f>
        <v>278.45534008146865</v>
      </c>
      <c r="FK105" s="59">
        <f t="shared" si="102"/>
        <v>272.97841038165217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49.996082812947122</v>
      </c>
      <c r="FR105" s="21">
        <f>EXP(-LN(2)/25)*FR104+(1-EXP(-LN(2)/25))/(LN(2)/25)*Calculateur!FM105*Calculateur!FO105*VLOOKUP('Données projet'!$B$16,Paramètres!$A$1:$I$89,3,0)*0.475*44/12</f>
        <v>1.1519623166279078</v>
      </c>
      <c r="FS105" s="21">
        <f>EXP(-LN(2)/2)*FS104+(1-EXP(-LN(2)/2))/(LN(2)/2)*FM105*FP105*VLOOKUP('Données projet'!$B$16,Paramètres!$A$1:$I$89,3,0)*0.475*44/12</f>
        <v>1.8725264695104361E-2</v>
      </c>
      <c r="FT105" s="22">
        <f t="shared" si="78"/>
        <v>51.166770394270138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>
        <f>VLOOKUP(A106,'Données projet'!$A$35:$I$55,2,0)</f>
        <v>262</v>
      </c>
      <c r="L106" s="12">
        <f>VLOOKUP(A106,'Données projet'!$A$35:$I$55,9,0)</f>
        <v>5.7</v>
      </c>
      <c r="M106" s="12">
        <f t="array" ref="M106">INDEX(L:L,MIN(IF(ISNUMBER(L106:L302),ROW(L106:L302),"")))</f>
        <v>5.7</v>
      </c>
      <c r="N106" s="13">
        <f>IF('Données projet'!$A$36&gt;35,N105+M106-V105,IF(A106&lt;'Données projet'!$A$36,$K$205^A106,IF(A106='Données projet'!$A$36,'Données projet'!$B$36,N105+M106-V105)))</f>
        <v>261.99999999999989</v>
      </c>
      <c r="O106" s="13">
        <f>N106*VLOOKUP('Données projet'!$B$9,Paramètres!$A$1:$I$89,3,0)*VLOOKUP('Données projet'!$B$9,Paramètres!$A$1:$I$89,5,0)</f>
        <v>237.05759999999989</v>
      </c>
      <c r="P106" s="13">
        <f t="shared" si="87"/>
        <v>57.806004997354641</v>
      </c>
      <c r="Q106" s="20">
        <f t="shared" si="107"/>
        <v>513.5541120370591</v>
      </c>
      <c r="R106" s="59">
        <f t="shared" si="55"/>
        <v>806.88744537039247</v>
      </c>
      <c r="S106" s="59">
        <f ca="1">AVERAGE(OFFSET($R$3,0,0,'Données projet'!$E$9+1,1))-AVERAGE(OFFSET($H$3,0,0,'Données projet'!$E$9+1,1))</f>
        <v>436.03161778768742</v>
      </c>
      <c r="T106" s="59">
        <f t="shared" si="88"/>
        <v>217.65884352525285</v>
      </c>
      <c r="U106" s="15">
        <f>IF(ISNA(VLOOKUP(A106,'Données projet'!$A$35:$I$55,3,0)),0,VLOOKUP(A106,'Données projet'!$A$35:$I$55,3,0))</f>
        <v>8</v>
      </c>
      <c r="V106" s="15">
        <f>IF(ISNA(VLOOKUP(A106,'Données projet'!$A$35:$I$55,4,0)),0,VLOOKUP(A106,'Données projet'!$A$35:$I$55,4,0))</f>
        <v>38</v>
      </c>
      <c r="W106" s="16">
        <f>IF(ISNA(VLOOKUP(A106,'Données projet'!$A$35:$I$55,5,0)),0%,VLOOKUP(A106,'Données projet'!$A$35:$I$55,5,0)*VLOOKUP('Données projet'!$B$9,Paramètres!$A$1:$I$89,7,0))</f>
        <v>0.17200000000000001</v>
      </c>
      <c r="X106" s="16">
        <f>IF(ISNA(VLOOKUP(A106,'Données projet'!$A$35:$I$55,6,0)),0%,VLOOKUP(A106,'Données projet'!$A$35:$I$55,6,0)*VLOOKUP('Données projet'!$B$9,Paramètres!$A$1:$I$89,7,0))</f>
        <v>0.129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11.304972112046094</v>
      </c>
      <c r="AA106" s="21">
        <f>EXP(-LN(2)/25)*AA105+(1-EXP(-LN(2)/25))/(LN(2)/25)*Calculateur!V106*Calculateur!X106*VLOOKUP('Données projet'!$B$9,Paramètres!$A$1:$I$89,3,0)*0.475*44/12</f>
        <v>24.487056949129084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35.792029061175178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>
        <f>VLOOKUP(A106,'Données projet'!$A$61:$I$81,2,0)</f>
        <v>262</v>
      </c>
      <c r="AG106" s="12">
        <f>VLOOKUP(A106,'Données projet'!$A$61:$I$81,9,0)</f>
        <v>5.7</v>
      </c>
      <c r="AH106" s="12">
        <f t="array" ref="AH106">INDEX(AG:AG,MIN(IF(ISNUMBER(AG106:AG302),ROW(AG106:AG302),"")))</f>
        <v>5.7</v>
      </c>
      <c r="AI106" s="13">
        <f>IF('Données projet'!$A$62&gt;35,AI105+AH106-AQ105,IF(A106&lt;'Données projet'!$A$62,$AF$205^A106,IF(A106='Données projet'!$A$62,'Données projet'!$B$62,AI105+AH106-AQ105)))</f>
        <v>261.99999999999989</v>
      </c>
      <c r="AJ106" s="13">
        <f>AI106*VLOOKUP('Données projet'!$B$10,Paramètres!$A$1:$I$89,3,0)*VLOOKUP('Données projet'!$B$10,Paramètres!$A$1:$I$89,5,0)</f>
        <v>265.66799999999989</v>
      </c>
      <c r="AK106" s="13">
        <f t="shared" si="89"/>
        <v>63.929045899944349</v>
      </c>
      <c r="AL106" s="20">
        <f t="shared" si="58"/>
        <v>574.04818827573627</v>
      </c>
      <c r="AM106" s="59">
        <f t="shared" si="59"/>
        <v>867.38152160906952</v>
      </c>
      <c r="AN106" s="59">
        <f ca="1">AVERAGE(OFFSET($AM$3,0,0,'Données projet'!$E$10+1,1))-AVERAGE(OFFSET($H$3,0,0,'Données projet'!$E$10+1,1))</f>
        <v>483.45320081988984</v>
      </c>
      <c r="AO106" s="59">
        <f t="shared" si="90"/>
        <v>238.92443174298893</v>
      </c>
      <c r="AP106" s="15">
        <f>IF(ISNA(VLOOKUP(A106,'Données projet'!$A$61:$I$81,3,0)),0,VLOOKUP(A106,'Données projet'!$A$61:$I$81,3,0))</f>
        <v>8</v>
      </c>
      <c r="AQ106" s="15">
        <f>IF(ISNA(VLOOKUP(A106,'Données projet'!$A$61:$I$81,4,0)),0,VLOOKUP(A106,'Données projet'!$A$61:$I$81,4,0))</f>
        <v>38</v>
      </c>
      <c r="AR106" s="16">
        <f>IF(ISNA(VLOOKUP(A106,'Données projet'!$A$61:$I$81,5,0)),0%,VLOOKUP(A106,'Données projet'!$A$61:$I$81,5,0)*VLOOKUP('Données projet'!$B$10,Paramètres!$A$1:$I$89,7,0))</f>
        <v>0.17200000000000001</v>
      </c>
      <c r="AS106" s="16">
        <f>IF(ISNA(VLOOKUP(A106,'Données projet'!$A$61:$I$81,6,0)),0%,VLOOKUP(A106,'Données projet'!$A$61:$I$81,6,0)*VLOOKUP('Données projet'!$B$10,Paramètres!$A$1:$I$89,7,0))</f>
        <v>0.129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12.669365297982694</v>
      </c>
      <c r="AV106" s="21">
        <f>EXP(-LN(2)/25)*AV105+(1-EXP(-LN(2)/25))/(LN(2)/25)*Calculateur!AQ106*Calculateur!AS106*VLOOKUP('Données projet'!$B$10,Paramètres!$A$1:$I$89,3,0)*0.475*44/12</f>
        <v>27.442391408506733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40.11175670648943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1.7053025658242404E-13</v>
      </c>
      <c r="BE106" s="13">
        <f>BD106*VLOOKUP('Données projet'!$B$11,Paramètres!$A$1:$I$89,3,0)*VLOOKUP('Données projet'!$B$11,Paramètres!$A$1:$I$89,5,0)</f>
        <v>1.4897523215040567E-13</v>
      </c>
      <c r="BF106" s="13">
        <f t="shared" si="91"/>
        <v>2.136562777003313E-12</v>
      </c>
      <c r="BG106" s="20">
        <f t="shared" si="61"/>
        <v>3.9806453659427267E-12</v>
      </c>
      <c r="BH106" s="59">
        <f t="shared" si="62"/>
        <v>293.33333333333729</v>
      </c>
      <c r="BI106" s="59">
        <f ca="1">AVERAGE(OFFSET($BH$3,0,0,'Données projet'!$E$11+1,1))-AVERAGE(OFFSET($H$3,0,0,'Données projet'!$E$11+1,1))</f>
        <v>310.44153296396854</v>
      </c>
      <c r="BJ106" s="59">
        <f t="shared" si="92"/>
        <v>388.05195847800502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42.325921501028915</v>
      </c>
      <c r="BQ106" s="21">
        <f>EXP(-LN(2)/25)*BQ105+(1-EXP(-LN(2)/25))/(LN(2)/25)*Calculateur!BL106*Calculateur!BN106*VLOOKUP('Données projet'!$B$11,Paramètres!$A$1:$I$89,3,0)*0.475*44/12</f>
        <v>2.1246554730739793</v>
      </c>
      <c r="BR106" s="21">
        <f>EXP(-LN(2)/2)*BR105+(1-EXP(-LN(2)/2))/(LN(2)/2)*BL106*BO106*VLOOKUP('Données projet'!$B$11,Paramètres!$A$1:$I$89,3,0)*0.475*44/12</f>
        <v>4.4442991517861495E-4</v>
      </c>
      <c r="BS106" s="22">
        <f t="shared" si="63"/>
        <v>44.451021404018071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-2.2737367544323206E-13</v>
      </c>
      <c r="BZ106" s="13">
        <f>BY106*VLOOKUP('Données projet'!$B$12,Paramètres!$A$1:$I$89,3,0)*VLOOKUP('Données projet'!$B$12,Paramètres!$A$1:$I$89,5,0)</f>
        <v>-1.2710188457276673E-13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443.34220761968419</v>
      </c>
      <c r="CE106" s="59">
        <f t="shared" si="94"/>
        <v>546.58234447298014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108.57374417614608</v>
      </c>
      <c r="CL106" s="21">
        <f>EXP(-LN(2)/25)*CL105+(1-EXP(-LN(2)/25))/(LN(2)/25)*Calculateur!CG106*Calculateur!CI106*VLOOKUP('Données projet'!$B$12,Paramètres!$A$1:$I$89,3,0)*0.475*44/12</f>
        <v>18.405626094274865</v>
      </c>
      <c r="CM106" s="21">
        <f>EXP(-LN(2)/2)*CM105+(1-EXP(-LN(2)/2))/(LN(2)/2)*CG106*CJ106*VLOOKUP('Données projet'!$B$12,Paramètres!$A$1:$I$89,3,0)*0.475*44/12</f>
        <v>1.4562043049971464E-5</v>
      </c>
      <c r="CN106" s="22">
        <f t="shared" si="66"/>
        <v>126.97938483246399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>
        <f>CT106*VLOOKUP('Données projet'!$B$13,Paramètres!$A$1:$I$89,3,0)*VLOOKUP('Données projet'!$B$13,Paramètres!$A$1:$I$89,5,0)</f>
        <v>0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214.22606988805535</v>
      </c>
      <c r="CZ106" s="59">
        <f t="shared" si="96"/>
        <v>305.78163836959078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60.919884710559749</v>
      </c>
      <c r="DG106" s="21">
        <f>EXP(-LN(2)/25)*DG105+(1-EXP(-LN(2)/25))/(LN(2)/25)*Calculateur!DB106*Calculateur!DD106*VLOOKUP('Données projet'!$B$13,Paramètres!$A$1:$I$89,3,0)*0.475*44/12</f>
        <v>10.786941919115275</v>
      </c>
      <c r="DH106" s="21">
        <f>EXP(-LN(2)/2)*DH105+(1-EXP(-LN(2)/2))/(LN(2)/2)*DB106*DE106*VLOOKUP('Données projet'!$B$13,Paramètres!$A$1:$I$89,3,0)*0.475*44/12</f>
        <v>6.3643276753209669E-6</v>
      </c>
      <c r="DI106" s="22">
        <f t="shared" si="69"/>
        <v>71.706832994002696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-1.7053025658242404E-13</v>
      </c>
      <c r="DP106" s="17">
        <f>DO106*VLOOKUP('Données projet'!$B$14,Paramètres!$A$1:$I$89,3,0)*VLOOKUP('Données projet'!$B$14,Paramètres!$A$1:$I$89,5,0)</f>
        <v>-1.383341441396624E-13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304.26232113495314</v>
      </c>
      <c r="DU106" s="59">
        <f t="shared" si="98"/>
        <v>297.47246687305056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66.841782276397495</v>
      </c>
      <c r="EB106" s="21">
        <f>EXP(-LN(2)/25)*EB105+(1-EXP(-LN(2)/25))/(LN(2)/25)*Calculateur!DW106*Calculateur!DY106*VLOOKUP('Données projet'!$B$14,Paramètres!$A$1:$I$89,3,0)*0.475*44/12</f>
        <v>1.5279529188301821</v>
      </c>
      <c r="EC106" s="21">
        <f>EXP(-LN(2)/2)*EC105+(1-EXP(-LN(2)/2))/(LN(2)/2)*DW106*DZ106*VLOOKUP('Données projet'!$B$14,Paramètres!$A$1:$I$89,3,0)*0.475*44/12</f>
        <v>1.4649353309827886E-2</v>
      </c>
      <c r="ED106" s="22">
        <f t="shared" si="72"/>
        <v>68.384384548537497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-1.7053025658242404E-13</v>
      </c>
      <c r="EK106" s="17">
        <f>EJ106*VLOOKUP('Données projet'!$B$15,Paramètres!$A$1:$I$89,3,0)*VLOOKUP('Données projet'!$B$15,Paramètres!$A$1:$I$89,5,0)</f>
        <v>-1.6493686416652052E-13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355.72173590705142</v>
      </c>
      <c r="EP106" s="59">
        <f t="shared" si="100"/>
        <v>346.30980704469363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64.658995482175499</v>
      </c>
      <c r="EW106" s="21">
        <f>EXP(-LN(2)/25)*EW105+(1-EXP(-LN(2)/25))/(LN(2)/25)*Calculateur!ER106*Calculateur!ET106*VLOOKUP('Données projet'!$B$15,Paramètres!$A$1:$I$89,3,0)*0.475*44/12</f>
        <v>1.4780560528306472</v>
      </c>
      <c r="EX106" s="21">
        <f>EXP(-LN(2)/2)*EX105+(1-EXP(-LN(2)/2))/(LN(2)/2)*ER106*EU106*VLOOKUP('Données projet'!$B$15,Paramètres!$A$1:$I$89,3,0)*0.475*44/12</f>
        <v>1.7466536638640905E-2</v>
      </c>
      <c r="EY106" s="22">
        <f t="shared" si="75"/>
        <v>66.154518071644787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-1.7053025658242404E-13</v>
      </c>
      <c r="FF106" s="17">
        <f>FE106*VLOOKUP('Données projet'!$B$16,Paramètres!$A$1:$I$89,3,0)*VLOOKUP('Données projet'!$B$16,Paramètres!$A$1:$I$89,5,0)</f>
        <v>-1.250327841262333E-13</v>
      </c>
      <c r="FG106" s="13" t="e">
        <f t="shared" si="101"/>
        <v>#NUM!</v>
      </c>
      <c r="FH106" s="20" t="e">
        <f t="shared" si="76"/>
        <v>#NUM!</v>
      </c>
      <c r="FI106" s="59" t="e">
        <f t="shared" si="77"/>
        <v>#NUM!</v>
      </c>
      <c r="FJ106" s="59">
        <f ca="1">AVERAGE(OFFSET($FI$3,0,0,'Données projet'!$E$16+1,1))-AVERAGE(OFFSET($H$3,0,0,'Données projet'!$E$16+1,1))</f>
        <v>278.45534008146865</v>
      </c>
      <c r="FK106" s="59">
        <f t="shared" si="102"/>
        <v>272.97841038165217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49.015690123584655</v>
      </c>
      <c r="FR106" s="21">
        <f>EXP(-LN(2)/25)*FR105+(1-EXP(-LN(2)/25))/(LN(2)/25)*Calculateur!FM106*Calculateur!FO106*VLOOKUP('Données projet'!$B$16,Paramètres!$A$1:$I$89,3,0)*0.475*44/12</f>
        <v>1.1204618465006524</v>
      </c>
      <c r="FS106" s="21">
        <f>EXP(-LN(2)/2)*FS105+(1-EXP(-LN(2)/2))/(LN(2)/2)*FM106*FP106*VLOOKUP('Données projet'!$B$16,Paramètres!$A$1:$I$89,3,0)*0.475*44/12</f>
        <v>1.3240761645421343E-2</v>
      </c>
      <c r="FT106" s="22">
        <f t="shared" si="78"/>
        <v>50.149392731730728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6</v>
      </c>
      <c r="N107" s="13">
        <f>IF('Données projet'!$A$36&gt;35,N106+M107-V106,IF(A107&lt;'Données projet'!$A$36,$K$205^A107,IF(A107='Données projet'!$A$36,'Données projet'!$B$36,N106+M107-V106)))</f>
        <v>229.99999999999989</v>
      </c>
      <c r="O107" s="13">
        <f>N107*VLOOKUP('Données projet'!$B$9,Paramètres!$A$1:$I$89,3,0)*VLOOKUP('Données projet'!$B$9,Paramètres!$A$1:$I$89,5,0)</f>
        <v>208.10399999999987</v>
      </c>
      <c r="P107" s="13">
        <f t="shared" si="87"/>
        <v>51.5210435489304</v>
      </c>
      <c r="Q107" s="20">
        <f t="shared" si="107"/>
        <v>452.18028418105354</v>
      </c>
      <c r="R107" s="59">
        <f t="shared" si="55"/>
        <v>745.51361751438685</v>
      </c>
      <c r="S107" s="59">
        <f ca="1">AVERAGE(OFFSET($R$3,0,0,'Données projet'!$E$9+1,1))-AVERAGE(OFFSET($H$3,0,0,'Données projet'!$E$9+1,1))</f>
        <v>436.03161778768742</v>
      </c>
      <c r="T107" s="59">
        <f t="shared" si="88"/>
        <v>217.65884352525285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11.083288504280999</v>
      </c>
      <c r="AA107" s="21">
        <f>EXP(-LN(2)/25)*AA106+(1-EXP(-LN(2)/25))/(LN(2)/25)*Calculateur!V107*Calculateur!X107*VLOOKUP('Données projet'!$B$9,Paramètres!$A$1:$I$89,3,0)*0.475*44/12</f>
        <v>23.817457089136791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34.900745593417788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6</v>
      </c>
      <c r="AI107" s="13">
        <f>IF('Données projet'!$A$62&gt;35,AI106+AH107-AQ106,IF(A107&lt;'Données projet'!$A$62,$AF$205^A107,IF(A107='Données projet'!$A$62,'Données projet'!$B$62,AI106+AH107-AQ106)))</f>
        <v>229.99999999999989</v>
      </c>
      <c r="AJ107" s="13">
        <f>AI107*VLOOKUP('Données projet'!$B$10,Paramètres!$A$1:$I$89,3,0)*VLOOKUP('Données projet'!$B$10,Paramètres!$A$1:$I$89,5,0)</f>
        <v>233.21999999999991</v>
      </c>
      <c r="AK107" s="13">
        <f t="shared" si="89"/>
        <v>56.978356452817273</v>
      </c>
      <c r="AL107" s="20">
        <f t="shared" si="58"/>
        <v>505.42880415532318</v>
      </c>
      <c r="AM107" s="59">
        <f t="shared" si="59"/>
        <v>798.76213748865644</v>
      </c>
      <c r="AN107" s="59">
        <f ca="1">AVERAGE(OFFSET($AM$3,0,0,'Données projet'!$E$10+1,1))-AVERAGE(OFFSET($H$3,0,0,'Données projet'!$E$10+1,1))</f>
        <v>483.45320081988984</v>
      </c>
      <c r="AO107" s="59">
        <f t="shared" si="90"/>
        <v>238.92443174298893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12.420926772039053</v>
      </c>
      <c r="AV107" s="21">
        <f>EXP(-LN(2)/25)*AV106+(1-EXP(-LN(2)/25))/(LN(2)/25)*Calculateur!AQ107*Calculateur!AS107*VLOOKUP('Données projet'!$B$10,Paramètres!$A$1:$I$89,3,0)*0.475*44/12</f>
        <v>26.691977772308473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39.112904544347529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1.7053025658242404E-13</v>
      </c>
      <c r="BE107" s="13">
        <f>BD107*VLOOKUP('Données projet'!$B$11,Paramètres!$A$1:$I$89,3,0)*VLOOKUP('Données projet'!$B$11,Paramètres!$A$1:$I$89,5,0)</f>
        <v>1.4897523215040567E-13</v>
      </c>
      <c r="BF107" s="13">
        <f t="shared" si="91"/>
        <v>2.136562777003313E-12</v>
      </c>
      <c r="BG107" s="20">
        <f t="shared" si="61"/>
        <v>3.9806453659427267E-12</v>
      </c>
      <c r="BH107" s="59">
        <f t="shared" si="62"/>
        <v>293.33333333333729</v>
      </c>
      <c r="BI107" s="59">
        <f ca="1">AVERAGE(OFFSET($BH$3,0,0,'Données projet'!$E$11+1,1))-AVERAGE(OFFSET($H$3,0,0,'Données projet'!$E$11+1,1))</f>
        <v>310.44153296396854</v>
      </c>
      <c r="BJ107" s="59">
        <f t="shared" si="92"/>
        <v>388.05195847800502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41.495935996656712</v>
      </c>
      <c r="BQ107" s="21">
        <f>EXP(-LN(2)/25)*BQ106+(1-EXP(-LN(2)/25))/(LN(2)/25)*Calculateur!BL107*Calculateur!BN107*VLOOKUP('Données projet'!$B$11,Paramètres!$A$1:$I$89,3,0)*0.475*44/12</f>
        <v>2.0665566574319958</v>
      </c>
      <c r="BR107" s="21">
        <f>EXP(-LN(2)/2)*BR106+(1-EXP(-LN(2)/2))/(LN(2)/2)*BL107*BO107*VLOOKUP('Données projet'!$B$11,Paramètres!$A$1:$I$89,3,0)*0.475*44/12</f>
        <v>3.1425940678496075E-4</v>
      </c>
      <c r="BS107" s="22">
        <f t="shared" si="63"/>
        <v>43.562806913495493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-2.2737367544323206E-13</v>
      </c>
      <c r="BZ107" s="13">
        <f>BY107*VLOOKUP('Données projet'!$B$12,Paramètres!$A$1:$I$89,3,0)*VLOOKUP('Données projet'!$B$12,Paramètres!$A$1:$I$89,5,0)</f>
        <v>-1.2710188457276673E-13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443.34220761968419</v>
      </c>
      <c r="CE107" s="59">
        <f t="shared" si="94"/>
        <v>546.58234447298014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106.44467927629678</v>
      </c>
      <c r="CL107" s="21">
        <f>EXP(-LN(2)/25)*CL106+(1-EXP(-LN(2)/25))/(LN(2)/25)*Calculateur!CG107*Calculateur!CI107*VLOOKUP('Données projet'!$B$12,Paramètres!$A$1:$I$89,3,0)*0.475*44/12</f>
        <v>17.902323280817111</v>
      </c>
      <c r="CM107" s="21">
        <f>EXP(-LN(2)/2)*CM106+(1-EXP(-LN(2)/2))/(LN(2)/2)*CG107*CJ107*VLOOKUP('Données projet'!$B$12,Paramètres!$A$1:$I$89,3,0)*0.475*44/12</f>
        <v>1.0296919388565258E-5</v>
      </c>
      <c r="CN107" s="22">
        <f t="shared" si="66"/>
        <v>124.34701285403328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>
        <f>CT107*VLOOKUP('Données projet'!$B$13,Paramètres!$A$1:$I$89,3,0)*VLOOKUP('Données projet'!$B$13,Paramètres!$A$1:$I$89,5,0)</f>
        <v>0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214.22606988805535</v>
      </c>
      <c r="CZ107" s="59">
        <f t="shared" si="96"/>
        <v>305.78163836959078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59.725282928846354</v>
      </c>
      <c r="DG107" s="21">
        <f>EXP(-LN(2)/25)*DG106+(1-EXP(-LN(2)/25))/(LN(2)/25)*Calculateur!DB107*Calculateur!DD107*VLOOKUP('Données projet'!$B$13,Paramètres!$A$1:$I$89,3,0)*0.475*44/12</f>
        <v>10.491972425076446</v>
      </c>
      <c r="DH107" s="21">
        <f>EXP(-LN(2)/2)*DH106+(1-EXP(-LN(2)/2))/(LN(2)/2)*DB107*DE107*VLOOKUP('Données projet'!$B$13,Paramètres!$A$1:$I$89,3,0)*0.475*44/12</f>
        <v>4.5002592569126716E-6</v>
      </c>
      <c r="DI107" s="22">
        <f t="shared" si="69"/>
        <v>70.217259854182046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-1.7053025658242404E-13</v>
      </c>
      <c r="DP107" s="17">
        <f>DO107*VLOOKUP('Données projet'!$B$14,Paramètres!$A$1:$I$89,3,0)*VLOOKUP('Données projet'!$B$14,Paramètres!$A$1:$I$89,5,0)</f>
        <v>-1.383341441396624E-13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304.26232113495314</v>
      </c>
      <c r="DU107" s="59">
        <f t="shared" si="98"/>
        <v>297.47246687305056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65.531055695418885</v>
      </c>
      <c r="EB107" s="21">
        <f>EXP(-LN(2)/25)*EB106+(1-EXP(-LN(2)/25))/(LN(2)/25)*Calculateur!DW107*Calculateur!DY107*VLOOKUP('Données projet'!$B$14,Paramètres!$A$1:$I$89,3,0)*0.475*44/12</f>
        <v>1.486170965913219</v>
      </c>
      <c r="EC107" s="21">
        <f>EXP(-LN(2)/2)*EC106+(1-EXP(-LN(2)/2))/(LN(2)/2)*DW107*DZ107*VLOOKUP('Données projet'!$B$14,Paramètres!$A$1:$I$89,3,0)*0.475*44/12</f>
        <v>1.0358657065376893E-2</v>
      </c>
      <c r="ED107" s="22">
        <f t="shared" si="72"/>
        <v>67.027585318397485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-1.7053025658242404E-13</v>
      </c>
      <c r="EK107" s="17">
        <f>EJ107*VLOOKUP('Données projet'!$B$15,Paramètres!$A$1:$I$89,3,0)*VLOOKUP('Données projet'!$B$15,Paramètres!$A$1:$I$89,5,0)</f>
        <v>-1.6493686416652052E-13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355.72173590705142</v>
      </c>
      <c r="EP107" s="59">
        <f t="shared" si="100"/>
        <v>346.30980704469363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63.391072018863092</v>
      </c>
      <c r="EW107" s="21">
        <f>EXP(-LN(2)/25)*EW106+(1-EXP(-LN(2)/25))/(LN(2)/25)*Calculateur!ER107*Calculateur!ET107*VLOOKUP('Données projet'!$B$15,Paramètres!$A$1:$I$89,3,0)*0.475*44/12</f>
        <v>1.4376385323384036</v>
      </c>
      <c r="EX107" s="21">
        <f>EXP(-LN(2)/2)*EX106+(1-EXP(-LN(2)/2))/(LN(2)/2)*ER107*EU107*VLOOKUP('Données projet'!$B$15,Paramètres!$A$1:$I$89,3,0)*0.475*44/12</f>
        <v>1.235070650102627E-2</v>
      </c>
      <c r="EY107" s="22">
        <f t="shared" si="75"/>
        <v>64.84106125770252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-1.7053025658242404E-13</v>
      </c>
      <c r="FF107" s="17">
        <f>FE107*VLOOKUP('Données projet'!$B$16,Paramètres!$A$1:$I$89,3,0)*VLOOKUP('Données projet'!$B$16,Paramètres!$A$1:$I$89,5,0)</f>
        <v>-1.250327841262333E-13</v>
      </c>
      <c r="FG107" s="13" t="e">
        <f t="shared" si="101"/>
        <v>#NUM!</v>
      </c>
      <c r="FH107" s="20" t="e">
        <f t="shared" si="76"/>
        <v>#NUM!</v>
      </c>
      <c r="FI107" s="59" t="e">
        <f t="shared" si="77"/>
        <v>#NUM!</v>
      </c>
      <c r="FJ107" s="59">
        <f ca="1">AVERAGE(OFFSET($FI$3,0,0,'Données projet'!$E$16+1,1))-AVERAGE(OFFSET($H$3,0,0,'Données projet'!$E$16+1,1))</f>
        <v>278.45534008146865</v>
      </c>
      <c r="FK107" s="59">
        <f t="shared" si="102"/>
        <v>272.97841038165217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48.05452233688009</v>
      </c>
      <c r="FR107" s="21">
        <f>EXP(-LN(2)/25)*FR106+(1-EXP(-LN(2)/25))/(LN(2)/25)*Calculateur!FM107*Calculateur!FO107*VLOOKUP('Données projet'!$B$16,Paramètres!$A$1:$I$89,3,0)*0.475*44/12</f>
        <v>1.0898227583855644</v>
      </c>
      <c r="FS107" s="21">
        <f>EXP(-LN(2)/2)*FS106+(1-EXP(-LN(2)/2))/(LN(2)/2)*FM107*FP107*VLOOKUP('Données projet'!$B$16,Paramètres!$A$1:$I$89,3,0)*0.475*44/12</f>
        <v>9.3626323475521807E-3</v>
      </c>
      <c r="FT107" s="22">
        <f t="shared" si="78"/>
        <v>49.153707727613209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6</v>
      </c>
      <c r="N108" s="13">
        <f>IF('Données projet'!$A$36&gt;35,N107+M108-V107,IF(A108&lt;'Données projet'!$A$36,$K$205^A108,IF(A108='Données projet'!$A$36,'Données projet'!$B$36,N107+M108-V107)))</f>
        <v>235.99999999999989</v>
      </c>
      <c r="O108" s="13">
        <f>N108*VLOOKUP('Données projet'!$B$9,Paramètres!$A$1:$I$89,3,0)*VLOOKUP('Données projet'!$B$9,Paramètres!$A$1:$I$89,5,0)</f>
        <v>213.53279999999992</v>
      </c>
      <c r="P108" s="13">
        <f t="shared" si="87"/>
        <v>52.706840209271185</v>
      </c>
      <c r="Q108" s="20">
        <f t="shared" si="107"/>
        <v>463.70070669781381</v>
      </c>
      <c r="R108" s="59">
        <f t="shared" si="55"/>
        <v>757.03404003114713</v>
      </c>
      <c r="S108" s="59">
        <f ca="1">AVERAGE(OFFSET($R$3,0,0,'Données projet'!$E$9+1,1))-AVERAGE(OFFSET($H$3,0,0,'Données projet'!$E$9+1,1))</f>
        <v>436.03161778768742</v>
      </c>
      <c r="T108" s="59">
        <f t="shared" si="88"/>
        <v>217.65884352525285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10.865951976850528</v>
      </c>
      <c r="AA108" s="21">
        <f>EXP(-LN(2)/25)*AA107+(1-EXP(-LN(2)/25))/(LN(2)/25)*Calculateur!V108*Calculateur!X108*VLOOKUP('Données projet'!$B$9,Paramètres!$A$1:$I$89,3,0)*0.475*44/12</f>
        <v>23.166167472528713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34.032119449379238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6</v>
      </c>
      <c r="AI108" s="13">
        <f>IF('Données projet'!$A$62&gt;35,AI107+AH108-AQ107,IF(A108&lt;'Données projet'!$A$62,$AF$205^A108,IF(A108='Données projet'!$A$62,'Données projet'!$B$62,AI107+AH108-AQ107)))</f>
        <v>235.99999999999989</v>
      </c>
      <c r="AJ108" s="13">
        <f>AI108*VLOOKUP('Données projet'!$B$10,Paramètres!$A$1:$I$89,3,0)*VLOOKUP('Données projet'!$B$10,Paramètres!$A$1:$I$89,5,0)</f>
        <v>239.30399999999989</v>
      </c>
      <c r="AK108" s="13">
        <f t="shared" si="89"/>
        <v>58.289757389975783</v>
      </c>
      <c r="AL108" s="20">
        <f t="shared" si="58"/>
        <v>518.30912745420756</v>
      </c>
      <c r="AM108" s="59">
        <f t="shared" si="59"/>
        <v>811.64246078754081</v>
      </c>
      <c r="AN108" s="59">
        <f ca="1">AVERAGE(OFFSET($AM$3,0,0,'Données projet'!$E$10+1,1))-AVERAGE(OFFSET($H$3,0,0,'Données projet'!$E$10+1,1))</f>
        <v>483.45320081988984</v>
      </c>
      <c r="AO108" s="59">
        <f t="shared" si="90"/>
        <v>238.92443174298893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12.177359974056628</v>
      </c>
      <c r="AV108" s="21">
        <f>EXP(-LN(2)/25)*AV107+(1-EXP(-LN(2)/25))/(LN(2)/25)*Calculateur!AQ108*Calculateur!AS108*VLOOKUP('Données projet'!$B$10,Paramètres!$A$1:$I$89,3,0)*0.475*44/12</f>
        <v>25.962084236454594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38.139444210511222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1.7053025658242404E-13</v>
      </c>
      <c r="BE108" s="13">
        <f>BD108*VLOOKUP('Données projet'!$B$11,Paramètres!$A$1:$I$89,3,0)*VLOOKUP('Données projet'!$B$11,Paramètres!$A$1:$I$89,5,0)</f>
        <v>1.4897523215040567E-13</v>
      </c>
      <c r="BF108" s="13">
        <f t="shared" si="91"/>
        <v>2.136562777003313E-12</v>
      </c>
      <c r="BG108" s="20">
        <f t="shared" si="61"/>
        <v>3.9806453659427267E-12</v>
      </c>
      <c r="BH108" s="59">
        <f t="shared" si="62"/>
        <v>293.33333333333729</v>
      </c>
      <c r="BI108" s="59">
        <f ca="1">AVERAGE(OFFSET($BH$3,0,0,'Données projet'!$E$11+1,1))-AVERAGE(OFFSET($H$3,0,0,'Données projet'!$E$11+1,1))</f>
        <v>310.44153296396854</v>
      </c>
      <c r="BJ108" s="59">
        <f t="shared" si="92"/>
        <v>388.05195847800502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40.682226001784073</v>
      </c>
      <c r="BQ108" s="21">
        <f>EXP(-LN(2)/25)*BQ107+(1-EXP(-LN(2)/25))/(LN(2)/25)*Calculateur!BL108*Calculateur!BN108*VLOOKUP('Données projet'!$B$11,Paramètres!$A$1:$I$89,3,0)*0.475*44/12</f>
        <v>2.0100465569590265</v>
      </c>
      <c r="BR108" s="21">
        <f>EXP(-LN(2)/2)*BR107+(1-EXP(-LN(2)/2))/(LN(2)/2)*BL108*BO108*VLOOKUP('Données projet'!$B$11,Paramètres!$A$1:$I$89,3,0)*0.475*44/12</f>
        <v>2.2221495758930747E-4</v>
      </c>
      <c r="BS108" s="22">
        <f t="shared" si="63"/>
        <v>42.692494773700687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-2.2737367544323206E-13</v>
      </c>
      <c r="BZ108" s="13">
        <f>BY108*VLOOKUP('Données projet'!$B$12,Paramètres!$A$1:$I$89,3,0)*VLOOKUP('Données projet'!$B$12,Paramètres!$A$1:$I$89,5,0)</f>
        <v>-1.2710188457276673E-13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443.34220761968419</v>
      </c>
      <c r="CE108" s="59">
        <f t="shared" si="94"/>
        <v>546.58234447298014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104.35736404053216</v>
      </c>
      <c r="CL108" s="21">
        <f>EXP(-LN(2)/25)*CL107+(1-EXP(-LN(2)/25))/(LN(2)/25)*Calculateur!CG108*Calculateur!CI108*VLOOKUP('Données projet'!$B$12,Paramètres!$A$1:$I$89,3,0)*0.475*44/12</f>
        <v>17.412783309260902</v>
      </c>
      <c r="CM108" s="21">
        <f>EXP(-LN(2)/2)*CM107+(1-EXP(-LN(2)/2))/(LN(2)/2)*CG108*CJ108*VLOOKUP('Données projet'!$B$12,Paramètres!$A$1:$I$89,3,0)*0.475*44/12</f>
        <v>7.2810215249857329E-6</v>
      </c>
      <c r="CN108" s="22">
        <f t="shared" si="66"/>
        <v>121.77015463081459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>
        <f>CT108*VLOOKUP('Données projet'!$B$13,Paramètres!$A$1:$I$89,3,0)*VLOOKUP('Données projet'!$B$13,Paramètres!$A$1:$I$89,5,0)</f>
        <v>0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214.22606988805535</v>
      </c>
      <c r="CZ108" s="59">
        <f t="shared" si="96"/>
        <v>305.78163836959078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58.554106559437216</v>
      </c>
      <c r="DG108" s="21">
        <f>EXP(-LN(2)/25)*DG107+(1-EXP(-LN(2)/25))/(LN(2)/25)*Calculateur!DB108*Calculateur!DD108*VLOOKUP('Données projet'!$B$13,Paramètres!$A$1:$I$89,3,0)*0.475*44/12</f>
        <v>10.205068887363881</v>
      </c>
      <c r="DH108" s="21">
        <f>EXP(-LN(2)/2)*DH107+(1-EXP(-LN(2)/2))/(LN(2)/2)*DB108*DE108*VLOOKUP('Données projet'!$B$13,Paramètres!$A$1:$I$89,3,0)*0.475*44/12</f>
        <v>3.1821638376604835E-6</v>
      </c>
      <c r="DI108" s="22">
        <f t="shared" si="69"/>
        <v>68.759178628964932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-1.7053025658242404E-13</v>
      </c>
      <c r="DP108" s="17">
        <f>DO108*VLOOKUP('Données projet'!$B$14,Paramètres!$A$1:$I$89,3,0)*VLOOKUP('Données projet'!$B$14,Paramètres!$A$1:$I$89,5,0)</f>
        <v>-1.383341441396624E-13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304.26232113495314</v>
      </c>
      <c r="DU108" s="59">
        <f t="shared" si="98"/>
        <v>297.47246687305056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64.24603166322899</v>
      </c>
      <c r="EB108" s="21">
        <f>EXP(-LN(2)/25)*EB107+(1-EXP(-LN(2)/25))/(LN(2)/25)*Calculateur!DW108*Calculateur!DY108*VLOOKUP('Données projet'!$B$14,Paramètres!$A$1:$I$89,3,0)*0.475*44/12</f>
        <v>1.4455315426959876</v>
      </c>
      <c r="EC108" s="21">
        <f>EXP(-LN(2)/2)*EC107+(1-EXP(-LN(2)/2))/(LN(2)/2)*DW108*DZ108*VLOOKUP('Données projet'!$B$14,Paramètres!$A$1:$I$89,3,0)*0.475*44/12</f>
        <v>7.3246766549139438E-3</v>
      </c>
      <c r="ED108" s="22">
        <f t="shared" si="72"/>
        <v>65.698887882579896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-1.7053025658242404E-13</v>
      </c>
      <c r="EK108" s="17">
        <f>EJ108*VLOOKUP('Données projet'!$B$15,Paramètres!$A$1:$I$89,3,0)*VLOOKUP('Données projet'!$B$15,Paramètres!$A$1:$I$89,5,0)</f>
        <v>-1.6493686416652052E-13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355.72173590705142</v>
      </c>
      <c r="EP108" s="59">
        <f t="shared" si="100"/>
        <v>346.30980704469363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62.148011761309292</v>
      </c>
      <c r="EW108" s="21">
        <f>EXP(-LN(2)/25)*EW107+(1-EXP(-LN(2)/25))/(LN(2)/25)*Calculateur!ER108*Calculateur!ET108*VLOOKUP('Données projet'!$B$15,Paramètres!$A$1:$I$89,3,0)*0.475*44/12</f>
        <v>1.3983262310694853</v>
      </c>
      <c r="EX108" s="21">
        <f>EXP(-LN(2)/2)*EX107+(1-EXP(-LN(2)/2))/(LN(2)/2)*ER108*EU108*VLOOKUP('Données projet'!$B$15,Paramètres!$A$1:$I$89,3,0)*0.475*44/12</f>
        <v>8.7332683193204527E-3</v>
      </c>
      <c r="EY108" s="22">
        <f t="shared" si="75"/>
        <v>63.555071260698092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-1.7053025658242404E-13</v>
      </c>
      <c r="FF108" s="17">
        <f>FE108*VLOOKUP('Données projet'!$B$16,Paramètres!$A$1:$I$89,3,0)*VLOOKUP('Données projet'!$B$16,Paramètres!$A$1:$I$89,5,0)</f>
        <v>-1.250327841262333E-13</v>
      </c>
      <c r="FG108" s="13" t="e">
        <f t="shared" si="101"/>
        <v>#NUM!</v>
      </c>
      <c r="FH108" s="20" t="e">
        <f t="shared" si="76"/>
        <v>#NUM!</v>
      </c>
      <c r="FI108" s="59" t="e">
        <f t="shared" si="77"/>
        <v>#NUM!</v>
      </c>
      <c r="FJ108" s="59">
        <f ca="1">AVERAGE(OFFSET($FI$3,0,0,'Données projet'!$E$16+1,1))-AVERAGE(OFFSET($H$3,0,0,'Données projet'!$E$16+1,1))</f>
        <v>278.45534008146865</v>
      </c>
      <c r="FK108" s="59">
        <f t="shared" si="102"/>
        <v>272.97841038165217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47.112202464218342</v>
      </c>
      <c r="FR108" s="21">
        <f>EXP(-LN(2)/25)*FR107+(1-EXP(-LN(2)/25))/(LN(2)/25)*Calculateur!FM108*Calculateur!FO108*VLOOKUP('Données projet'!$B$16,Paramètres!$A$1:$I$89,3,0)*0.475*44/12</f>
        <v>1.060021497746223</v>
      </c>
      <c r="FS108" s="21">
        <f>EXP(-LN(2)/2)*FS107+(1-EXP(-LN(2)/2))/(LN(2)/2)*FM108*FP108*VLOOKUP('Données projet'!$B$16,Paramètres!$A$1:$I$89,3,0)*0.475*44/12</f>
        <v>6.6203808227106717E-3</v>
      </c>
      <c r="FT108" s="22">
        <f t="shared" si="78"/>
        <v>48.178844342787272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6</v>
      </c>
      <c r="N109" s="13">
        <f>IF('Données projet'!$A$36&gt;35,N108+M109-V108,IF(A109&lt;'Données projet'!$A$36,$K$205^A109,IF(A109='Données projet'!$A$36,'Données projet'!$B$36,N108+M109-V108)))</f>
        <v>241.99999999999989</v>
      </c>
      <c r="O109" s="13">
        <f>N109*VLOOKUP('Données projet'!$B$9,Paramètres!$A$1:$I$89,3,0)*VLOOKUP('Données projet'!$B$9,Paramètres!$A$1:$I$89,5,0)</f>
        <v>218.96159999999989</v>
      </c>
      <c r="P109" s="13">
        <f t="shared" si="87"/>
        <v>53.88913250370743</v>
      </c>
      <c r="Q109" s="20">
        <f t="shared" si="107"/>
        <v>475.21502577729029</v>
      </c>
      <c r="R109" s="59">
        <f t="shared" si="55"/>
        <v>768.54835911062355</v>
      </c>
      <c r="S109" s="59">
        <f ca="1">AVERAGE(OFFSET($R$3,0,0,'Données projet'!$E$9+1,1))-AVERAGE(OFFSET($H$3,0,0,'Données projet'!$E$9+1,1))</f>
        <v>436.03161778768742</v>
      </c>
      <c r="T109" s="59">
        <f t="shared" si="88"/>
        <v>217.65884352525285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10.652877286160777</v>
      </c>
      <c r="AA109" s="21">
        <f>EXP(-LN(2)/25)*AA108+(1-EXP(-LN(2)/25))/(LN(2)/25)*Calculateur!V109*Calculateur!X109*VLOOKUP('Données projet'!$B$9,Paramètres!$A$1:$I$89,3,0)*0.475*44/12</f>
        <v>22.532687404736613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33.185564690897394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6</v>
      </c>
      <c r="AI109" s="13">
        <f>IF('Données projet'!$A$62&gt;35,AI108+AH109-AQ108,IF(A109&lt;'Données projet'!$A$62,$AF$205^A109,IF(A109='Données projet'!$A$62,'Données projet'!$B$62,AI108+AH109-AQ108)))</f>
        <v>241.99999999999989</v>
      </c>
      <c r="AJ109" s="13">
        <f>AI109*VLOOKUP('Données projet'!$B$10,Paramètres!$A$1:$I$89,3,0)*VLOOKUP('Données projet'!$B$10,Paramètres!$A$1:$I$89,5,0)</f>
        <v>245.38799999999989</v>
      </c>
      <c r="AK109" s="13">
        <f t="shared" si="89"/>
        <v>59.59728276491952</v>
      </c>
      <c r="AL109" s="20">
        <f t="shared" si="58"/>
        <v>531.18270081556796</v>
      </c>
      <c r="AM109" s="59">
        <f t="shared" si="59"/>
        <v>824.51603414890133</v>
      </c>
      <c r="AN109" s="59">
        <f ca="1">AVERAGE(OFFSET($AM$3,0,0,'Données projet'!$E$10+1,1))-AVERAGE(OFFSET($H$3,0,0,'Données projet'!$E$10+1,1))</f>
        <v>483.45320081988984</v>
      </c>
      <c r="AO109" s="59">
        <f t="shared" si="90"/>
        <v>238.92443174298893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11.938569372421561</v>
      </c>
      <c r="AV109" s="21">
        <f>EXP(-LN(2)/25)*AV108+(1-EXP(-LN(2)/25))/(LN(2)/25)*Calculateur!AQ109*Calculateur!AS109*VLOOKUP('Données projet'!$B$10,Paramètres!$A$1:$I$89,3,0)*0.475*44/12</f>
        <v>25.25214967772207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37.190719050143628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1.7053025658242404E-13</v>
      </c>
      <c r="BE109" s="13">
        <f>BD109*VLOOKUP('Données projet'!$B$11,Paramètres!$A$1:$I$89,3,0)*VLOOKUP('Données projet'!$B$11,Paramètres!$A$1:$I$89,5,0)</f>
        <v>1.4897523215040567E-13</v>
      </c>
      <c r="BF109" s="13">
        <f t="shared" si="91"/>
        <v>2.136562777003313E-12</v>
      </c>
      <c r="BG109" s="20">
        <f t="shared" si="61"/>
        <v>3.9806453659427267E-12</v>
      </c>
      <c r="BH109" s="59">
        <f t="shared" si="62"/>
        <v>293.33333333333729</v>
      </c>
      <c r="BI109" s="59">
        <f ca="1">AVERAGE(OFFSET($BH$3,0,0,'Données projet'!$E$11+1,1))-AVERAGE(OFFSET($H$3,0,0,'Données projet'!$E$11+1,1))</f>
        <v>310.44153296396854</v>
      </c>
      <c r="BJ109" s="59">
        <f t="shared" si="92"/>
        <v>388.05195847800502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39.884472363596799</v>
      </c>
      <c r="BQ109" s="21">
        <f>EXP(-LN(2)/25)*BQ108+(1-EXP(-LN(2)/25))/(LN(2)/25)*Calculateur!BL109*Calculateur!BN109*VLOOKUP('Données projet'!$B$11,Paramètres!$A$1:$I$89,3,0)*0.475*44/12</f>
        <v>1.9550817281552275</v>
      </c>
      <c r="BR109" s="21">
        <f>EXP(-LN(2)/2)*BR108+(1-EXP(-LN(2)/2))/(LN(2)/2)*BL109*BO109*VLOOKUP('Données projet'!$B$11,Paramètres!$A$1:$I$89,3,0)*0.475*44/12</f>
        <v>1.5712970339248038E-4</v>
      </c>
      <c r="BS109" s="22">
        <f t="shared" si="63"/>
        <v>41.839711221455417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-2.2737367544323206E-13</v>
      </c>
      <c r="BZ109" s="13">
        <f>BY109*VLOOKUP('Données projet'!$B$12,Paramètres!$A$1:$I$89,3,0)*VLOOKUP('Données projet'!$B$12,Paramètres!$A$1:$I$89,5,0)</f>
        <v>-1.2710188457276673E-13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443.34220761968419</v>
      </c>
      <c r="CE109" s="59">
        <f t="shared" si="94"/>
        <v>546.58234447298014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102.31097978340431</v>
      </c>
      <c r="CL109" s="21">
        <f>EXP(-LN(2)/25)*CL108+(1-EXP(-LN(2)/25))/(LN(2)/25)*Calculateur!CG109*Calculateur!CI109*VLOOKUP('Données projet'!$B$12,Paramètres!$A$1:$I$89,3,0)*0.475*44/12</f>
        <v>16.936629833970684</v>
      </c>
      <c r="CM109" s="21">
        <f>EXP(-LN(2)/2)*CM108+(1-EXP(-LN(2)/2))/(LN(2)/2)*CG109*CJ109*VLOOKUP('Données projet'!$B$12,Paramètres!$A$1:$I$89,3,0)*0.475*44/12</f>
        <v>5.1484596942826299E-6</v>
      </c>
      <c r="CN109" s="22">
        <f t="shared" si="66"/>
        <v>119.24761476583468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>
        <f>CT109*VLOOKUP('Données projet'!$B$13,Paramètres!$A$1:$I$89,3,0)*VLOOKUP('Données projet'!$B$13,Paramètres!$A$1:$I$89,5,0)</f>
        <v>0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214.22606988805535</v>
      </c>
      <c r="CZ109" s="59">
        <f t="shared" si="96"/>
        <v>305.78163836959078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57.405896244285138</v>
      </c>
      <c r="DG109" s="21">
        <f>EXP(-LN(2)/25)*DG108+(1-EXP(-LN(2)/25))/(LN(2)/25)*Calculateur!DB109*Calculateur!DD109*VLOOKUP('Données projet'!$B$13,Paramètres!$A$1:$I$89,3,0)*0.475*44/12</f>
        <v>9.9260107419776666</v>
      </c>
      <c r="DH109" s="21">
        <f>EXP(-LN(2)/2)*DH108+(1-EXP(-LN(2)/2))/(LN(2)/2)*DB109*DE109*VLOOKUP('Données projet'!$B$13,Paramètres!$A$1:$I$89,3,0)*0.475*44/12</f>
        <v>2.2501296284563358E-6</v>
      </c>
      <c r="DI109" s="22">
        <f t="shared" si="69"/>
        <v>67.331909236392434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-1.7053025658242404E-13</v>
      </c>
      <c r="DP109" s="17">
        <f>DO109*VLOOKUP('Données projet'!$B$14,Paramètres!$A$1:$I$89,3,0)*VLOOKUP('Données projet'!$B$14,Paramètres!$A$1:$I$89,5,0)</f>
        <v>-1.383341441396624E-13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304.26232113495314</v>
      </c>
      <c r="DU109" s="59">
        <f t="shared" si="98"/>
        <v>297.47246687305056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62.986206168523069</v>
      </c>
      <c r="EB109" s="21">
        <f>EXP(-LN(2)/25)*EB108+(1-EXP(-LN(2)/25))/(LN(2)/25)*Calculateur!DW109*Calculateur!DY109*VLOOKUP('Données projet'!$B$14,Paramètres!$A$1:$I$89,3,0)*0.475*44/12</f>
        <v>1.4060034066437659</v>
      </c>
      <c r="EC109" s="21">
        <f>EXP(-LN(2)/2)*EC108+(1-EXP(-LN(2)/2))/(LN(2)/2)*DW109*DZ109*VLOOKUP('Données projet'!$B$14,Paramètres!$A$1:$I$89,3,0)*0.475*44/12</f>
        <v>5.1793285326884476E-3</v>
      </c>
      <c r="ED109" s="22">
        <f t="shared" si="72"/>
        <v>64.397388903699522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-1.7053025658242404E-13</v>
      </c>
      <c r="EK109" s="17">
        <f>EJ109*VLOOKUP('Données projet'!$B$15,Paramètres!$A$1:$I$89,3,0)*VLOOKUP('Données projet'!$B$15,Paramètres!$A$1:$I$89,5,0)</f>
        <v>-1.6493686416652052E-13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355.72173590705142</v>
      </c>
      <c r="EP109" s="59">
        <f t="shared" si="100"/>
        <v>346.30980704469363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60.929327157214232</v>
      </c>
      <c r="EW109" s="21">
        <f>EXP(-LN(2)/25)*EW108+(1-EXP(-LN(2)/25))/(LN(2)/25)*Calculateur!ER109*Calculateur!ET109*VLOOKUP('Données projet'!$B$15,Paramètres!$A$1:$I$89,3,0)*0.475*44/12</f>
        <v>1.3600889267461096</v>
      </c>
      <c r="EX109" s="21">
        <f>EXP(-LN(2)/2)*EX108+(1-EXP(-LN(2)/2))/(LN(2)/2)*ER109*EU109*VLOOKUP('Données projet'!$B$15,Paramètres!$A$1:$I$89,3,0)*0.475*44/12</f>
        <v>6.1753532505131352E-3</v>
      </c>
      <c r="EY109" s="22">
        <f t="shared" si="75"/>
        <v>62.295591437210852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-1.7053025658242404E-13</v>
      </c>
      <c r="FF109" s="17">
        <f>FE109*VLOOKUP('Données projet'!$B$16,Paramètres!$A$1:$I$89,3,0)*VLOOKUP('Données projet'!$B$16,Paramètres!$A$1:$I$89,5,0)</f>
        <v>-1.250327841262333E-13</v>
      </c>
      <c r="FG109" s="13" t="e">
        <f t="shared" si="101"/>
        <v>#NUM!</v>
      </c>
      <c r="FH109" s="20" t="e">
        <f t="shared" si="76"/>
        <v>#NUM!</v>
      </c>
      <c r="FI109" s="59" t="e">
        <f t="shared" si="77"/>
        <v>#NUM!</v>
      </c>
      <c r="FJ109" s="59">
        <f ca="1">AVERAGE(OFFSET($FI$3,0,0,'Données projet'!$E$16+1,1))-AVERAGE(OFFSET($H$3,0,0,'Données projet'!$E$16+1,1))</f>
        <v>278.45534008146865</v>
      </c>
      <c r="FK109" s="59">
        <f t="shared" si="102"/>
        <v>272.97841038165217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46.188360909501121</v>
      </c>
      <c r="FR109" s="21">
        <f>EXP(-LN(2)/25)*FR108+(1-EXP(-LN(2)/25))/(LN(2)/25)*Calculateur!FM109*Calculateur!FO109*VLOOKUP('Données projet'!$B$16,Paramètres!$A$1:$I$89,3,0)*0.475*44/12</f>
        <v>1.0310351541462446</v>
      </c>
      <c r="FS109" s="21">
        <f>EXP(-LN(2)/2)*FS108+(1-EXP(-LN(2)/2))/(LN(2)/2)*FM109*FP109*VLOOKUP('Données projet'!$B$16,Paramètres!$A$1:$I$89,3,0)*0.475*44/12</f>
        <v>4.6813161737760903E-3</v>
      </c>
      <c r="FT109" s="22">
        <f t="shared" si="78"/>
        <v>47.224077379821139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6</v>
      </c>
      <c r="N110" s="13">
        <f>IF('Données projet'!$A$36&gt;35,N109+M110-V109,IF(A110&lt;'Données projet'!$A$36,$K$205^A110,IF(A110='Données projet'!$A$36,'Données projet'!$B$36,N109+M110-V109)))</f>
        <v>247.99999999999989</v>
      </c>
      <c r="O110" s="13">
        <f>N110*VLOOKUP('Données projet'!$B$9,Paramètres!$A$1:$I$89,3,0)*VLOOKUP('Données projet'!$B$9,Paramètres!$A$1:$I$89,5,0)</f>
        <v>224.39039999999989</v>
      </c>
      <c r="P110" s="13">
        <f t="shared" si="87"/>
        <v>55.068017311015808</v>
      </c>
      <c r="Q110" s="20">
        <f t="shared" si="107"/>
        <v>486.72341015001894</v>
      </c>
      <c r="R110" s="59">
        <f t="shared" si="55"/>
        <v>780.05674348335219</v>
      </c>
      <c r="S110" s="59">
        <f ca="1">AVERAGE(OFFSET($R$3,0,0,'Données projet'!$E$9+1,1))-AVERAGE(OFFSET($H$3,0,0,'Données projet'!$E$9+1,1))</f>
        <v>436.03161778768742</v>
      </c>
      <c r="T110" s="59">
        <f t="shared" si="88"/>
        <v>217.65884352525285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10.443980860192722</v>
      </c>
      <c r="AA110" s="21">
        <f>EXP(-LN(2)/25)*AA109+(1-EXP(-LN(2)/25))/(LN(2)/25)*Calculateur!V110*Calculateur!X110*VLOOKUP('Données projet'!$B$9,Paramètres!$A$1:$I$89,3,0)*0.475*44/12</f>
        <v>21.916529882711558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32.360510742904282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6</v>
      </c>
      <c r="AI110" s="13">
        <f>IF('Données projet'!$A$62&gt;35,AI109+AH110-AQ109,IF(A110&lt;'Données projet'!$A$62,$AF$205^A110,IF(A110='Données projet'!$A$62,'Données projet'!$B$62,AI109+AH110-AQ109)))</f>
        <v>247.99999999999989</v>
      </c>
      <c r="AJ110" s="13">
        <f>AI110*VLOOKUP('Données projet'!$B$10,Paramètres!$A$1:$I$89,3,0)*VLOOKUP('Données projet'!$B$10,Paramètres!$A$1:$I$89,5,0)</f>
        <v>251.47199999999989</v>
      </c>
      <c r="AK110" s="13">
        <f t="shared" si="89"/>
        <v>60.901039718208594</v>
      </c>
      <c r="AL110" s="20">
        <f t="shared" si="58"/>
        <v>544.04971084254646</v>
      </c>
      <c r="AM110" s="59">
        <f t="shared" si="59"/>
        <v>837.38304417587983</v>
      </c>
      <c r="AN110" s="59">
        <f ca="1">AVERAGE(OFFSET($AM$3,0,0,'Données projet'!$E$10+1,1))-AVERAGE(OFFSET($H$3,0,0,'Données projet'!$E$10+1,1))</f>
        <v>483.45320081988984</v>
      </c>
      <c r="AO110" s="59">
        <f t="shared" si="90"/>
        <v>238.92443174298893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11.704461308836672</v>
      </c>
      <c r="AV110" s="21">
        <f>EXP(-LN(2)/25)*AV109+(1-EXP(-LN(2)/25))/(LN(2)/25)*Calculateur!AQ110*Calculateur!AS110*VLOOKUP('Données projet'!$B$10,Paramètres!$A$1:$I$89,3,0)*0.475*44/12</f>
        <v>24.561628316831921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36.266089625668592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1.7053025658242404E-13</v>
      </c>
      <c r="BE110" s="13">
        <f>BD110*VLOOKUP('Données projet'!$B$11,Paramètres!$A$1:$I$89,3,0)*VLOOKUP('Données projet'!$B$11,Paramètres!$A$1:$I$89,5,0)</f>
        <v>1.4897523215040567E-13</v>
      </c>
      <c r="BF110" s="13">
        <f t="shared" si="91"/>
        <v>2.136562777003313E-12</v>
      </c>
      <c r="BG110" s="20">
        <f t="shared" si="61"/>
        <v>3.9806453659427267E-12</v>
      </c>
      <c r="BH110" s="59">
        <f t="shared" si="62"/>
        <v>293.33333333333729</v>
      </c>
      <c r="BI110" s="59">
        <f ca="1">AVERAGE(OFFSET($BH$3,0,0,'Données projet'!$E$11+1,1))-AVERAGE(OFFSET($H$3,0,0,'Données projet'!$E$11+1,1))</f>
        <v>310.44153296396854</v>
      </c>
      <c r="BJ110" s="59">
        <f t="shared" si="92"/>
        <v>388.05195847800502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39.102362187672703</v>
      </c>
      <c r="BQ110" s="21">
        <f>EXP(-LN(2)/25)*BQ109+(1-EXP(-LN(2)/25))/(LN(2)/25)*Calculateur!BL110*Calculateur!BN110*VLOOKUP('Données projet'!$B$11,Paramètres!$A$1:$I$89,3,0)*0.475*44/12</f>
        <v>1.9016199154855431</v>
      </c>
      <c r="BR110" s="21">
        <f>EXP(-LN(2)/2)*BR109+(1-EXP(-LN(2)/2))/(LN(2)/2)*BL110*BO110*VLOOKUP('Données projet'!$B$11,Paramètres!$A$1:$I$89,3,0)*0.475*44/12</f>
        <v>1.1110747879465374E-4</v>
      </c>
      <c r="BS110" s="22">
        <f t="shared" si="63"/>
        <v>41.004093210637038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-2.2737367544323206E-13</v>
      </c>
      <c r="BZ110" s="13">
        <f>BY110*VLOOKUP('Données projet'!$B$12,Paramètres!$A$1:$I$89,3,0)*VLOOKUP('Données projet'!$B$12,Paramètres!$A$1:$I$89,5,0)</f>
        <v>-1.2710188457276673E-13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443.34220761968419</v>
      </c>
      <c r="CE110" s="59">
        <f t="shared" si="94"/>
        <v>546.58234447298014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100.30472387338757</v>
      </c>
      <c r="CL110" s="21">
        <f>EXP(-LN(2)/25)*CL109+(1-EXP(-LN(2)/25))/(LN(2)/25)*Calculateur!CG110*Calculateur!CI110*VLOOKUP('Données projet'!$B$12,Paramètres!$A$1:$I$89,3,0)*0.475*44/12</f>
        <v>16.473496800502101</v>
      </c>
      <c r="CM110" s="21">
        <f>EXP(-LN(2)/2)*CM109+(1-EXP(-LN(2)/2))/(LN(2)/2)*CG110*CJ110*VLOOKUP('Données projet'!$B$12,Paramètres!$A$1:$I$89,3,0)*0.475*44/12</f>
        <v>3.6405107624928673E-6</v>
      </c>
      <c r="CN110" s="22">
        <f t="shared" si="66"/>
        <v>116.77822431440045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>
        <f>CT110*VLOOKUP('Données projet'!$B$13,Paramètres!$A$1:$I$89,3,0)*VLOOKUP('Données projet'!$B$13,Paramètres!$A$1:$I$89,5,0)</f>
        <v>0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214.22606988805535</v>
      </c>
      <c r="CZ110" s="59">
        <f t="shared" si="96"/>
        <v>305.78163836959078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56.280201633074057</v>
      </c>
      <c r="DG110" s="21">
        <f>EXP(-LN(2)/25)*DG109+(1-EXP(-LN(2)/25))/(LN(2)/25)*Calculateur!DB110*Calculateur!DD110*VLOOKUP('Données projet'!$B$13,Paramètres!$A$1:$I$89,3,0)*0.475*44/12</f>
        <v>9.6545834562520678</v>
      </c>
      <c r="DH110" s="21">
        <f>EXP(-LN(2)/2)*DH109+(1-EXP(-LN(2)/2))/(LN(2)/2)*DB110*DE110*VLOOKUP('Données projet'!$B$13,Paramètres!$A$1:$I$89,3,0)*0.475*44/12</f>
        <v>1.5910819188302417E-6</v>
      </c>
      <c r="DI110" s="22">
        <f t="shared" si="69"/>
        <v>65.934786680408052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-1.7053025658242404E-13</v>
      </c>
      <c r="DP110" s="17">
        <f>DO110*VLOOKUP('Données projet'!$B$14,Paramètres!$A$1:$I$89,3,0)*VLOOKUP('Données projet'!$B$14,Paramètres!$A$1:$I$89,5,0)</f>
        <v>-1.383341441396624E-13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304.26232113495314</v>
      </c>
      <c r="DU110" s="59">
        <f t="shared" si="98"/>
        <v>297.47246687305056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61.751085083350652</v>
      </c>
      <c r="EB110" s="21">
        <f>EXP(-LN(2)/25)*EB109+(1-EXP(-LN(2)/25))/(LN(2)/25)*Calculateur!DW110*Calculateur!DY110*VLOOKUP('Données projet'!$B$14,Paramètres!$A$1:$I$89,3,0)*0.475*44/12</f>
        <v>1.3675561695505865</v>
      </c>
      <c r="EC110" s="21">
        <f>EXP(-LN(2)/2)*EC109+(1-EXP(-LN(2)/2))/(LN(2)/2)*DW110*DZ110*VLOOKUP('Données projet'!$B$14,Paramètres!$A$1:$I$89,3,0)*0.475*44/12</f>
        <v>3.6623383274569728E-3</v>
      </c>
      <c r="ED110" s="22">
        <f t="shared" si="72"/>
        <v>63.1223035912287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-1.7053025658242404E-13</v>
      </c>
      <c r="EK110" s="17">
        <f>EJ110*VLOOKUP('Données projet'!$B$15,Paramètres!$A$1:$I$89,3,0)*VLOOKUP('Données projet'!$B$15,Paramètres!$A$1:$I$89,5,0)</f>
        <v>-1.6493686416652052E-13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355.72173590705142</v>
      </c>
      <c r="EP110" s="59">
        <f t="shared" si="100"/>
        <v>346.30980704469363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59.734540214881264</v>
      </c>
      <c r="EW110" s="21">
        <f>EXP(-LN(2)/25)*EW109+(1-EXP(-LN(2)/25))/(LN(2)/25)*Calculateur!ER110*Calculateur!ET110*VLOOKUP('Données projet'!$B$15,Paramètres!$A$1:$I$89,3,0)*0.475*44/12</f>
        <v>1.3228972235202692</v>
      </c>
      <c r="EX110" s="21">
        <f>EXP(-LN(2)/2)*EX109+(1-EXP(-LN(2)/2))/(LN(2)/2)*ER110*EU110*VLOOKUP('Données projet'!$B$15,Paramètres!$A$1:$I$89,3,0)*0.475*44/12</f>
        <v>4.3666341596602263E-3</v>
      </c>
      <c r="EY110" s="22">
        <f t="shared" si="75"/>
        <v>61.061804072561195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-1.7053025658242404E-13</v>
      </c>
      <c r="FF110" s="17">
        <f>FE110*VLOOKUP('Données projet'!$B$16,Paramètres!$A$1:$I$89,3,0)*VLOOKUP('Données projet'!$B$16,Paramètres!$A$1:$I$89,5,0)</f>
        <v>-1.250327841262333E-13</v>
      </c>
      <c r="FG110" s="13" t="e">
        <f t="shared" si="101"/>
        <v>#NUM!</v>
      </c>
      <c r="FH110" s="20" t="e">
        <f t="shared" si="76"/>
        <v>#NUM!</v>
      </c>
      <c r="FI110" s="59" t="e">
        <f t="shared" si="77"/>
        <v>#NUM!</v>
      </c>
      <c r="FJ110" s="59">
        <f ca="1">AVERAGE(OFFSET($FI$3,0,0,'Données projet'!$E$16+1,1))-AVERAGE(OFFSET($H$3,0,0,'Données projet'!$E$16+1,1))</f>
        <v>278.45534008146865</v>
      </c>
      <c r="FK110" s="59">
        <f t="shared" si="102"/>
        <v>272.97841038165217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45.282635324184191</v>
      </c>
      <c r="FR110" s="21">
        <f>EXP(-LN(2)/25)*FR109+(1-EXP(-LN(2)/25))/(LN(2)/25)*Calculateur!FM110*Calculateur!FO110*VLOOKUP('Données projet'!$B$16,Paramètres!$A$1:$I$89,3,0)*0.475*44/12</f>
        <v>1.0028414436363333</v>
      </c>
      <c r="FS110" s="21">
        <f>EXP(-LN(2)/2)*FS109+(1-EXP(-LN(2)/2))/(LN(2)/2)*FM110*FP110*VLOOKUP('Données projet'!$B$16,Paramètres!$A$1:$I$89,3,0)*0.475*44/12</f>
        <v>3.3101904113553358E-3</v>
      </c>
      <c r="FT110" s="22">
        <f t="shared" si="78"/>
        <v>46.288786958231881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6</v>
      </c>
      <c r="N111" s="13">
        <f>IF('Données projet'!$A$36&gt;35,N110+M111-V110,IF(A111&lt;'Données projet'!$A$36,$K$205^A111,IF(A111='Données projet'!$A$36,'Données projet'!$B$36,N110+M111-V110)))</f>
        <v>253.99999999999989</v>
      </c>
      <c r="O111" s="13">
        <f>N111*VLOOKUP('Données projet'!$B$9,Paramètres!$A$1:$I$89,3,0)*VLOOKUP('Données projet'!$B$9,Paramètres!$A$1:$I$89,5,0)</f>
        <v>229.81919999999991</v>
      </c>
      <c r="P111" s="13">
        <f t="shared" si="87"/>
        <v>56.243586554989342</v>
      </c>
      <c r="Q111" s="20">
        <f t="shared" si="107"/>
        <v>498.22601991660628</v>
      </c>
      <c r="R111" s="59">
        <f t="shared" si="55"/>
        <v>791.55935324993959</v>
      </c>
      <c r="S111" s="59">
        <f ca="1">AVERAGE(OFFSET($R$3,0,0,'Données projet'!$E$9+1,1))-AVERAGE(OFFSET($H$3,0,0,'Données projet'!$E$9+1,1))</f>
        <v>436.03161778768742</v>
      </c>
      <c r="T111" s="59">
        <f t="shared" si="88"/>
        <v>217.65884352525285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10.239180765723663</v>
      </c>
      <c r="AA111" s="21">
        <f>EXP(-LN(2)/25)*AA110+(1-EXP(-LN(2)/25))/(LN(2)/25)*Calculateur!V111*Calculateur!X111*VLOOKUP('Données projet'!$B$9,Paramètres!$A$1:$I$89,3,0)*0.475*44/12</f>
        <v>21.317221220528594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31.556401986252258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6</v>
      </c>
      <c r="AI111" s="13">
        <f>IF('Données projet'!$A$62&gt;35,AI110+AH111-AQ110,IF(A111&lt;'Données projet'!$A$62,$AF$205^A111,IF(A111='Données projet'!$A$62,'Données projet'!$B$62,AI110+AH111-AQ110)))</f>
        <v>253.99999999999989</v>
      </c>
      <c r="AJ111" s="13">
        <f>AI111*VLOOKUP('Données projet'!$B$10,Paramètres!$A$1:$I$89,3,0)*VLOOKUP('Données projet'!$B$10,Paramètres!$A$1:$I$89,5,0)</f>
        <v>257.55599999999993</v>
      </c>
      <c r="AK111" s="13">
        <f t="shared" si="89"/>
        <v>62.201129910568184</v>
      </c>
      <c r="AL111" s="20">
        <f t="shared" si="58"/>
        <v>556.91033459423932</v>
      </c>
      <c r="AM111" s="59">
        <f t="shared" si="59"/>
        <v>850.24366792757269</v>
      </c>
      <c r="AN111" s="59">
        <f ca="1">AVERAGE(OFFSET($AM$3,0,0,'Données projet'!$E$10+1,1))-AVERAGE(OFFSET($H$3,0,0,'Données projet'!$E$10+1,1))</f>
        <v>483.45320081988984</v>
      </c>
      <c r="AO111" s="59">
        <f t="shared" si="90"/>
        <v>238.92443174298893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11.474943961586863</v>
      </c>
      <c r="AV111" s="21">
        <f>EXP(-LN(2)/25)*AV110+(1-EXP(-LN(2)/25))/(LN(2)/25)*Calculateur!AQ111*Calculateur!AS111*VLOOKUP('Données projet'!$B$10,Paramètres!$A$1:$I$89,3,0)*0.475*44/12</f>
        <v>23.889989298868255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35.364933260455118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1.7053025658242404E-13</v>
      </c>
      <c r="BE111" s="13">
        <f>BD111*VLOOKUP('Données projet'!$B$11,Paramètres!$A$1:$I$89,3,0)*VLOOKUP('Données projet'!$B$11,Paramètres!$A$1:$I$89,5,0)</f>
        <v>1.4897523215040567E-13</v>
      </c>
      <c r="BF111" s="13">
        <f t="shared" si="91"/>
        <v>2.136562777003313E-12</v>
      </c>
      <c r="BG111" s="20">
        <f t="shared" si="61"/>
        <v>3.9806453659427267E-12</v>
      </c>
      <c r="BH111" s="59">
        <f t="shared" si="62"/>
        <v>293.33333333333729</v>
      </c>
      <c r="BI111" s="59">
        <f ca="1">AVERAGE(OFFSET($BH$3,0,0,'Données projet'!$E$11+1,1))-AVERAGE(OFFSET($H$3,0,0,'Données projet'!$E$11+1,1))</f>
        <v>310.44153296396854</v>
      </c>
      <c r="BJ111" s="59">
        <f t="shared" si="92"/>
        <v>388.05195847800502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38.335588715258375</v>
      </c>
      <c r="BQ111" s="21">
        <f>EXP(-LN(2)/25)*BQ110+(1-EXP(-LN(2)/25))/(LN(2)/25)*Calculateur!BL111*Calculateur!BN111*VLOOKUP('Données projet'!$B$11,Paramètres!$A$1:$I$89,3,0)*0.475*44/12</f>
        <v>1.8496200188947458</v>
      </c>
      <c r="BR111" s="21">
        <f>EXP(-LN(2)/2)*BR110+(1-EXP(-LN(2)/2))/(LN(2)/2)*BL111*BO111*VLOOKUP('Données projet'!$B$11,Paramètres!$A$1:$I$89,3,0)*0.475*44/12</f>
        <v>7.8564851696240188E-5</v>
      </c>
      <c r="BS111" s="22">
        <f t="shared" si="63"/>
        <v>40.18528729900482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-2.2737367544323206E-13</v>
      </c>
      <c r="BZ111" s="13">
        <f>BY111*VLOOKUP('Données projet'!$B$12,Paramètres!$A$1:$I$89,3,0)*VLOOKUP('Données projet'!$B$12,Paramètres!$A$1:$I$89,5,0)</f>
        <v>-1.2710188457276673E-13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443.34220761968419</v>
      </c>
      <c r="CE111" s="59">
        <f t="shared" si="94"/>
        <v>546.58234447298014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98.337809418071004</v>
      </c>
      <c r="CL111" s="21">
        <f>EXP(-LN(2)/25)*CL110+(1-EXP(-LN(2)/25))/(LN(2)/25)*Calculateur!CG111*Calculateur!CI111*VLOOKUP('Données projet'!$B$12,Paramètres!$A$1:$I$89,3,0)*0.475*44/12</f>
        <v>16.023028164188826</v>
      </c>
      <c r="CM111" s="21">
        <f>EXP(-LN(2)/2)*CM110+(1-EXP(-LN(2)/2))/(LN(2)/2)*CG111*CJ111*VLOOKUP('Données projet'!$B$12,Paramètres!$A$1:$I$89,3,0)*0.475*44/12</f>
        <v>2.5742298471413154E-6</v>
      </c>
      <c r="CN111" s="22">
        <f t="shared" si="66"/>
        <v>114.36084015648969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>
        <f>CT111*VLOOKUP('Données projet'!$B$13,Paramètres!$A$1:$I$89,3,0)*VLOOKUP('Données projet'!$B$13,Paramètres!$A$1:$I$89,5,0)</f>
        <v>0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214.22606988805535</v>
      </c>
      <c r="CZ111" s="59">
        <f t="shared" si="96"/>
        <v>305.78163836959078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55.17658120658291</v>
      </c>
      <c r="DG111" s="21">
        <f>EXP(-LN(2)/25)*DG110+(1-EXP(-LN(2)/25))/(LN(2)/25)*Calculateur!DB111*Calculateur!DD111*VLOOKUP('Données projet'!$B$13,Paramètres!$A$1:$I$89,3,0)*0.475*44/12</f>
        <v>9.3905783639283769</v>
      </c>
      <c r="DH111" s="21">
        <f>EXP(-LN(2)/2)*DH110+(1-EXP(-LN(2)/2))/(LN(2)/2)*DB111*DE111*VLOOKUP('Données projet'!$B$13,Paramètres!$A$1:$I$89,3,0)*0.475*44/12</f>
        <v>1.1250648142281679E-6</v>
      </c>
      <c r="DI111" s="22">
        <f t="shared" si="69"/>
        <v>64.567160695576092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-1.7053025658242404E-13</v>
      </c>
      <c r="DP111" s="17">
        <f>DO111*VLOOKUP('Données projet'!$B$14,Paramètres!$A$1:$I$89,3,0)*VLOOKUP('Données projet'!$B$14,Paramètres!$A$1:$I$89,5,0)</f>
        <v>-1.383341441396624E-13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304.26232113495314</v>
      </c>
      <c r="DU111" s="59">
        <f t="shared" si="98"/>
        <v>297.47246687305056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60.540183969308991</v>
      </c>
      <c r="EB111" s="21">
        <f>EXP(-LN(2)/25)*EB110+(1-EXP(-LN(2)/25))/(LN(2)/25)*Calculateur!DW111*Calculateur!DY111*VLOOKUP('Données projet'!$B$14,Paramètres!$A$1:$I$89,3,0)*0.475*44/12</f>
        <v>1.3301602741775722</v>
      </c>
      <c r="EC111" s="21">
        <f>EXP(-LN(2)/2)*EC110+(1-EXP(-LN(2)/2))/(LN(2)/2)*DW111*DZ111*VLOOKUP('Données projet'!$B$14,Paramètres!$A$1:$I$89,3,0)*0.475*44/12</f>
        <v>2.5896642663442242E-3</v>
      </c>
      <c r="ED111" s="22">
        <f t="shared" si="72"/>
        <v>61.872933907752909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-1.7053025658242404E-13</v>
      </c>
      <c r="EK111" s="17">
        <f>EJ111*VLOOKUP('Données projet'!$B$15,Paramètres!$A$1:$I$89,3,0)*VLOOKUP('Données projet'!$B$15,Paramètres!$A$1:$I$89,5,0)</f>
        <v>-1.6493686416652052E-13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355.72173590705142</v>
      </c>
      <c r="EP111" s="59">
        <f t="shared" si="100"/>
        <v>346.30980704469363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58.563182315739368</v>
      </c>
      <c r="EW111" s="21">
        <f>EXP(-LN(2)/25)*EW110+(1-EXP(-LN(2)/25))/(LN(2)/25)*Calculateur!ER111*Calculateur!ET111*VLOOKUP('Données projet'!$B$15,Paramètres!$A$1:$I$89,3,0)*0.475*44/12</f>
        <v>1.286722529374966</v>
      </c>
      <c r="EX111" s="21">
        <f>EXP(-LN(2)/2)*EX110+(1-EXP(-LN(2)/2))/(LN(2)/2)*ER111*EU111*VLOOKUP('Données projet'!$B$15,Paramètres!$A$1:$I$89,3,0)*0.475*44/12</f>
        <v>3.0876766252565676E-3</v>
      </c>
      <c r="EY111" s="22">
        <f t="shared" si="75"/>
        <v>59.852992521739587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-1.7053025658242404E-13</v>
      </c>
      <c r="FF111" s="17">
        <f>FE111*VLOOKUP('Données projet'!$B$16,Paramètres!$A$1:$I$89,3,0)*VLOOKUP('Données projet'!$B$16,Paramètres!$A$1:$I$89,5,0)</f>
        <v>-1.250327841262333E-13</v>
      </c>
      <c r="FG111" s="13" t="e">
        <f t="shared" si="101"/>
        <v>#NUM!</v>
      </c>
      <c r="FH111" s="20" t="e">
        <f t="shared" si="76"/>
        <v>#NUM!</v>
      </c>
      <c r="FI111" s="59" t="e">
        <f t="shared" si="77"/>
        <v>#NUM!</v>
      </c>
      <c r="FJ111" s="59">
        <f ca="1">AVERAGE(OFFSET($FI$3,0,0,'Données projet'!$E$16+1,1))-AVERAGE(OFFSET($H$3,0,0,'Données projet'!$E$16+1,1))</f>
        <v>278.45534008146865</v>
      </c>
      <c r="FK111" s="59">
        <f t="shared" si="102"/>
        <v>272.97841038165217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44.394670465157269</v>
      </c>
      <c r="FR111" s="21">
        <f>EXP(-LN(2)/25)*FR110+(1-EXP(-LN(2)/25))/(LN(2)/25)*Calculateur!FM111*Calculateur!FO111*VLOOKUP('Données projet'!$B$16,Paramètres!$A$1:$I$89,3,0)*0.475*44/12</f>
        <v>0.97541869162295824</v>
      </c>
      <c r="FS111" s="21">
        <f>EXP(-LN(2)/2)*FS110+(1-EXP(-LN(2)/2))/(LN(2)/2)*FM111*FP111*VLOOKUP('Données projet'!$B$16,Paramètres!$A$1:$I$89,3,0)*0.475*44/12</f>
        <v>2.3406580868880452E-3</v>
      </c>
      <c r="FT111" s="22">
        <f t="shared" si="78"/>
        <v>45.372429814867111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6</v>
      </c>
      <c r="N112" s="13">
        <f>IF('Données projet'!$A$36&gt;35,N111+M112-V111,IF(A112&lt;'Données projet'!$A$36,$K$205^A112,IF(A112='Données projet'!$A$36,'Données projet'!$B$36,N111+M112-V111)))</f>
        <v>259.99999999999989</v>
      </c>
      <c r="O112" s="13">
        <f>N112*VLOOKUP('Données projet'!$B$9,Paramètres!$A$1:$I$89,3,0)*VLOOKUP('Données projet'!$B$9,Paramètres!$A$1:$I$89,5,0)</f>
        <v>235.24799999999991</v>
      </c>
      <c r="P112" s="13">
        <f t="shared" si="87"/>
        <v>57.41592756883739</v>
      </c>
      <c r="Q112" s="20">
        <f t="shared" si="107"/>
        <v>509.72300718239154</v>
      </c>
      <c r="R112" s="59">
        <f t="shared" si="55"/>
        <v>803.05634051572486</v>
      </c>
      <c r="S112" s="59">
        <f ca="1">AVERAGE(OFFSET($R$3,0,0,'Données projet'!$E$9+1,1))-AVERAGE(OFFSET($H$3,0,0,'Données projet'!$E$9+1,1))</f>
        <v>436.03161778768742</v>
      </c>
      <c r="T112" s="59">
        <f t="shared" si="88"/>
        <v>217.65884352525285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10.038396676191418</v>
      </c>
      <c r="AA112" s="21">
        <f>EXP(-LN(2)/25)*AA111+(1-EXP(-LN(2)/25))/(LN(2)/25)*Calculateur!V112*Calculateur!X112*VLOOKUP('Données projet'!$B$9,Paramètres!$A$1:$I$89,3,0)*0.475*44/12</f>
        <v>20.734300685229297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30.772697361420715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6</v>
      </c>
      <c r="AI112" s="13">
        <f>IF('Données projet'!$A$62&gt;35,AI111+AH112-AQ111,IF(A112&lt;'Données projet'!$A$62,$AF$205^A112,IF(A112='Données projet'!$A$62,'Données projet'!$B$62,AI111+AH112-AQ111)))</f>
        <v>259.99999999999989</v>
      </c>
      <c r="AJ112" s="13">
        <f>AI112*VLOOKUP('Données projet'!$B$10,Paramètres!$A$1:$I$89,3,0)*VLOOKUP('Données projet'!$B$10,Paramètres!$A$1:$I$89,5,0)</f>
        <v>263.63999999999993</v>
      </c>
      <c r="AK112" s="13">
        <f t="shared" si="89"/>
        <v>63.497649925886755</v>
      </c>
      <c r="AL112" s="20">
        <f t="shared" si="58"/>
        <v>569.76474028758594</v>
      </c>
      <c r="AM112" s="59">
        <f t="shared" si="59"/>
        <v>863.09807362091919</v>
      </c>
      <c r="AN112" s="59">
        <f ca="1">AVERAGE(OFFSET($AM$3,0,0,'Données projet'!$E$10+1,1))-AVERAGE(OFFSET($H$3,0,0,'Données projet'!$E$10+1,1))</f>
        <v>483.45320081988984</v>
      </c>
      <c r="AO112" s="59">
        <f t="shared" si="90"/>
        <v>238.92443174298893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11.249927309524866</v>
      </c>
      <c r="AV112" s="21">
        <f>EXP(-LN(2)/25)*AV111+(1-EXP(-LN(2)/25))/(LN(2)/25)*Calculateur!AQ112*Calculateur!AS112*VLOOKUP('Données projet'!$B$10,Paramètres!$A$1:$I$89,3,0)*0.475*44/12</f>
        <v>23.236716285170765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34.486643594695629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1.7053025658242404E-13</v>
      </c>
      <c r="BE112" s="13">
        <f>BD112*VLOOKUP('Données projet'!$B$11,Paramètres!$A$1:$I$89,3,0)*VLOOKUP('Données projet'!$B$11,Paramètres!$A$1:$I$89,5,0)</f>
        <v>1.4897523215040567E-13</v>
      </c>
      <c r="BF112" s="13">
        <f t="shared" si="91"/>
        <v>2.136562777003313E-12</v>
      </c>
      <c r="BG112" s="20">
        <f t="shared" si="61"/>
        <v>3.9806453659427267E-12</v>
      </c>
      <c r="BH112" s="59">
        <f t="shared" si="62"/>
        <v>293.33333333333729</v>
      </c>
      <c r="BI112" s="59">
        <f ca="1">AVERAGE(OFFSET($BH$3,0,0,'Données projet'!$E$11+1,1))-AVERAGE(OFFSET($H$3,0,0,'Données projet'!$E$11+1,1))</f>
        <v>310.44153296396854</v>
      </c>
      <c r="BJ112" s="59">
        <f t="shared" si="92"/>
        <v>388.05195847800502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37.583851202952452</v>
      </c>
      <c r="BQ112" s="21">
        <f>EXP(-LN(2)/25)*BQ111+(1-EXP(-LN(2)/25))/(LN(2)/25)*Calculateur!BL112*Calculateur!BN112*VLOOKUP('Données projet'!$B$11,Paramètres!$A$1:$I$89,3,0)*0.475*44/12</f>
        <v>1.7990420622107794</v>
      </c>
      <c r="BR112" s="21">
        <f>EXP(-LN(2)/2)*BR111+(1-EXP(-LN(2)/2))/(LN(2)/2)*BL112*BO112*VLOOKUP('Données projet'!$B$11,Paramètres!$A$1:$I$89,3,0)*0.475*44/12</f>
        <v>5.5553739397326869E-5</v>
      </c>
      <c r="BS112" s="22">
        <f t="shared" si="63"/>
        <v>39.382948818902634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-2.2737367544323206E-13</v>
      </c>
      <c r="BZ112" s="13">
        <f>BY112*VLOOKUP('Données projet'!$B$12,Paramètres!$A$1:$I$89,3,0)*VLOOKUP('Données projet'!$B$12,Paramètres!$A$1:$I$89,5,0)</f>
        <v>-1.2710188457276673E-13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443.34220761968419</v>
      </c>
      <c r="CE112" s="59">
        <f t="shared" si="94"/>
        <v>546.58234447298014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96.409464955523831</v>
      </c>
      <c r="CL112" s="21">
        <f>EXP(-LN(2)/25)*CL111+(1-EXP(-LN(2)/25))/(LN(2)/25)*Calculateur!CG112*Calculateur!CI112*VLOOKUP('Données projet'!$B$12,Paramètres!$A$1:$I$89,3,0)*0.475*44/12</f>
        <v>15.584877616424652</v>
      </c>
      <c r="CM112" s="21">
        <f>EXP(-LN(2)/2)*CM111+(1-EXP(-LN(2)/2))/(LN(2)/2)*CG112*CJ112*VLOOKUP('Données projet'!$B$12,Paramètres!$A$1:$I$89,3,0)*0.475*44/12</f>
        <v>1.8202553812464339E-6</v>
      </c>
      <c r="CN112" s="22">
        <f t="shared" si="66"/>
        <v>111.99434439220386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>
        <f>CT112*VLOOKUP('Données projet'!$B$13,Paramètres!$A$1:$I$89,3,0)*VLOOKUP('Données projet'!$B$13,Paramètres!$A$1:$I$89,5,0)</f>
        <v>0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214.22606988805535</v>
      </c>
      <c r="CZ112" s="59">
        <f t="shared" si="96"/>
        <v>305.78163836959078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54.09460210351326</v>
      </c>
      <c r="DG112" s="21">
        <f>EXP(-LN(2)/25)*DG111+(1-EXP(-LN(2)/25))/(LN(2)/25)*Calculateur!DB112*Calculateur!DD112*VLOOKUP('Données projet'!$B$13,Paramètres!$A$1:$I$89,3,0)*0.475*44/12</f>
        <v>9.133792504737702</v>
      </c>
      <c r="DH112" s="21">
        <f>EXP(-LN(2)/2)*DH111+(1-EXP(-LN(2)/2))/(LN(2)/2)*DB112*DE112*VLOOKUP('Données projet'!$B$13,Paramètres!$A$1:$I$89,3,0)*0.475*44/12</f>
        <v>7.9554095941512087E-7</v>
      </c>
      <c r="DI112" s="22">
        <f t="shared" si="69"/>
        <v>63.228395403791929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-1.7053025658242404E-13</v>
      </c>
      <c r="DP112" s="17">
        <f>DO112*VLOOKUP('Données projet'!$B$14,Paramètres!$A$1:$I$89,3,0)*VLOOKUP('Données projet'!$B$14,Paramètres!$A$1:$I$89,5,0)</f>
        <v>-1.383341441396624E-13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304.26232113495314</v>
      </c>
      <c r="DU112" s="59">
        <f t="shared" si="98"/>
        <v>297.47246687305056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59.353027887536939</v>
      </c>
      <c r="EB112" s="21">
        <f>EXP(-LN(2)/25)*EB111+(1-EXP(-LN(2)/25))/(LN(2)/25)*Calculateur!DW112*Calculateur!DY112*VLOOKUP('Données projet'!$B$14,Paramètres!$A$1:$I$89,3,0)*0.475*44/12</f>
        <v>1.2937869715300978</v>
      </c>
      <c r="EC112" s="21">
        <f>EXP(-LN(2)/2)*EC111+(1-EXP(-LN(2)/2))/(LN(2)/2)*DW112*DZ112*VLOOKUP('Données projet'!$B$14,Paramètres!$A$1:$I$89,3,0)*0.475*44/12</f>
        <v>1.8311691637284866E-3</v>
      </c>
      <c r="ED112" s="22">
        <f t="shared" si="72"/>
        <v>60.648646028230765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-1.7053025658242404E-13</v>
      </c>
      <c r="EK112" s="17">
        <f>EJ112*VLOOKUP('Données projet'!$B$15,Paramètres!$A$1:$I$89,3,0)*VLOOKUP('Données projet'!$B$15,Paramètres!$A$1:$I$89,5,0)</f>
        <v>-1.6493686416652052E-13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355.72173590705142</v>
      </c>
      <c r="EP112" s="59">
        <f t="shared" si="100"/>
        <v>346.30980704469363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57.41479403054187</v>
      </c>
      <c r="EW112" s="21">
        <f>EXP(-LN(2)/25)*EW111+(1-EXP(-LN(2)/25))/(LN(2)/25)*Calculateur!ER112*Calculateur!ET112*VLOOKUP('Données projet'!$B$15,Paramètres!$A$1:$I$89,3,0)*0.475*44/12</f>
        <v>1.2515370341434107</v>
      </c>
      <c r="EX112" s="21">
        <f>EXP(-LN(2)/2)*EX111+(1-EXP(-LN(2)/2))/(LN(2)/2)*ER112*EU112*VLOOKUP('Données projet'!$B$15,Paramètres!$A$1:$I$89,3,0)*0.475*44/12</f>
        <v>2.1833170798301132E-3</v>
      </c>
      <c r="EY112" s="22">
        <f t="shared" si="75"/>
        <v>58.668514381765114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-1.7053025658242404E-13</v>
      </c>
      <c r="FF112" s="17">
        <f>FE112*VLOOKUP('Données projet'!$B$16,Paramètres!$A$1:$I$89,3,0)*VLOOKUP('Données projet'!$B$16,Paramètres!$A$1:$I$89,5,0)</f>
        <v>-1.250327841262333E-13</v>
      </c>
      <c r="FG112" s="13" t="e">
        <f t="shared" si="101"/>
        <v>#NUM!</v>
      </c>
      <c r="FH112" s="20" t="e">
        <f t="shared" si="76"/>
        <v>#NUM!</v>
      </c>
      <c r="FI112" s="59" t="e">
        <f t="shared" si="77"/>
        <v>#NUM!</v>
      </c>
      <c r="FJ112" s="59">
        <f ca="1">AVERAGE(OFFSET($FI$3,0,0,'Données projet'!$E$16+1,1))-AVERAGE(OFFSET($H$3,0,0,'Données projet'!$E$16+1,1))</f>
        <v>278.45534008146865</v>
      </c>
      <c r="FK112" s="59">
        <f t="shared" si="102"/>
        <v>272.97841038165217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43.524118055410781</v>
      </c>
      <c r="FR112" s="21">
        <f>EXP(-LN(2)/25)*FR111+(1-EXP(-LN(2)/25))/(LN(2)/25)*Calculateur!FM112*Calculateur!FO112*VLOOKUP('Données projet'!$B$16,Paramètres!$A$1:$I$89,3,0)*0.475*44/12</f>
        <v>0.94874581620548881</v>
      </c>
      <c r="FS112" s="21">
        <f>EXP(-LN(2)/2)*FS111+(1-EXP(-LN(2)/2))/(LN(2)/2)*FM112*FP112*VLOOKUP('Données projet'!$B$16,Paramètres!$A$1:$I$89,3,0)*0.475*44/12</f>
        <v>1.6550952056776679E-3</v>
      </c>
      <c r="FT112" s="22">
        <f t="shared" si="78"/>
        <v>44.474518966821947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6</v>
      </c>
      <c r="N113" s="13">
        <f>IF('Données projet'!$A$36&gt;35,N112+M113-V112,IF(A113&lt;'Données projet'!$A$36,$K$205^A113,IF(A113='Données projet'!$A$36,'Données projet'!$B$36,N112+M113-V112)))</f>
        <v>265.99999999999989</v>
      </c>
      <c r="O113" s="13">
        <f>N113*VLOOKUP('Données projet'!$B$9,Paramètres!$A$1:$I$89,3,0)*VLOOKUP('Données projet'!$B$9,Paramètres!$A$1:$I$89,5,0)</f>
        <v>240.67679999999987</v>
      </c>
      <c r="P113" s="13">
        <f t="shared" si="87"/>
        <v>58.585123425001029</v>
      </c>
      <c r="Q113" s="20">
        <f t="shared" si="107"/>
        <v>521.21451663187645</v>
      </c>
      <c r="R113" s="59">
        <f t="shared" si="55"/>
        <v>814.54784996520971</v>
      </c>
      <c r="S113" s="59">
        <f ca="1">AVERAGE(OFFSET($R$3,0,0,'Données projet'!$E$9+1,1))-AVERAGE(OFFSET($H$3,0,0,'Données projet'!$E$9+1,1))</f>
        <v>436.03161778768742</v>
      </c>
      <c r="T113" s="59">
        <f t="shared" si="88"/>
        <v>217.65884352525285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9.8415498401886996</v>
      </c>
      <c r="AA113" s="21">
        <f>EXP(-LN(2)/25)*AA112+(1-EXP(-LN(2)/25))/(LN(2)/25)*Calculateur!V113*Calculateur!X113*VLOOKUP('Données projet'!$B$9,Paramètres!$A$1:$I$89,3,0)*0.475*44/12</f>
        <v>20.167320142622216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30.008869982810914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6</v>
      </c>
      <c r="AI113" s="13">
        <f>IF('Données projet'!$A$62&gt;35,AI112+AH113-AQ112,IF(A113&lt;'Données projet'!$A$62,$AF$205^A113,IF(A113='Données projet'!$A$62,'Données projet'!$B$62,AI112+AH113-AQ112)))</f>
        <v>265.99999999999989</v>
      </c>
      <c r="AJ113" s="13">
        <f>AI113*VLOOKUP('Données projet'!$B$10,Paramètres!$A$1:$I$89,3,0)*VLOOKUP('Données projet'!$B$10,Paramètres!$A$1:$I$89,5,0)</f>
        <v>269.72399999999988</v>
      </c>
      <c r="AK113" s="13">
        <f t="shared" si="89"/>
        <v>64.790691635967406</v>
      </c>
      <c r="AL113" s="20">
        <f t="shared" si="58"/>
        <v>582.61308793264288</v>
      </c>
      <c r="AM113" s="59">
        <f t="shared" si="59"/>
        <v>875.94642126597614</v>
      </c>
      <c r="AN113" s="59">
        <f ca="1">AVERAGE(OFFSET($AM$3,0,0,'Données projet'!$E$10+1,1))-AVERAGE(OFFSET($H$3,0,0,'Données projet'!$E$10+1,1))</f>
        <v>483.45320081988984</v>
      </c>
      <c r="AO113" s="59">
        <f t="shared" si="90"/>
        <v>238.92443174298893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11.029323096763198</v>
      </c>
      <c r="AV113" s="21">
        <f>EXP(-LN(2)/25)*AV112+(1-EXP(-LN(2)/25))/(LN(2)/25)*Calculateur!AQ113*Calculateur!AS113*VLOOKUP('Données projet'!$B$10,Paramètres!$A$1:$I$89,3,0)*0.475*44/12</f>
        <v>22.601307056386968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33.630630153150165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1.7053025658242404E-13</v>
      </c>
      <c r="BE113" s="13">
        <f>BD113*VLOOKUP('Données projet'!$B$11,Paramètres!$A$1:$I$89,3,0)*VLOOKUP('Données projet'!$B$11,Paramètres!$A$1:$I$89,5,0)</f>
        <v>1.4897523215040567E-13</v>
      </c>
      <c r="BF113" s="13">
        <f t="shared" si="91"/>
        <v>2.136562777003313E-12</v>
      </c>
      <c r="BG113" s="20">
        <f t="shared" si="61"/>
        <v>3.9806453659427267E-12</v>
      </c>
      <c r="BH113" s="59">
        <f t="shared" si="62"/>
        <v>293.33333333333729</v>
      </c>
      <c r="BI113" s="59">
        <f ca="1">AVERAGE(OFFSET($BH$3,0,0,'Données projet'!$E$11+1,1))-AVERAGE(OFFSET($H$3,0,0,'Données projet'!$E$11+1,1))</f>
        <v>310.44153296396854</v>
      </c>
      <c r="BJ113" s="59">
        <f t="shared" si="92"/>
        <v>388.05195847800502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36.84685480474824</v>
      </c>
      <c r="BQ113" s="21">
        <f>EXP(-LN(2)/25)*BQ112+(1-EXP(-LN(2)/25))/(LN(2)/25)*Calculateur!BL113*Calculateur!BN113*VLOOKUP('Données projet'!$B$11,Paramètres!$A$1:$I$89,3,0)*0.475*44/12</f>
        <v>1.7498471624121155</v>
      </c>
      <c r="BR113" s="21">
        <f>EXP(-LN(2)/2)*BR112+(1-EXP(-LN(2)/2))/(LN(2)/2)*BL113*BO113*VLOOKUP('Données projet'!$B$11,Paramètres!$A$1:$I$89,3,0)*0.475*44/12</f>
        <v>3.9282425848120094E-5</v>
      </c>
      <c r="BS113" s="22">
        <f t="shared" si="63"/>
        <v>38.596741249586202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-2.2737367544323206E-13</v>
      </c>
      <c r="BZ113" s="13">
        <f>BY113*VLOOKUP('Données projet'!$B$12,Paramètres!$A$1:$I$89,3,0)*VLOOKUP('Données projet'!$B$12,Paramètres!$A$1:$I$89,5,0)</f>
        <v>-1.2710188457276673E-13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443.34220761968419</v>
      </c>
      <c r="CE113" s="59">
        <f t="shared" si="94"/>
        <v>546.58234447298014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94.518934151713225</v>
      </c>
      <c r="CL113" s="21">
        <f>EXP(-LN(2)/25)*CL112+(1-EXP(-LN(2)/25))/(LN(2)/25)*Calculateur!CG113*Calculateur!CI113*VLOOKUP('Données projet'!$B$12,Paramètres!$A$1:$I$89,3,0)*0.475*44/12</f>
        <v>15.158708318430426</v>
      </c>
      <c r="CM113" s="21">
        <f>EXP(-LN(2)/2)*CM112+(1-EXP(-LN(2)/2))/(LN(2)/2)*CG113*CJ113*VLOOKUP('Données projet'!$B$12,Paramètres!$A$1:$I$89,3,0)*0.475*44/12</f>
        <v>1.2871149235706579E-6</v>
      </c>
      <c r="CN113" s="22">
        <f t="shared" si="66"/>
        <v>109.67764375725858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>
        <f>CT113*VLOOKUP('Données projet'!$B$13,Paramètres!$A$1:$I$89,3,0)*VLOOKUP('Données projet'!$B$13,Paramètres!$A$1:$I$89,5,0)</f>
        <v>0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214.22606988805535</v>
      </c>
      <c r="CZ113" s="59">
        <f t="shared" si="96"/>
        <v>305.78163836959078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53.033839950712718</v>
      </c>
      <c r="DG113" s="21">
        <f>EXP(-LN(2)/25)*DG112+(1-EXP(-LN(2)/25))/(LN(2)/25)*Calculateur!DB113*Calculateur!DD113*VLOOKUP('Données projet'!$B$13,Paramètres!$A$1:$I$89,3,0)*0.475*44/12</f>
        <v>8.8840284683703779</v>
      </c>
      <c r="DH113" s="21">
        <f>EXP(-LN(2)/2)*DH112+(1-EXP(-LN(2)/2))/(LN(2)/2)*DB113*DE113*VLOOKUP('Données projet'!$B$13,Paramètres!$A$1:$I$89,3,0)*0.475*44/12</f>
        <v>5.6253240711408395E-7</v>
      </c>
      <c r="DI113" s="22">
        <f t="shared" si="69"/>
        <v>61.917868981615499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-1.7053025658242404E-13</v>
      </c>
      <c r="DP113" s="17">
        <f>DO113*VLOOKUP('Données projet'!$B$14,Paramètres!$A$1:$I$89,3,0)*VLOOKUP('Données projet'!$B$14,Paramètres!$A$1:$I$89,5,0)</f>
        <v>-1.383341441396624E-13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304.26232113495314</v>
      </c>
      <c r="DU113" s="59">
        <f t="shared" si="98"/>
        <v>297.47246687305056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58.189151212434723</v>
      </c>
      <c r="EB113" s="21">
        <f>EXP(-LN(2)/25)*EB112+(1-EXP(-LN(2)/25))/(LN(2)/25)*Calculateur!DW113*Calculateur!DY113*VLOOKUP('Données projet'!$B$14,Paramètres!$A$1:$I$89,3,0)*0.475*44/12</f>
        <v>1.2584082987563074</v>
      </c>
      <c r="EC113" s="21">
        <f>EXP(-LN(2)/2)*EC112+(1-EXP(-LN(2)/2))/(LN(2)/2)*DW113*DZ113*VLOOKUP('Données projet'!$B$14,Paramètres!$A$1:$I$89,3,0)*0.475*44/12</f>
        <v>1.2948321331721123E-3</v>
      </c>
      <c r="ED113" s="22">
        <f t="shared" si="72"/>
        <v>59.4488543433242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-1.7053025658242404E-13</v>
      </c>
      <c r="EK113" s="17">
        <f>EJ113*VLOOKUP('Données projet'!$B$15,Paramètres!$A$1:$I$89,3,0)*VLOOKUP('Données projet'!$B$15,Paramètres!$A$1:$I$89,5,0)</f>
        <v>-1.6493686416652052E-13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355.72173590705142</v>
      </c>
      <c r="EP113" s="59">
        <f t="shared" si="100"/>
        <v>346.30980704469363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56.288924939169405</v>
      </c>
      <c r="EW113" s="21">
        <f>EXP(-LN(2)/25)*EW112+(1-EXP(-LN(2)/25))/(LN(2)/25)*Calculateur!ER113*Calculateur!ET113*VLOOKUP('Données projet'!$B$15,Paramètres!$A$1:$I$89,3,0)*0.475*44/12</f>
        <v>1.217313688129287</v>
      </c>
      <c r="EX113" s="21">
        <f>EXP(-LN(2)/2)*EX112+(1-EXP(-LN(2)/2))/(LN(2)/2)*ER113*EU113*VLOOKUP('Données projet'!$B$15,Paramètres!$A$1:$I$89,3,0)*0.475*44/12</f>
        <v>1.5438383126282838E-3</v>
      </c>
      <c r="EY113" s="22">
        <f t="shared" si="75"/>
        <v>57.507782465611321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-1.7053025658242404E-13</v>
      </c>
      <c r="FF113" s="17">
        <f>FE113*VLOOKUP('Données projet'!$B$16,Paramètres!$A$1:$I$89,3,0)*VLOOKUP('Données projet'!$B$16,Paramètres!$A$1:$I$89,5,0)</f>
        <v>-1.250327841262333E-13</v>
      </c>
      <c r="FG113" s="13" t="e">
        <f t="shared" si="101"/>
        <v>#NUM!</v>
      </c>
      <c r="FH113" s="20" t="e">
        <f t="shared" si="76"/>
        <v>#NUM!</v>
      </c>
      <c r="FI113" s="59" t="e">
        <f t="shared" si="77"/>
        <v>#NUM!</v>
      </c>
      <c r="FJ113" s="59">
        <f ca="1">AVERAGE(OFFSET($FI$3,0,0,'Données projet'!$E$16+1,1))-AVERAGE(OFFSET($H$3,0,0,'Données projet'!$E$16+1,1))</f>
        <v>278.45534008146865</v>
      </c>
      <c r="FK113" s="59">
        <f t="shared" si="102"/>
        <v>272.97841038165217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42.670636647434883</v>
      </c>
      <c r="FR113" s="21">
        <f>EXP(-LN(2)/25)*FR112+(1-EXP(-LN(2)/25))/(LN(2)/25)*Calculateur!FM113*Calculateur!FO113*VLOOKUP('Données projet'!$B$16,Paramètres!$A$1:$I$89,3,0)*0.475*44/12</f>
        <v>0.92280231196897566</v>
      </c>
      <c r="FS113" s="21">
        <f>EXP(-LN(2)/2)*FS112+(1-EXP(-LN(2)/2))/(LN(2)/2)*FM113*FP113*VLOOKUP('Données projet'!$B$16,Paramètres!$A$1:$I$89,3,0)*0.475*44/12</f>
        <v>1.1703290434440226E-3</v>
      </c>
      <c r="FT113" s="22">
        <f t="shared" si="78"/>
        <v>43.594609288447302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6</v>
      </c>
      <c r="N114" s="13">
        <f>IF('Données projet'!$A$36&gt;35,N113+M114-V113,IF(A114&lt;'Données projet'!$A$36,$K$205^A114,IF(A114='Données projet'!$A$36,'Données projet'!$B$36,N113+M114-V113)))</f>
        <v>271.99999999999989</v>
      </c>
      <c r="O114" s="13">
        <f>N114*VLOOKUP('Données projet'!$B$9,Paramètres!$A$1:$I$89,3,0)*VLOOKUP('Données projet'!$B$9,Paramètres!$A$1:$I$89,5,0)</f>
        <v>246.1055999999999</v>
      </c>
      <c r="P114" s="13">
        <f t="shared" si="87"/>
        <v>59.751253234371873</v>
      </c>
      <c r="Q114" s="20">
        <f t="shared" si="107"/>
        <v>532.70068604986409</v>
      </c>
      <c r="R114" s="59">
        <f t="shared" si="55"/>
        <v>826.03401938319735</v>
      </c>
      <c r="S114" s="59">
        <f ca="1">AVERAGE(OFFSET($R$3,0,0,'Données projet'!$E$9+1,1))-AVERAGE(OFFSET($H$3,0,0,'Données projet'!$E$9+1,1))</f>
        <v>436.03161778768742</v>
      </c>
      <c r="T114" s="59">
        <f t="shared" si="88"/>
        <v>217.65884352525285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9.6485630505752784</v>
      </c>
      <c r="AA114" s="21">
        <f>EXP(-LN(2)/25)*AA113+(1-EXP(-LN(2)/25))/(LN(2)/25)*Calculateur!V114*Calculateur!X114*VLOOKUP('Données projet'!$B$9,Paramètres!$A$1:$I$89,3,0)*0.475*44/12</f>
        <v>19.615843712768939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29.264406763344219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6</v>
      </c>
      <c r="AI114" s="13">
        <f>IF('Données projet'!$A$62&gt;35,AI113+AH114-AQ113,IF(A114&lt;'Données projet'!$A$62,$AF$205^A114,IF(A114='Données projet'!$A$62,'Données projet'!$B$62,AI113+AH114-AQ113)))</f>
        <v>271.99999999999989</v>
      </c>
      <c r="AJ114" s="13">
        <f>AI114*VLOOKUP('Données projet'!$B$10,Paramètres!$A$1:$I$89,3,0)*VLOOKUP('Données projet'!$B$10,Paramètres!$A$1:$I$89,5,0)</f>
        <v>275.80799999999988</v>
      </c>
      <c r="AK114" s="13">
        <f t="shared" si="89"/>
        <v>66.080342531440593</v>
      </c>
      <c r="AL114" s="20">
        <f t="shared" si="58"/>
        <v>595.45552990892554</v>
      </c>
      <c r="AM114" s="59">
        <f t="shared" si="59"/>
        <v>888.78886324225891</v>
      </c>
      <c r="AN114" s="59">
        <f ca="1">AVERAGE(OFFSET($AM$3,0,0,'Données projet'!$E$10+1,1))-AVERAGE(OFFSET($H$3,0,0,'Données projet'!$E$10+1,1))</f>
        <v>483.45320081988984</v>
      </c>
      <c r="AO114" s="59">
        <f t="shared" si="90"/>
        <v>238.92443174298893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10.813044798058502</v>
      </c>
      <c r="AV114" s="21">
        <f>EXP(-LN(2)/25)*AV113+(1-EXP(-LN(2)/25))/(LN(2)/25)*Calculateur!AQ114*Calculateur!AS114*VLOOKUP('Données projet'!$B$10,Paramètres!$A$1:$I$89,3,0)*0.475*44/12</f>
        <v>21.983273126378986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32.796317924437489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1.7053025658242404E-13</v>
      </c>
      <c r="BE114" s="13">
        <f>BD114*VLOOKUP('Données projet'!$B$11,Paramètres!$A$1:$I$89,3,0)*VLOOKUP('Données projet'!$B$11,Paramètres!$A$1:$I$89,5,0)</f>
        <v>1.4897523215040567E-13</v>
      </c>
      <c r="BF114" s="13">
        <f t="shared" si="91"/>
        <v>2.136562777003313E-12</v>
      </c>
      <c r="BG114" s="20">
        <f t="shared" si="61"/>
        <v>3.9806453659427267E-12</v>
      </c>
      <c r="BH114" s="59">
        <f t="shared" si="62"/>
        <v>293.33333333333729</v>
      </c>
      <c r="BI114" s="59">
        <f ca="1">AVERAGE(OFFSET($BH$3,0,0,'Données projet'!$E$11+1,1))-AVERAGE(OFFSET($H$3,0,0,'Données projet'!$E$11+1,1))</f>
        <v>310.44153296396854</v>
      </c>
      <c r="BJ114" s="59">
        <f t="shared" si="92"/>
        <v>388.05195847800502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36.124310456389402</v>
      </c>
      <c r="BQ114" s="21">
        <f>EXP(-LN(2)/25)*BQ113+(1-EXP(-LN(2)/25))/(LN(2)/25)*Calculateur!BL114*Calculateur!BN114*VLOOKUP('Données projet'!$B$11,Paramètres!$A$1:$I$89,3,0)*0.475*44/12</f>
        <v>1.7019974997354932</v>
      </c>
      <c r="BR114" s="21">
        <f>EXP(-LN(2)/2)*BR113+(1-EXP(-LN(2)/2))/(LN(2)/2)*BL114*BO114*VLOOKUP('Données projet'!$B$11,Paramètres!$A$1:$I$89,3,0)*0.475*44/12</f>
        <v>2.7776869698663434E-5</v>
      </c>
      <c r="BS114" s="22">
        <f t="shared" si="63"/>
        <v>37.826335732994593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-2.2737367544323206E-13</v>
      </c>
      <c r="BZ114" s="13">
        <f>BY114*VLOOKUP('Données projet'!$B$12,Paramètres!$A$1:$I$89,3,0)*VLOOKUP('Données projet'!$B$12,Paramètres!$A$1:$I$89,5,0)</f>
        <v>-1.2710188457276673E-13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443.34220761968419</v>
      </c>
      <c r="CE114" s="59">
        <f t="shared" si="94"/>
        <v>546.58234447298014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92.665475503855419</v>
      </c>
      <c r="CL114" s="21">
        <f>EXP(-LN(2)/25)*CL113+(1-EXP(-LN(2)/25))/(LN(2)/25)*Calculateur!CG114*Calculateur!CI114*VLOOKUP('Données projet'!$B$12,Paramètres!$A$1:$I$89,3,0)*0.475*44/12</f>
        <v>14.744192642301121</v>
      </c>
      <c r="CM114" s="21">
        <f>EXP(-LN(2)/2)*CM113+(1-EXP(-LN(2)/2))/(LN(2)/2)*CG114*CJ114*VLOOKUP('Données projet'!$B$12,Paramètres!$A$1:$I$89,3,0)*0.475*44/12</f>
        <v>9.1012769062321714E-7</v>
      </c>
      <c r="CN114" s="22">
        <f t="shared" si="66"/>
        <v>107.40966905628423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>
        <f>CT114*VLOOKUP('Données projet'!$B$13,Paramètres!$A$1:$I$89,3,0)*VLOOKUP('Données projet'!$B$13,Paramètres!$A$1:$I$89,5,0)</f>
        <v>0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214.22606988805535</v>
      </c>
      <c r="CZ114" s="59">
        <f t="shared" si="96"/>
        <v>305.78163836959078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51.993878696727563</v>
      </c>
      <c r="DG114" s="21">
        <f>EXP(-LN(2)/25)*DG113+(1-EXP(-LN(2)/25))/(LN(2)/25)*Calculateur!DB114*Calculateur!DD114*VLOOKUP('Données projet'!$B$13,Paramètres!$A$1:$I$89,3,0)*0.475*44/12</f>
        <v>8.6410942427120379</v>
      </c>
      <c r="DH114" s="21">
        <f>EXP(-LN(2)/2)*DH113+(1-EXP(-LN(2)/2))/(LN(2)/2)*DB114*DE114*VLOOKUP('Données projet'!$B$13,Paramètres!$A$1:$I$89,3,0)*0.475*44/12</f>
        <v>3.9777047970756043E-7</v>
      </c>
      <c r="DI114" s="22">
        <f t="shared" si="69"/>
        <v>60.634973337210077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-1.7053025658242404E-13</v>
      </c>
      <c r="DP114" s="17">
        <f>DO114*VLOOKUP('Données projet'!$B$14,Paramètres!$A$1:$I$89,3,0)*VLOOKUP('Données projet'!$B$14,Paramètres!$A$1:$I$89,5,0)</f>
        <v>-1.383341441396624E-13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304.26232113495314</v>
      </c>
      <c r="DU114" s="59">
        <f t="shared" si="98"/>
        <v>297.47246687305056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57.048097449036582</v>
      </c>
      <c r="EB114" s="21">
        <f>EXP(-LN(2)/25)*EB113+(1-EXP(-LN(2)/25))/(LN(2)/25)*Calculateur!DW114*Calculateur!DY114*VLOOKUP('Données projet'!$B$14,Paramètres!$A$1:$I$89,3,0)*0.475*44/12</f>
        <v>1.2239970576499999</v>
      </c>
      <c r="EC114" s="21">
        <f>EXP(-LN(2)/2)*EC113+(1-EXP(-LN(2)/2))/(LN(2)/2)*DW114*DZ114*VLOOKUP('Données projet'!$B$14,Paramètres!$A$1:$I$89,3,0)*0.475*44/12</f>
        <v>9.1558458186424341E-4</v>
      </c>
      <c r="ED114" s="22">
        <f t="shared" si="72"/>
        <v>58.273010091268446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-1.7053025658242404E-13</v>
      </c>
      <c r="EK114" s="17">
        <f>EJ114*VLOOKUP('Données projet'!$B$15,Paramètres!$A$1:$I$89,3,0)*VLOOKUP('Données projet'!$B$15,Paramètres!$A$1:$I$89,5,0)</f>
        <v>-1.6493686416652052E-13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355.72173590705142</v>
      </c>
      <c r="EP114" s="59">
        <f t="shared" si="100"/>
        <v>346.30980704469363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55.185133453966415</v>
      </c>
      <c r="EW114" s="21">
        <f>EXP(-LN(2)/25)*EW113+(1-EXP(-LN(2)/25))/(LN(2)/25)*Calculateur!ER114*Calculateur!ET114*VLOOKUP('Données projet'!$B$15,Paramètres!$A$1:$I$89,3,0)*0.475*44/12</f>
        <v>1.1840261813116471</v>
      </c>
      <c r="EX114" s="21">
        <f>EXP(-LN(2)/2)*EX113+(1-EXP(-LN(2)/2))/(LN(2)/2)*ER114*EU114*VLOOKUP('Données projet'!$B$15,Paramètres!$A$1:$I$89,3,0)*0.475*44/12</f>
        <v>1.0916585399150566E-3</v>
      </c>
      <c r="EY114" s="22">
        <f t="shared" si="75"/>
        <v>56.370251293817972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-1.7053025658242404E-13</v>
      </c>
      <c r="FF114" s="17">
        <f>FE114*VLOOKUP('Données projet'!$B$16,Paramètres!$A$1:$I$89,3,0)*VLOOKUP('Données projet'!$B$16,Paramètres!$A$1:$I$89,5,0)</f>
        <v>-1.250327841262333E-13</v>
      </c>
      <c r="FG114" s="13" t="e">
        <f t="shared" si="101"/>
        <v>#NUM!</v>
      </c>
      <c r="FH114" s="20" t="e">
        <f t="shared" si="76"/>
        <v>#NUM!</v>
      </c>
      <c r="FI114" s="59" t="e">
        <f t="shared" si="77"/>
        <v>#NUM!</v>
      </c>
      <c r="FJ114" s="59">
        <f ca="1">AVERAGE(OFFSET($FI$3,0,0,'Données projet'!$E$16+1,1))-AVERAGE(OFFSET($H$3,0,0,'Données projet'!$E$16+1,1))</f>
        <v>278.45534008146865</v>
      </c>
      <c r="FK114" s="59">
        <f t="shared" si="102"/>
        <v>272.97841038165217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41.833891489297137</v>
      </c>
      <c r="FR114" s="21">
        <f>EXP(-LN(2)/25)*FR113+(1-EXP(-LN(2)/25))/(LN(2)/25)*Calculateur!FM114*Calculateur!FO114*VLOOKUP('Données projet'!$B$16,Paramètres!$A$1:$I$89,3,0)*0.475*44/12</f>
        <v>0.89756823422011955</v>
      </c>
      <c r="FS114" s="21">
        <f>EXP(-LN(2)/2)*FS113+(1-EXP(-LN(2)/2))/(LN(2)/2)*FM114*FP114*VLOOKUP('Données projet'!$B$16,Paramètres!$A$1:$I$89,3,0)*0.475*44/12</f>
        <v>8.2754760283883396E-4</v>
      </c>
      <c r="FT114" s="22">
        <f t="shared" si="78"/>
        <v>42.732287271120093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6</v>
      </c>
      <c r="N115" s="13">
        <f>IF('Données projet'!$A$36&gt;35,N114+M115-V114,IF(A115&lt;'Données projet'!$A$36,$K$205^A115,IF(A115='Données projet'!$A$36,'Données projet'!$B$36,N114+M115-V114)))</f>
        <v>277.99999999999989</v>
      </c>
      <c r="O115" s="13">
        <f>N115*VLOOKUP('Données projet'!$B$9,Paramètres!$A$1:$I$89,3,0)*VLOOKUP('Données projet'!$B$9,Paramètres!$A$1:$I$89,5,0)</f>
        <v>251.53439999999989</v>
      </c>
      <c r="P115" s="13">
        <f t="shared" si="87"/>
        <v>60.914392418364585</v>
      </c>
      <c r="Q115" s="20">
        <f t="shared" si="107"/>
        <v>544.1816467953181</v>
      </c>
      <c r="R115" s="59">
        <f t="shared" si="55"/>
        <v>837.51498012865136</v>
      </c>
      <c r="S115" s="59">
        <f ca="1">AVERAGE(OFFSET($R$3,0,0,'Données projet'!$E$9+1,1))-AVERAGE(OFFSET($H$3,0,0,'Données projet'!$E$9+1,1))</f>
        <v>436.03161778768742</v>
      </c>
      <c r="T115" s="59">
        <f t="shared" si="88"/>
        <v>217.65884352525285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9.4593606141958588</v>
      </c>
      <c r="AA115" s="21">
        <f>EXP(-LN(2)/25)*AA114+(1-EXP(-LN(2)/25))/(LN(2)/25)*Calculateur!V115*Calculateur!X115*VLOOKUP('Données projet'!$B$9,Paramètres!$A$1:$I$89,3,0)*0.475*44/12</f>
        <v>19.079447434890884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28.538808049086743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6</v>
      </c>
      <c r="AI115" s="13">
        <f>IF('Données projet'!$A$62&gt;35,AI114+AH115-AQ114,IF(A115&lt;'Données projet'!$A$62,$AF$205^A115,IF(A115='Données projet'!$A$62,'Données projet'!$B$62,AI114+AH115-AQ114)))</f>
        <v>277.99999999999989</v>
      </c>
      <c r="AJ115" s="13">
        <f>AI115*VLOOKUP('Données projet'!$B$10,Paramètres!$A$1:$I$89,3,0)*VLOOKUP('Données projet'!$B$10,Paramètres!$A$1:$I$89,5,0)</f>
        <v>281.89199999999988</v>
      </c>
      <c r="AK115" s="13">
        <f t="shared" si="89"/>
        <v>67.366686022655614</v>
      </c>
      <c r="AL115" s="20">
        <f t="shared" si="58"/>
        <v>608.29221148945828</v>
      </c>
      <c r="AM115" s="59">
        <f t="shared" si="59"/>
        <v>901.62554482279165</v>
      </c>
      <c r="AN115" s="59">
        <f ca="1">AVERAGE(OFFSET($AM$3,0,0,'Données projet'!$E$10+1,1))-AVERAGE(OFFSET($H$3,0,0,'Données projet'!$E$10+1,1))</f>
        <v>483.45320081988984</v>
      </c>
      <c r="AO115" s="59">
        <f t="shared" si="90"/>
        <v>238.92443174298893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10.601007584874671</v>
      </c>
      <c r="AV115" s="21">
        <f>EXP(-LN(2)/25)*AV114+(1-EXP(-LN(2)/25))/(LN(2)/25)*Calculateur!AQ115*Calculateur!AS115*VLOOKUP('Données projet'!$B$10,Paramètres!$A$1:$I$89,3,0)*0.475*44/12</f>
        <v>21.382139366688062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31.98314695156273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1.7053025658242404E-13</v>
      </c>
      <c r="BE115" s="13">
        <f>BD115*VLOOKUP('Données projet'!$B$11,Paramètres!$A$1:$I$89,3,0)*VLOOKUP('Données projet'!$B$11,Paramètres!$A$1:$I$89,5,0)</f>
        <v>1.4897523215040567E-13</v>
      </c>
      <c r="BF115" s="13">
        <f t="shared" si="91"/>
        <v>2.136562777003313E-12</v>
      </c>
      <c r="BG115" s="20">
        <f t="shared" si="61"/>
        <v>3.9806453659427267E-12</v>
      </c>
      <c r="BH115" s="59">
        <f t="shared" si="62"/>
        <v>293.33333333333729</v>
      </c>
      <c r="BI115" s="59">
        <f ca="1">AVERAGE(OFFSET($BH$3,0,0,'Données projet'!$E$11+1,1))-AVERAGE(OFFSET($H$3,0,0,'Données projet'!$E$11+1,1))</f>
        <v>310.44153296396854</v>
      </c>
      <c r="BJ115" s="59">
        <f t="shared" si="92"/>
        <v>388.05195847800502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35.415934761993341</v>
      </c>
      <c r="BQ115" s="21">
        <f>EXP(-LN(2)/25)*BQ114+(1-EXP(-LN(2)/25))/(LN(2)/25)*Calculateur!BL115*Calculateur!BN115*VLOOKUP('Données projet'!$B$11,Paramètres!$A$1:$I$89,3,0)*0.475*44/12</f>
        <v>1.6554562886010675</v>
      </c>
      <c r="BR115" s="21">
        <f>EXP(-LN(2)/2)*BR114+(1-EXP(-LN(2)/2))/(LN(2)/2)*BL115*BO115*VLOOKUP('Données projet'!$B$11,Paramètres!$A$1:$I$89,3,0)*0.475*44/12</f>
        <v>1.9641212924060047E-5</v>
      </c>
      <c r="BS115" s="22">
        <f t="shared" si="63"/>
        <v>37.07141069180733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-2.2737367544323206E-13</v>
      </c>
      <c r="BZ115" s="13">
        <f>BY115*VLOOKUP('Données projet'!$B$12,Paramètres!$A$1:$I$89,3,0)*VLOOKUP('Données projet'!$B$12,Paramètres!$A$1:$I$89,5,0)</f>
        <v>-1.2710188457276673E-13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443.34220761968419</v>
      </c>
      <c r="CE115" s="59">
        <f t="shared" si="94"/>
        <v>546.58234447298014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90.848362049583955</v>
      </c>
      <c r="CL115" s="21">
        <f>EXP(-LN(2)/25)*CL114+(1-EXP(-LN(2)/25))/(LN(2)/25)*Calculateur!CG115*Calculateur!CI115*VLOOKUP('Données projet'!$B$12,Paramètres!$A$1:$I$89,3,0)*0.475*44/12</f>
        <v>14.341011919134004</v>
      </c>
      <c r="CM115" s="21">
        <f>EXP(-LN(2)/2)*CM114+(1-EXP(-LN(2)/2))/(LN(2)/2)*CG115*CJ115*VLOOKUP('Données projet'!$B$12,Paramètres!$A$1:$I$89,3,0)*0.475*44/12</f>
        <v>6.4355746178532906E-7</v>
      </c>
      <c r="CN115" s="22">
        <f t="shared" si="66"/>
        <v>105.18937461227542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>
        <f>CT115*VLOOKUP('Données projet'!$B$13,Paramètres!$A$1:$I$89,3,0)*VLOOKUP('Données projet'!$B$13,Paramètres!$A$1:$I$89,5,0)</f>
        <v>0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214.22606988805535</v>
      </c>
      <c r="CZ115" s="59">
        <f t="shared" si="96"/>
        <v>305.78163836959078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50.974310448619327</v>
      </c>
      <c r="DG115" s="21">
        <f>EXP(-LN(2)/25)*DG114+(1-EXP(-LN(2)/25))/(LN(2)/25)*Calculateur!DB115*Calculateur!DD115*VLOOKUP('Données projet'!$B$13,Paramètres!$A$1:$I$89,3,0)*0.475*44/12</f>
        <v>8.4048030662296807</v>
      </c>
      <c r="DH115" s="21">
        <f>EXP(-LN(2)/2)*DH114+(1-EXP(-LN(2)/2))/(LN(2)/2)*DB115*DE115*VLOOKUP('Données projet'!$B$13,Paramètres!$A$1:$I$89,3,0)*0.475*44/12</f>
        <v>2.8126620355704197E-7</v>
      </c>
      <c r="DI115" s="22">
        <f t="shared" si="69"/>
        <v>59.379113796115213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-1.7053025658242404E-13</v>
      </c>
      <c r="DP115" s="17">
        <f>DO115*VLOOKUP('Données projet'!$B$14,Paramètres!$A$1:$I$89,3,0)*VLOOKUP('Données projet'!$B$14,Paramètres!$A$1:$I$89,5,0)</f>
        <v>-1.383341441396624E-13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304.26232113495314</v>
      </c>
      <c r="DU115" s="59">
        <f t="shared" si="98"/>
        <v>297.47246687305056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55.929419053964608</v>
      </c>
      <c r="EB115" s="21">
        <f>EXP(-LN(2)/25)*EB114+(1-EXP(-LN(2)/25))/(LN(2)/25)*Calculateur!DW115*Calculateur!DY115*VLOOKUP('Données projet'!$B$14,Paramètres!$A$1:$I$89,3,0)*0.475*44/12</f>
        <v>1.1905267937413528</v>
      </c>
      <c r="EC115" s="21">
        <f>EXP(-LN(2)/2)*EC114+(1-EXP(-LN(2)/2))/(LN(2)/2)*DW115*DZ115*VLOOKUP('Données projet'!$B$14,Paramètres!$A$1:$I$89,3,0)*0.475*44/12</f>
        <v>6.4741606658605627E-4</v>
      </c>
      <c r="ED115" s="22">
        <f t="shared" si="72"/>
        <v>57.120593263772548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-1.7053025658242404E-13</v>
      </c>
      <c r="EK115" s="17">
        <f>EJ115*VLOOKUP('Données projet'!$B$15,Paramètres!$A$1:$I$89,3,0)*VLOOKUP('Données projet'!$B$15,Paramètres!$A$1:$I$89,5,0)</f>
        <v>-1.6493686416652052E-13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355.72173590705142</v>
      </c>
      <c r="EP115" s="59">
        <f t="shared" si="100"/>
        <v>346.30980704469363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54.102986646541929</v>
      </c>
      <c r="EW115" s="21">
        <f>EXP(-LN(2)/25)*EW114+(1-EXP(-LN(2)/25))/(LN(2)/25)*Calculateur!ER115*Calculateur!ET115*VLOOKUP('Données projet'!$B$15,Paramètres!$A$1:$I$89,3,0)*0.475*44/12</f>
        <v>1.1516489231184492</v>
      </c>
      <c r="EX115" s="21">
        <f>EXP(-LN(2)/2)*EX114+(1-EXP(-LN(2)/2))/(LN(2)/2)*ER115*EU115*VLOOKUP('Données projet'!$B$15,Paramètres!$A$1:$I$89,3,0)*0.475*44/12</f>
        <v>7.7191915631414189E-4</v>
      </c>
      <c r="EY115" s="22">
        <f t="shared" si="75"/>
        <v>55.255407488816694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-1.7053025658242404E-13</v>
      </c>
      <c r="FF115" s="17">
        <f>FE115*VLOOKUP('Données projet'!$B$16,Paramètres!$A$1:$I$89,3,0)*VLOOKUP('Données projet'!$B$16,Paramètres!$A$1:$I$89,5,0)</f>
        <v>-1.250327841262333E-13</v>
      </c>
      <c r="FG115" s="13" t="e">
        <f t="shared" si="101"/>
        <v>#NUM!</v>
      </c>
      <c r="FH115" s="20" t="e">
        <f t="shared" si="76"/>
        <v>#NUM!</v>
      </c>
      <c r="FI115" s="59" t="e">
        <f t="shared" si="77"/>
        <v>#NUM!</v>
      </c>
      <c r="FJ115" s="59">
        <f ca="1">AVERAGE(OFFSET($FI$3,0,0,'Données projet'!$E$16+1,1))-AVERAGE(OFFSET($H$3,0,0,'Données projet'!$E$16+1,1))</f>
        <v>278.45534008146865</v>
      </c>
      <c r="FK115" s="59">
        <f t="shared" si="102"/>
        <v>272.97841038165217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41.013554393346318</v>
      </c>
      <c r="FR115" s="21">
        <f>EXP(-LN(2)/25)*FR114+(1-EXP(-LN(2)/25))/(LN(2)/25)*Calculateur!FM115*Calculateur!FO115*VLOOKUP('Données projet'!$B$16,Paramètres!$A$1:$I$89,3,0)*0.475*44/12</f>
        <v>0.87302418365430834</v>
      </c>
      <c r="FS115" s="21">
        <f>EXP(-LN(2)/2)*FS114+(1-EXP(-LN(2)/2))/(LN(2)/2)*FM115*FP115*VLOOKUP('Données projet'!$B$16,Paramètres!$A$1:$I$89,3,0)*0.475*44/12</f>
        <v>5.8516452172201129E-4</v>
      </c>
      <c r="FT115" s="22">
        <f t="shared" si="78"/>
        <v>41.88716374152235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>
        <f>VLOOKUP(A116,'Données projet'!$A$35:$I$55,2,0)</f>
        <v>284</v>
      </c>
      <c r="L116" s="12">
        <f>VLOOKUP(A116,'Données projet'!$A$35:$I$55,9,0)</f>
        <v>6</v>
      </c>
      <c r="M116" s="12">
        <f t="array" ref="M116">INDEX(L:L,MIN(IF(ISNUMBER(L116:L312),ROW(L116:L312),"")))</f>
        <v>6</v>
      </c>
      <c r="N116" s="13">
        <f>IF('Données projet'!$A$36&gt;35,N115+M116-V115,IF(A116&lt;'Données projet'!$A$36,$K$205^A116,IF(A116='Données projet'!$A$36,'Données projet'!$B$36,N115+M116-V115)))</f>
        <v>283.99999999999989</v>
      </c>
      <c r="O116" s="13">
        <f>N116*VLOOKUP('Données projet'!$B$9,Paramètres!$A$1:$I$89,3,0)*VLOOKUP('Données projet'!$B$9,Paramètres!$A$1:$I$89,5,0)</f>
        <v>256.96319999999986</v>
      </c>
      <c r="P116" s="13">
        <f t="shared" si="87"/>
        <v>62.074612956837967</v>
      </c>
      <c r="Q116" s="20">
        <f t="shared" si="107"/>
        <v>555.65752423315917</v>
      </c>
      <c r="R116" s="59">
        <f t="shared" si="55"/>
        <v>848.99085756649242</v>
      </c>
      <c r="S116" s="59">
        <f ca="1">AVERAGE(OFFSET($R$3,0,0,'Données projet'!$E$9+1,1))-AVERAGE(OFFSET($H$3,0,0,'Données projet'!$E$9+1,1))</f>
        <v>436.03161778768742</v>
      </c>
      <c r="T116" s="59">
        <f t="shared" si="88"/>
        <v>217.65884352525285</v>
      </c>
      <c r="U116" s="15">
        <f>IF(ISNA(VLOOKUP(A116,'Données projet'!$A$35:$I$55,3,0)),0,VLOOKUP(A116,'Données projet'!$A$35:$I$55,3,0))</f>
        <v>9</v>
      </c>
      <c r="V116" s="15">
        <f>IF(ISNA(VLOOKUP(A116,'Données projet'!$A$35:$I$55,4,0)),0,VLOOKUP(A116,'Données projet'!$A$35:$I$55,4,0))</f>
        <v>42</v>
      </c>
      <c r="W116" s="16">
        <f>IF(ISNA(VLOOKUP(A116,'Données projet'!$A$35:$I$55,5,0)),0%,VLOOKUP(A116,'Données projet'!$A$35:$I$55,5,0)*VLOOKUP('Données projet'!$B$9,Paramètres!$A$1:$I$89,7,0))</f>
        <v>0.30099999999999999</v>
      </c>
      <c r="X116" s="16">
        <f>IF(ISNA(VLOOKUP(A116,'Données projet'!$A$35:$I$55,6,0)),0%,VLOOKUP(A116,'Données projet'!$A$35:$I$55,6,0)*VLOOKUP('Données projet'!$B$9,Paramètres!$A$1:$I$89,7,0))</f>
        <v>4.3000000000000003E-2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21.918770917824414</v>
      </c>
      <c r="AA116" s="21">
        <f>EXP(-LN(2)/25)*AA115+(1-EXP(-LN(2)/25))/(LN(2)/25)*Calculateur!V116*Calculateur!X116*VLOOKUP('Données projet'!$B$9,Paramètres!$A$1:$I$89,3,0)*0.475*44/12</f>
        <v>20.357021055157549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42.275791972981963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>
        <f>VLOOKUP(A116,'Données projet'!$A$61:$I$81,2,0)</f>
        <v>284</v>
      </c>
      <c r="AG116" s="12">
        <f>VLOOKUP(A116,'Données projet'!$A$61:$I$81,9,0)</f>
        <v>6</v>
      </c>
      <c r="AH116" s="12">
        <f t="array" ref="AH116">INDEX(AG:AG,MIN(IF(ISNUMBER(AG116:AG312),ROW(AG116:AG312),"")))</f>
        <v>6</v>
      </c>
      <c r="AI116" s="13">
        <f>IF('Données projet'!$A$62&gt;35,AI115+AH116-AQ115,IF(A116&lt;'Données projet'!$A$62,$AF$205^A116,IF(A116='Données projet'!$A$62,'Données projet'!$B$62,AI115+AH116-AQ115)))</f>
        <v>283.99999999999989</v>
      </c>
      <c r="AJ116" s="13">
        <f>AI116*VLOOKUP('Données projet'!$B$10,Paramètres!$A$1:$I$89,3,0)*VLOOKUP('Données projet'!$B$10,Paramètres!$A$1:$I$89,5,0)</f>
        <v>287.97599999999989</v>
      </c>
      <c r="AK116" s="13">
        <f t="shared" si="89"/>
        <v>68.649801713863141</v>
      </c>
      <c r="AL116" s="20">
        <f t="shared" si="58"/>
        <v>621.12327131831137</v>
      </c>
      <c r="AM116" s="59">
        <f t="shared" si="59"/>
        <v>914.45660465164474</v>
      </c>
      <c r="AN116" s="59">
        <f ca="1">AVERAGE(OFFSET($AM$3,0,0,'Données projet'!$E$10+1,1))-AVERAGE(OFFSET($H$3,0,0,'Données projet'!$E$10+1,1))</f>
        <v>483.45320081988984</v>
      </c>
      <c r="AO116" s="59">
        <f t="shared" si="90"/>
        <v>238.92443174298893</v>
      </c>
      <c r="AP116" s="15">
        <f>IF(ISNA(VLOOKUP(A116,'Données projet'!$A$61:$I$81,3,0)),0,VLOOKUP(A116,'Données projet'!$A$61:$I$81,3,0))</f>
        <v>9</v>
      </c>
      <c r="AQ116" s="15">
        <f>IF(ISNA(VLOOKUP(A116,'Données projet'!$A$61:$I$81,4,0)),0,VLOOKUP(A116,'Données projet'!$A$61:$I$81,4,0))</f>
        <v>42</v>
      </c>
      <c r="AR116" s="16">
        <f>IF(ISNA(VLOOKUP(A116,'Données projet'!$A$61:$I$81,5,0)),0%,VLOOKUP(A116,'Données projet'!$A$61:$I$81,5,0)*VLOOKUP('Données projet'!$B$10,Paramètres!$A$1:$I$89,7,0))</f>
        <v>0.30099999999999999</v>
      </c>
      <c r="AS116" s="16">
        <f>IF(ISNA(VLOOKUP(A116,'Données projet'!$A$61:$I$81,6,0)),0%,VLOOKUP(A116,'Données projet'!$A$61:$I$81,6,0)*VLOOKUP('Données projet'!$B$10,Paramètres!$A$1:$I$89,7,0))</f>
        <v>4.3000000000000003E-2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24.564139821699779</v>
      </c>
      <c r="AV116" s="21">
        <f>EXP(-LN(2)/25)*AV115+(1-EXP(-LN(2)/25))/(LN(2)/25)*Calculateur!AQ116*Calculateur!AS116*VLOOKUP('Données projet'!$B$10,Paramètres!$A$1:$I$89,3,0)*0.475*44/12</f>
        <v>22.813902906642085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47.378042728341867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1.7053025658242404E-13</v>
      </c>
      <c r="BE116" s="13">
        <f>BD116*VLOOKUP('Données projet'!$B$11,Paramètres!$A$1:$I$89,3,0)*VLOOKUP('Données projet'!$B$11,Paramètres!$A$1:$I$89,5,0)</f>
        <v>1.4897523215040567E-13</v>
      </c>
      <c r="BF116" s="13">
        <f t="shared" si="91"/>
        <v>2.136562777003313E-12</v>
      </c>
      <c r="BG116" s="20">
        <f t="shared" si="61"/>
        <v>3.9806453659427267E-12</v>
      </c>
      <c r="BH116" s="59">
        <f t="shared" si="62"/>
        <v>293.33333333333729</v>
      </c>
      <c r="BI116" s="59">
        <f ca="1">AVERAGE(OFFSET($BH$3,0,0,'Données projet'!$E$11+1,1))-AVERAGE(OFFSET($H$3,0,0,'Données projet'!$E$11+1,1))</f>
        <v>310.44153296396854</v>
      </c>
      <c r="BJ116" s="59">
        <f t="shared" si="92"/>
        <v>388.05195847800502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34.721449882897879</v>
      </c>
      <c r="BQ116" s="21">
        <f>EXP(-LN(2)/25)*BQ115+(1-EXP(-LN(2)/25))/(LN(2)/25)*Calculateur!BL116*Calculateur!BN116*VLOOKUP('Données projet'!$B$11,Paramètres!$A$1:$I$89,3,0)*0.475*44/12</f>
        <v>1.6101877493326087</v>
      </c>
      <c r="BR116" s="21">
        <f>EXP(-LN(2)/2)*BR115+(1-EXP(-LN(2)/2))/(LN(2)/2)*BL116*BO116*VLOOKUP('Données projet'!$B$11,Paramètres!$A$1:$I$89,3,0)*0.475*44/12</f>
        <v>1.3888434849331717E-5</v>
      </c>
      <c r="BS116" s="22">
        <f t="shared" si="63"/>
        <v>36.331651520665339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-2.2737367544323206E-13</v>
      </c>
      <c r="BZ116" s="13">
        <f>BY116*VLOOKUP('Données projet'!$B$12,Paramètres!$A$1:$I$89,3,0)*VLOOKUP('Données projet'!$B$12,Paramètres!$A$1:$I$89,5,0)</f>
        <v>-1.2710188457276673E-13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443.34220761968419</v>
      </c>
      <c r="CE116" s="59">
        <f t="shared" si="94"/>
        <v>546.58234447298014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89.066881081820981</v>
      </c>
      <c r="CL116" s="21">
        <f>EXP(-LN(2)/25)*CL115+(1-EXP(-LN(2)/25))/(LN(2)/25)*Calculateur!CG116*Calculateur!CI116*VLOOKUP('Données projet'!$B$12,Paramètres!$A$1:$I$89,3,0)*0.475*44/12</f>
        <v>13.948856194044245</v>
      </c>
      <c r="CM116" s="21">
        <f>EXP(-LN(2)/2)*CM115+(1-EXP(-LN(2)/2))/(LN(2)/2)*CG116*CJ116*VLOOKUP('Données projet'!$B$12,Paramètres!$A$1:$I$89,3,0)*0.475*44/12</f>
        <v>4.5506384531160862E-7</v>
      </c>
      <c r="CN116" s="22">
        <f t="shared" si="66"/>
        <v>103.01573773092906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>
        <f>CT116*VLOOKUP('Données projet'!$B$13,Paramètres!$A$1:$I$89,3,0)*VLOOKUP('Données projet'!$B$13,Paramètres!$A$1:$I$89,5,0)</f>
        <v>0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214.22606988805535</v>
      </c>
      <c r="CZ116" s="59">
        <f t="shared" si="96"/>
        <v>305.78163836959078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49.97473531198127</v>
      </c>
      <c r="DG116" s="21">
        <f>EXP(-LN(2)/25)*DG115+(1-EXP(-LN(2)/25))/(LN(2)/25)*Calculateur!DB116*Calculateur!DD116*VLOOKUP('Données projet'!$B$13,Paramètres!$A$1:$I$89,3,0)*0.475*44/12</f>
        <v>8.1749732843942464</v>
      </c>
      <c r="DH116" s="21">
        <f>EXP(-LN(2)/2)*DH115+(1-EXP(-LN(2)/2))/(LN(2)/2)*DB116*DE116*VLOOKUP('Données projet'!$B$13,Paramètres!$A$1:$I$89,3,0)*0.475*44/12</f>
        <v>1.9888523985378022E-7</v>
      </c>
      <c r="DI116" s="22">
        <f t="shared" si="69"/>
        <v>58.149708795260757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-1.7053025658242404E-13</v>
      </c>
      <c r="DP116" s="17">
        <f>DO116*VLOOKUP('Données projet'!$B$14,Paramètres!$A$1:$I$89,3,0)*VLOOKUP('Données projet'!$B$14,Paramètres!$A$1:$I$89,5,0)</f>
        <v>-1.383341441396624E-13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304.26232113495314</v>
      </c>
      <c r="DU116" s="59">
        <f t="shared" si="98"/>
        <v>297.47246687305056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54.832677259893551</v>
      </c>
      <c r="EB116" s="21">
        <f>EXP(-LN(2)/25)*EB115+(1-EXP(-LN(2)/25))/(LN(2)/25)*Calculateur!DW116*Calculateur!DY116*VLOOKUP('Données projet'!$B$14,Paramètres!$A$1:$I$89,3,0)*0.475*44/12</f>
        <v>1.1579717759594124</v>
      </c>
      <c r="EC116" s="21">
        <f>EXP(-LN(2)/2)*EC115+(1-EXP(-LN(2)/2))/(LN(2)/2)*DW116*DZ116*VLOOKUP('Données projet'!$B$14,Paramètres!$A$1:$I$89,3,0)*0.475*44/12</f>
        <v>4.5779229093212182E-4</v>
      </c>
      <c r="ED116" s="22">
        <f t="shared" si="72"/>
        <v>55.991106828143892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-1.7053025658242404E-13</v>
      </c>
      <c r="EK116" s="17">
        <f>EJ116*VLOOKUP('Données projet'!$B$15,Paramètres!$A$1:$I$89,3,0)*VLOOKUP('Données projet'!$B$15,Paramètres!$A$1:$I$89,5,0)</f>
        <v>-1.6493686416652052E-13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355.72173590705142</v>
      </c>
      <c r="EP116" s="59">
        <f t="shared" si="100"/>
        <v>346.30980704469363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53.04206007796666</v>
      </c>
      <c r="EW116" s="21">
        <f>EXP(-LN(2)/25)*EW115+(1-EXP(-LN(2)/25))/(LN(2)/25)*Calculateur!ER116*Calculateur!ET116*VLOOKUP('Données projet'!$B$15,Paramètres!$A$1:$I$89,3,0)*0.475*44/12</f>
        <v>1.1201570227531905</v>
      </c>
      <c r="EX116" s="21">
        <f>EXP(-LN(2)/2)*EX115+(1-EXP(-LN(2)/2))/(LN(2)/2)*ER116*EU116*VLOOKUP('Données projet'!$B$15,Paramètres!$A$1:$I$89,3,0)*0.475*44/12</f>
        <v>5.4582926995752829E-4</v>
      </c>
      <c r="EY116" s="22">
        <f t="shared" si="75"/>
        <v>54.16276292998981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-1.7053025658242404E-13</v>
      </c>
      <c r="FF116" s="17">
        <f>FE116*VLOOKUP('Données projet'!$B$16,Paramètres!$A$1:$I$89,3,0)*VLOOKUP('Données projet'!$B$16,Paramètres!$A$1:$I$89,5,0)</f>
        <v>-1.250327841262333E-13</v>
      </c>
      <c r="FG116" s="13" t="e">
        <f t="shared" si="101"/>
        <v>#NUM!</v>
      </c>
      <c r="FH116" s="20" t="e">
        <f t="shared" si="76"/>
        <v>#NUM!</v>
      </c>
      <c r="FI116" s="59" t="e">
        <f t="shared" si="77"/>
        <v>#NUM!</v>
      </c>
      <c r="FJ116" s="59">
        <f ca="1">AVERAGE(OFFSET($FI$3,0,0,'Données projet'!$E$16+1,1))-AVERAGE(OFFSET($H$3,0,0,'Données projet'!$E$16+1,1))</f>
        <v>278.45534008146865</v>
      </c>
      <c r="FK116" s="59">
        <f t="shared" si="102"/>
        <v>272.97841038165217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40.209303607490874</v>
      </c>
      <c r="FR116" s="21">
        <f>EXP(-LN(2)/25)*FR115+(1-EXP(-LN(2)/25))/(LN(2)/25)*Calculateur!FM116*Calculateur!FO116*VLOOKUP('Données projet'!$B$16,Paramètres!$A$1:$I$89,3,0)*0.475*44/12</f>
        <v>0.8491512914419348</v>
      </c>
      <c r="FS116" s="21">
        <f>EXP(-LN(2)/2)*FS115+(1-EXP(-LN(2)/2))/(LN(2)/2)*FM116*FP116*VLOOKUP('Données projet'!$B$16,Paramètres!$A$1:$I$89,3,0)*0.475*44/12</f>
        <v>4.1377380141941698E-4</v>
      </c>
      <c r="FT116" s="22">
        <f t="shared" si="78"/>
        <v>41.058868672734228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6.4</v>
      </c>
      <c r="N117" s="13">
        <f>IF('Données projet'!$A$36&gt;35,N116+M117-V116,IF(A117&lt;'Données projet'!$A$36,$K$205^A117,IF(A117='Données projet'!$A$36,'Données projet'!$B$36,N116+M117-V116)))</f>
        <v>248.39999999999986</v>
      </c>
      <c r="O117" s="13">
        <f>N117*VLOOKUP('Données projet'!$B$9,Paramètres!$A$1:$I$89,3,0)*VLOOKUP('Données projet'!$B$9,Paramètres!$A$1:$I$89,5,0)</f>
        <v>224.75231999999988</v>
      </c>
      <c r="P117" s="13">
        <f t="shared" si="87"/>
        <v>55.146490754971083</v>
      </c>
      <c r="Q117" s="20">
        <f t="shared" si="107"/>
        <v>487.49042873157441</v>
      </c>
      <c r="R117" s="59">
        <f t="shared" si="55"/>
        <v>780.82376206490767</v>
      </c>
      <c r="S117" s="59">
        <f ca="1">AVERAGE(OFFSET($R$3,0,0,'Données projet'!$E$9+1,1))-AVERAGE(OFFSET($H$3,0,0,'Données projet'!$E$9+1,1))</f>
        <v>436.03161778768742</v>
      </c>
      <c r="T117" s="59">
        <f t="shared" si="88"/>
        <v>217.65884352525285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21.488957189256045</v>
      </c>
      <c r="AA117" s="21">
        <f>EXP(-LN(2)/25)*AA116+(1-EXP(-LN(2)/25))/(LN(2)/25)*Calculateur!V117*Calculateur!X117*VLOOKUP('Données projet'!$B$9,Paramètres!$A$1:$I$89,3,0)*0.475*44/12</f>
        <v>19.800357243875055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41.289314433131096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6.4</v>
      </c>
      <c r="AI117" s="13">
        <f>IF('Données projet'!$A$62&gt;35,AI116+AH117-AQ116,IF(A117&lt;'Données projet'!$A$62,$AF$205^A117,IF(A117='Données projet'!$A$62,'Données projet'!$B$62,AI116+AH117-AQ116)))</f>
        <v>248.39999999999986</v>
      </c>
      <c r="AJ117" s="13">
        <f>AI117*VLOOKUP('Données projet'!$B$10,Paramètres!$A$1:$I$89,3,0)*VLOOKUP('Données projet'!$B$10,Paramètres!$A$1:$I$89,5,0)</f>
        <v>251.87759999999989</v>
      </c>
      <c r="AK117" s="13">
        <f t="shared" si="89"/>
        <v>60.987825380023075</v>
      </c>
      <c r="AL117" s="20">
        <f t="shared" si="58"/>
        <v>544.90728253687325</v>
      </c>
      <c r="AM117" s="59">
        <f t="shared" si="59"/>
        <v>838.24061587020651</v>
      </c>
      <c r="AN117" s="59">
        <f ca="1">AVERAGE(OFFSET($AM$3,0,0,'Données projet'!$E$10+1,1))-AVERAGE(OFFSET($H$3,0,0,'Données projet'!$E$10+1,1))</f>
        <v>483.45320081988984</v>
      </c>
      <c r="AO117" s="59">
        <f t="shared" si="90"/>
        <v>238.92443174298893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24.082452022442123</v>
      </c>
      <c r="AV117" s="21">
        <f>EXP(-LN(2)/25)*AV116+(1-EXP(-LN(2)/25))/(LN(2)/25)*Calculateur!AQ117*Calculateur!AS117*VLOOKUP('Données projet'!$B$10,Paramètres!$A$1:$I$89,3,0)*0.475*44/12</f>
        <v>22.190055531928945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46.272507554371067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1.7053025658242404E-13</v>
      </c>
      <c r="BE117" s="13">
        <f>BD117*VLOOKUP('Données projet'!$B$11,Paramètres!$A$1:$I$89,3,0)*VLOOKUP('Données projet'!$B$11,Paramètres!$A$1:$I$89,5,0)</f>
        <v>1.4897523215040567E-13</v>
      </c>
      <c r="BF117" s="13">
        <f t="shared" si="91"/>
        <v>2.136562777003313E-12</v>
      </c>
      <c r="BG117" s="20">
        <f t="shared" si="61"/>
        <v>3.9806453659427267E-12</v>
      </c>
      <c r="BH117" s="59">
        <f t="shared" si="62"/>
        <v>293.33333333333729</v>
      </c>
      <c r="BI117" s="59">
        <f ca="1">AVERAGE(OFFSET($BH$3,0,0,'Données projet'!$E$11+1,1))-AVERAGE(OFFSET($H$3,0,0,'Données projet'!$E$11+1,1))</f>
        <v>310.44153296396854</v>
      </c>
      <c r="BJ117" s="59">
        <f t="shared" si="92"/>
        <v>388.05195847800502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34.040583428687526</v>
      </c>
      <c r="BQ117" s="21">
        <f>EXP(-LN(2)/25)*BQ116+(1-EXP(-LN(2)/25))/(LN(2)/25)*Calculateur!BL117*Calculateur!BN117*VLOOKUP('Données projet'!$B$11,Paramètres!$A$1:$I$89,3,0)*0.475*44/12</f>
        <v>1.5661570806510148</v>
      </c>
      <c r="BR117" s="21">
        <f>EXP(-LN(2)/2)*BR116+(1-EXP(-LN(2)/2))/(LN(2)/2)*BL117*BO117*VLOOKUP('Données projet'!$B$11,Paramètres!$A$1:$I$89,3,0)*0.475*44/12</f>
        <v>9.8206064620300235E-6</v>
      </c>
      <c r="BS117" s="22">
        <f t="shared" si="63"/>
        <v>35.606750329945008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-2.2737367544323206E-13</v>
      </c>
      <c r="BZ117" s="13">
        <f>BY117*VLOOKUP('Données projet'!$B$12,Paramètres!$A$1:$I$89,3,0)*VLOOKUP('Données projet'!$B$12,Paramètres!$A$1:$I$89,5,0)</f>
        <v>-1.2710188457276673E-13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443.34220761968419</v>
      </c>
      <c r="CE117" s="59">
        <f t="shared" si="94"/>
        <v>546.58234447298014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87.320333869239747</v>
      </c>
      <c r="CL117" s="21">
        <f>EXP(-LN(2)/25)*CL116+(1-EXP(-LN(2)/25))/(LN(2)/25)*Calculateur!CG117*Calculateur!CI117*VLOOKUP('Données projet'!$B$12,Paramètres!$A$1:$I$89,3,0)*0.475*44/12</f>
        <v>13.567423987879637</v>
      </c>
      <c r="CM117" s="21">
        <f>EXP(-LN(2)/2)*CM116+(1-EXP(-LN(2)/2))/(LN(2)/2)*CG117*CJ117*VLOOKUP('Données projet'!$B$12,Paramètres!$A$1:$I$89,3,0)*0.475*44/12</f>
        <v>3.2177873089266458E-7</v>
      </c>
      <c r="CN117" s="22">
        <f t="shared" si="66"/>
        <v>100.88775817889811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>
        <f>CT117*VLOOKUP('Données projet'!$B$13,Paramètres!$A$1:$I$89,3,0)*VLOOKUP('Données projet'!$B$13,Paramètres!$A$1:$I$89,5,0)</f>
        <v>0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214.22606988805535</v>
      </c>
      <c r="CZ117" s="59">
        <f t="shared" si="96"/>
        <v>305.78163836959078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48.994761234092053</v>
      </c>
      <c r="DG117" s="21">
        <f>EXP(-LN(2)/25)*DG116+(1-EXP(-LN(2)/25))/(LN(2)/25)*Calculateur!DB117*Calculateur!DD117*VLOOKUP('Données projet'!$B$13,Paramètres!$A$1:$I$89,3,0)*0.475*44/12</f>
        <v>7.9514282100293245</v>
      </c>
      <c r="DH117" s="21">
        <f>EXP(-LN(2)/2)*DH116+(1-EXP(-LN(2)/2))/(LN(2)/2)*DB117*DE117*VLOOKUP('Données projet'!$B$13,Paramètres!$A$1:$I$89,3,0)*0.475*44/12</f>
        <v>1.4063310177852099E-7</v>
      </c>
      <c r="DI117" s="22">
        <f t="shared" si="69"/>
        <v>56.946189584754485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-1.7053025658242404E-13</v>
      </c>
      <c r="DP117" s="17">
        <f>DO117*VLOOKUP('Données projet'!$B$14,Paramètres!$A$1:$I$89,3,0)*VLOOKUP('Données projet'!$B$14,Paramètres!$A$1:$I$89,5,0)</f>
        <v>-1.383341441396624E-13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304.26232113495314</v>
      </c>
      <c r="DU117" s="59">
        <f t="shared" si="98"/>
        <v>297.47246687305056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53.757441903457782</v>
      </c>
      <c r="EB117" s="21">
        <f>EXP(-LN(2)/25)*EB116+(1-EXP(-LN(2)/25))/(LN(2)/25)*Calculateur!DW117*Calculateur!DY117*VLOOKUP('Données projet'!$B$14,Paramètres!$A$1:$I$89,3,0)*0.475*44/12</f>
        <v>1.126306976850713</v>
      </c>
      <c r="EC117" s="21">
        <f>EXP(-LN(2)/2)*EC116+(1-EXP(-LN(2)/2))/(LN(2)/2)*DW117*DZ117*VLOOKUP('Données projet'!$B$14,Paramètres!$A$1:$I$89,3,0)*0.475*44/12</f>
        <v>3.2370803329302819E-4</v>
      </c>
      <c r="ED117" s="22">
        <f t="shared" si="72"/>
        <v>54.884072588341787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-1.7053025658242404E-13</v>
      </c>
      <c r="EK117" s="17">
        <f>EJ117*VLOOKUP('Données projet'!$B$15,Paramètres!$A$1:$I$89,3,0)*VLOOKUP('Données projet'!$B$15,Paramètres!$A$1:$I$89,5,0)</f>
        <v>-1.6493686416652052E-13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355.72173590705142</v>
      </c>
      <c r="EP117" s="59">
        <f t="shared" si="100"/>
        <v>346.30980704469363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52.001937632299843</v>
      </c>
      <c r="EW117" s="21">
        <f>EXP(-LN(2)/25)*EW116+(1-EXP(-LN(2)/25))/(LN(2)/25)*Calculateur!ER117*Calculateur!ET117*VLOOKUP('Données projet'!$B$15,Paramètres!$A$1:$I$89,3,0)*0.475*44/12</f>
        <v>1.0895262700595068</v>
      </c>
      <c r="EX117" s="21">
        <f>EXP(-LN(2)/2)*EX116+(1-EXP(-LN(2)/2))/(LN(2)/2)*ER117*EU117*VLOOKUP('Données projet'!$B$15,Paramètres!$A$1:$I$89,3,0)*0.475*44/12</f>
        <v>3.8595957815707095E-4</v>
      </c>
      <c r="EY117" s="22">
        <f t="shared" si="75"/>
        <v>53.091849861937511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-1.7053025658242404E-13</v>
      </c>
      <c r="FF117" s="17">
        <f>FE117*VLOOKUP('Données projet'!$B$16,Paramètres!$A$1:$I$89,3,0)*VLOOKUP('Données projet'!$B$16,Paramètres!$A$1:$I$89,5,0)</f>
        <v>-1.250327841262333E-13</v>
      </c>
      <c r="FG117" s="13" t="e">
        <f t="shared" si="101"/>
        <v>#NUM!</v>
      </c>
      <c r="FH117" s="20" t="e">
        <f t="shared" si="76"/>
        <v>#NUM!</v>
      </c>
      <c r="FI117" s="59" t="e">
        <f t="shared" si="77"/>
        <v>#NUM!</v>
      </c>
      <c r="FJ117" s="59">
        <f ca="1">AVERAGE(OFFSET($FI$3,0,0,'Données projet'!$E$16+1,1))-AVERAGE(OFFSET($H$3,0,0,'Données projet'!$E$16+1,1))</f>
        <v>278.45534008146865</v>
      </c>
      <c r="FK117" s="59">
        <f t="shared" si="102"/>
        <v>272.97841038165217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39.420823689001509</v>
      </c>
      <c r="FR117" s="21">
        <f>EXP(-LN(2)/25)*FR116+(1-EXP(-LN(2)/25))/(LN(2)/25)*Calculateur!FM117*Calculateur!FO117*VLOOKUP('Données projet'!$B$16,Paramètres!$A$1:$I$89,3,0)*0.475*44/12</f>
        <v>0.82593120472252946</v>
      </c>
      <c r="FS117" s="21">
        <f>EXP(-LN(2)/2)*FS116+(1-EXP(-LN(2)/2))/(LN(2)/2)*FM117*FP117*VLOOKUP('Données projet'!$B$16,Paramètres!$A$1:$I$89,3,0)*0.475*44/12</f>
        <v>2.9258226086100565E-4</v>
      </c>
      <c r="FT117" s="22">
        <f t="shared" si="78"/>
        <v>40.2470474759849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6.4</v>
      </c>
      <c r="N118" s="13">
        <f>IF('Données projet'!$A$36&gt;35,N117+M118-V117,IF(A118&lt;'Données projet'!$A$36,$K$205^A118,IF(A118='Données projet'!$A$36,'Données projet'!$B$36,N117+M118-V117)))</f>
        <v>254.79999999999987</v>
      </c>
      <c r="O118" s="13">
        <f>N118*VLOOKUP('Données projet'!$B$9,Paramètres!$A$1:$I$89,3,0)*VLOOKUP('Données projet'!$B$9,Paramètres!$A$1:$I$89,5,0)</f>
        <v>230.54303999999985</v>
      </c>
      <c r="P118" s="13">
        <f t="shared" si="87"/>
        <v>56.400083354856683</v>
      </c>
      <c r="Q118" s="20">
        <f t="shared" si="107"/>
        <v>499.75927317637507</v>
      </c>
      <c r="R118" s="59">
        <f t="shared" si="55"/>
        <v>793.09260650970839</v>
      </c>
      <c r="S118" s="59">
        <f ca="1">AVERAGE(OFFSET($R$3,0,0,'Données projet'!$E$9+1,1))-AVERAGE(OFFSET($H$3,0,0,'Données projet'!$E$9+1,1))</f>
        <v>436.03161778768742</v>
      </c>
      <c r="T118" s="59">
        <f t="shared" si="88"/>
        <v>217.65884352525285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21.067571845744414</v>
      </c>
      <c r="AA118" s="21">
        <f>EXP(-LN(2)/25)*AA117+(1-EXP(-LN(2)/25))/(LN(2)/25)*Calculateur!V118*Calculateur!X118*VLOOKUP('Données projet'!$B$9,Paramètres!$A$1:$I$89,3,0)*0.475*44/12</f>
        <v>19.258915433785759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40.32648727953017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6.4</v>
      </c>
      <c r="AI118" s="13">
        <f>IF('Données projet'!$A$62&gt;35,AI117+AH118-AQ117,IF(A118&lt;'Données projet'!$A$62,$AF$205^A118,IF(A118='Données projet'!$A$62,'Données projet'!$B$62,AI117+AH118-AQ117)))</f>
        <v>254.79999999999987</v>
      </c>
      <c r="AJ118" s="13">
        <f>AI118*VLOOKUP('Données projet'!$B$10,Paramètres!$A$1:$I$89,3,0)*VLOOKUP('Données projet'!$B$10,Paramètres!$A$1:$I$89,5,0)</f>
        <v>258.36719999999985</v>
      </c>
      <c r="AK118" s="13">
        <f t="shared" si="89"/>
        <v>62.374203471046343</v>
      </c>
      <c r="AL118" s="20">
        <f t="shared" si="58"/>
        <v>558.62461104540546</v>
      </c>
      <c r="AM118" s="59">
        <f t="shared" si="59"/>
        <v>851.95794437873883</v>
      </c>
      <c r="AN118" s="59">
        <f ca="1">AVERAGE(OFFSET($AM$3,0,0,'Données projet'!$E$10+1,1))-AVERAGE(OFFSET($H$3,0,0,'Données projet'!$E$10+1,1))</f>
        <v>483.45320081988984</v>
      </c>
      <c r="AO118" s="59">
        <f t="shared" si="90"/>
        <v>238.92443174298893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23.610209827127363</v>
      </c>
      <c r="AV118" s="21">
        <f>EXP(-LN(2)/25)*AV117+(1-EXP(-LN(2)/25))/(LN(2)/25)*Calculateur!AQ118*Calculateur!AS118*VLOOKUP('Données projet'!$B$10,Paramètres!$A$1:$I$89,3,0)*0.475*44/12</f>
        <v>21.583267296484042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45.193477123611402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1.7053025658242404E-13</v>
      </c>
      <c r="BE118" s="13">
        <f>BD118*VLOOKUP('Données projet'!$B$11,Paramètres!$A$1:$I$89,3,0)*VLOOKUP('Données projet'!$B$11,Paramètres!$A$1:$I$89,5,0)</f>
        <v>1.4897523215040567E-13</v>
      </c>
      <c r="BF118" s="13">
        <f t="shared" si="91"/>
        <v>2.136562777003313E-12</v>
      </c>
      <c r="BG118" s="20">
        <f t="shared" si="61"/>
        <v>3.9806453659427267E-12</v>
      </c>
      <c r="BH118" s="59">
        <f t="shared" si="62"/>
        <v>293.33333333333729</v>
      </c>
      <c r="BI118" s="59">
        <f ca="1">AVERAGE(OFFSET($BH$3,0,0,'Données projet'!$E$11+1,1))-AVERAGE(OFFSET($H$3,0,0,'Données projet'!$E$11+1,1))</f>
        <v>310.44153296396854</v>
      </c>
      <c r="BJ118" s="59">
        <f t="shared" si="92"/>
        <v>388.05195847800502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33.373068350356711</v>
      </c>
      <c r="BQ118" s="21">
        <f>EXP(-LN(2)/25)*BQ117+(1-EXP(-LN(2)/25))/(LN(2)/25)*Calculateur!BL118*Calculateur!BN118*VLOOKUP('Données projet'!$B$11,Paramètres!$A$1:$I$89,3,0)*0.475*44/12</f>
        <v>1.5233304329199915</v>
      </c>
      <c r="BR118" s="21">
        <f>EXP(-LN(2)/2)*BR117+(1-EXP(-LN(2)/2))/(LN(2)/2)*BL118*BO118*VLOOKUP('Données projet'!$B$11,Paramètres!$A$1:$I$89,3,0)*0.475*44/12</f>
        <v>6.9442174246658586E-6</v>
      </c>
      <c r="BS118" s="22">
        <f t="shared" si="63"/>
        <v>34.896405727494127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-2.2737367544323206E-13</v>
      </c>
      <c r="BZ118" s="13">
        <f>BY118*VLOOKUP('Données projet'!$B$12,Paramètres!$A$1:$I$89,3,0)*VLOOKUP('Données projet'!$B$12,Paramètres!$A$1:$I$89,5,0)</f>
        <v>-1.2710188457276673E-13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443.34220761968419</v>
      </c>
      <c r="CE118" s="59">
        <f t="shared" si="94"/>
        <v>546.58234447298014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85.608035382208612</v>
      </c>
      <c r="CL118" s="21">
        <f>EXP(-LN(2)/25)*CL117+(1-EXP(-LN(2)/25))/(LN(2)/25)*Calculateur!CG118*Calculateur!CI118*VLOOKUP('Données projet'!$B$12,Paramètres!$A$1:$I$89,3,0)*0.475*44/12</f>
        <v>13.19642206545125</v>
      </c>
      <c r="CM118" s="21">
        <f>EXP(-LN(2)/2)*CM117+(1-EXP(-LN(2)/2))/(LN(2)/2)*CG118*CJ118*VLOOKUP('Données projet'!$B$12,Paramètres!$A$1:$I$89,3,0)*0.475*44/12</f>
        <v>2.2753192265580436E-7</v>
      </c>
      <c r="CN118" s="22">
        <f t="shared" si="66"/>
        <v>98.804457675191784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>
        <f>CT118*VLOOKUP('Données projet'!$B$13,Paramètres!$A$1:$I$89,3,0)*VLOOKUP('Données projet'!$B$13,Paramètres!$A$1:$I$89,5,0)</f>
        <v>0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214.22606988805535</v>
      </c>
      <c r="CZ118" s="59">
        <f t="shared" si="96"/>
        <v>305.78163836959078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48.034003850145076</v>
      </c>
      <c r="DG118" s="21">
        <f>EXP(-LN(2)/25)*DG117+(1-EXP(-LN(2)/25))/(LN(2)/25)*Calculateur!DB118*Calculateur!DD118*VLOOKUP('Données projet'!$B$13,Paramètres!$A$1:$I$89,3,0)*0.475*44/12</f>
        <v>7.7339959874786359</v>
      </c>
      <c r="DH118" s="21">
        <f>EXP(-LN(2)/2)*DH117+(1-EXP(-LN(2)/2))/(LN(2)/2)*DB118*DE118*VLOOKUP('Données projet'!$B$13,Paramètres!$A$1:$I$89,3,0)*0.475*44/12</f>
        <v>9.9442619926890109E-8</v>
      </c>
      <c r="DI118" s="22">
        <f t="shared" si="69"/>
        <v>55.767999937066335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-1.7053025658242404E-13</v>
      </c>
      <c r="DP118" s="17">
        <f>DO118*VLOOKUP('Données projet'!$B$14,Paramètres!$A$1:$I$89,3,0)*VLOOKUP('Données projet'!$B$14,Paramètres!$A$1:$I$89,5,0)</f>
        <v>-1.383341441396624E-13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304.26232113495314</v>
      </c>
      <c r="DU118" s="59">
        <f t="shared" si="98"/>
        <v>297.47246687305056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52.703291256532907</v>
      </c>
      <c r="EB118" s="21">
        <f>EXP(-LN(2)/25)*EB117+(1-EXP(-LN(2)/25))/(LN(2)/25)*Calculateur!DW118*Calculateur!DY118*VLOOKUP('Données projet'!$B$14,Paramètres!$A$1:$I$89,3,0)*0.475*44/12</f>
        <v>1.0955080533388206</v>
      </c>
      <c r="EC118" s="21">
        <f>EXP(-LN(2)/2)*EC117+(1-EXP(-LN(2)/2))/(LN(2)/2)*DW118*DZ118*VLOOKUP('Données projet'!$B$14,Paramètres!$A$1:$I$89,3,0)*0.475*44/12</f>
        <v>2.2889614546606093E-4</v>
      </c>
      <c r="ED118" s="22">
        <f t="shared" si="72"/>
        <v>53.799028206017191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-1.7053025658242404E-13</v>
      </c>
      <c r="EK118" s="17">
        <f>EJ118*VLOOKUP('Données projet'!$B$15,Paramètres!$A$1:$I$89,3,0)*VLOOKUP('Données projet'!$B$15,Paramètres!$A$1:$I$89,5,0)</f>
        <v>-1.6493686416652052E-13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355.72173590705142</v>
      </c>
      <c r="EP118" s="59">
        <f t="shared" si="100"/>
        <v>346.30980704469363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50.982211353380499</v>
      </c>
      <c r="EW118" s="21">
        <f>EXP(-LN(2)/25)*EW117+(1-EXP(-LN(2)/25))/(LN(2)/25)*Calculateur!ER118*Calculateur!ET118*VLOOKUP('Données projet'!$B$15,Paramètres!$A$1:$I$89,3,0)*0.475*44/12</f>
        <v>1.0597331169090332</v>
      </c>
      <c r="EX118" s="21">
        <f>EXP(-LN(2)/2)*EX117+(1-EXP(-LN(2)/2))/(LN(2)/2)*ER118*EU118*VLOOKUP('Données projet'!$B$15,Paramètres!$A$1:$I$89,3,0)*0.475*44/12</f>
        <v>2.7291463497876415E-4</v>
      </c>
      <c r="EY118" s="22">
        <f t="shared" si="75"/>
        <v>52.042217384924513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-1.7053025658242404E-13</v>
      </c>
      <c r="FF118" s="17">
        <f>FE118*VLOOKUP('Données projet'!$B$16,Paramètres!$A$1:$I$89,3,0)*VLOOKUP('Données projet'!$B$16,Paramètres!$A$1:$I$89,5,0)</f>
        <v>-1.250327841262333E-13</v>
      </c>
      <c r="FG118" s="13" t="e">
        <f t="shared" si="101"/>
        <v>#NUM!</v>
      </c>
      <c r="FH118" s="20" t="e">
        <f t="shared" si="76"/>
        <v>#NUM!</v>
      </c>
      <c r="FI118" s="59" t="e">
        <f t="shared" si="77"/>
        <v>#NUM!</v>
      </c>
      <c r="FJ118" s="59">
        <f ca="1">AVERAGE(OFFSET($FI$3,0,0,'Données projet'!$E$16+1,1))-AVERAGE(OFFSET($H$3,0,0,'Données projet'!$E$16+1,1))</f>
        <v>278.45534008146865</v>
      </c>
      <c r="FK118" s="59">
        <f t="shared" si="102"/>
        <v>272.97841038165217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38.647805380788462</v>
      </c>
      <c r="FR118" s="21">
        <f>EXP(-LN(2)/25)*FR117+(1-EXP(-LN(2)/25))/(LN(2)/25)*Calculateur!FM118*Calculateur!FO118*VLOOKUP('Données projet'!$B$16,Paramètres!$A$1:$I$89,3,0)*0.475*44/12</f>
        <v>0.80334607249555756</v>
      </c>
      <c r="FS118" s="21">
        <f>EXP(-LN(2)/2)*FS117+(1-EXP(-LN(2)/2))/(LN(2)/2)*FM118*FP118*VLOOKUP('Données projet'!$B$16,Paramètres!$A$1:$I$89,3,0)*0.475*44/12</f>
        <v>2.0688690070970849E-4</v>
      </c>
      <c r="FT118" s="22">
        <f t="shared" si="78"/>
        <v>39.451358340184733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6.4</v>
      </c>
      <c r="N119" s="13">
        <f>IF('Données projet'!$A$36&gt;35,N118+M119-V118,IF(A119&lt;'Données projet'!$A$36,$K$205^A119,IF(A119='Données projet'!$A$36,'Données projet'!$B$36,N118+M119-V118)))</f>
        <v>261.19999999999987</v>
      </c>
      <c r="O119" s="13">
        <f>N119*VLOOKUP('Données projet'!$B$9,Paramètres!$A$1:$I$89,3,0)*VLOOKUP('Données projet'!$B$9,Paramètres!$A$1:$I$89,5,0)</f>
        <v>236.3337599999999</v>
      </c>
      <c r="P119" s="13">
        <f t="shared" si="87"/>
        <v>57.650015765889798</v>
      </c>
      <c r="Q119" s="20">
        <f t="shared" si="107"/>
        <v>512.02174279225778</v>
      </c>
      <c r="R119" s="59">
        <f t="shared" si="55"/>
        <v>805.35507612559104</v>
      </c>
      <c r="S119" s="59">
        <f ca="1">AVERAGE(OFFSET($R$3,0,0,'Données projet'!$E$9+1,1))-AVERAGE(OFFSET($H$3,0,0,'Données projet'!$E$9+1,1))</f>
        <v>436.03161778768742</v>
      </c>
      <c r="T119" s="59">
        <f t="shared" si="88"/>
        <v>217.65884352525285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20.654449611799365</v>
      </c>
      <c r="AA119" s="21">
        <f>EXP(-LN(2)/25)*AA118+(1-EXP(-LN(2)/25))/(LN(2)/25)*Calculateur!V119*Calculateur!X119*VLOOKUP('Données projet'!$B$9,Paramètres!$A$1:$I$89,3,0)*0.475*44/12</f>
        <v>18.732279378466544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39.386728990265908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6.4</v>
      </c>
      <c r="AI119" s="13">
        <f>IF('Données projet'!$A$62&gt;35,AI118+AH119-AQ118,IF(A119&lt;'Données projet'!$A$62,$AF$205^A119,IF(A119='Données projet'!$A$62,'Données projet'!$B$62,AI118+AH119-AQ118)))</f>
        <v>261.19999999999987</v>
      </c>
      <c r="AJ119" s="13">
        <f>AI119*VLOOKUP('Données projet'!$B$10,Paramètres!$A$1:$I$89,3,0)*VLOOKUP('Données projet'!$B$10,Paramètres!$A$1:$I$89,5,0)</f>
        <v>264.85679999999985</v>
      </c>
      <c r="AK119" s="13">
        <f t="shared" si="89"/>
        <v>63.756533671523279</v>
      </c>
      <c r="AL119" s="20">
        <f t="shared" si="58"/>
        <v>572.33488947790272</v>
      </c>
      <c r="AM119" s="59">
        <f t="shared" si="59"/>
        <v>865.66822281123609</v>
      </c>
      <c r="AN119" s="59">
        <f ca="1">AVERAGE(OFFSET($AM$3,0,0,'Données projet'!$E$10+1,1))-AVERAGE(OFFSET($H$3,0,0,'Données projet'!$E$10+1,1))</f>
        <v>483.45320081988984</v>
      </c>
      <c r="AO119" s="59">
        <f t="shared" si="90"/>
        <v>238.92443174298893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23.14722801322343</v>
      </c>
      <c r="AV119" s="21">
        <f>EXP(-LN(2)/25)*AV118+(1-EXP(-LN(2)/25))/(LN(2)/25)*Calculateur!AQ119*Calculateur!AS119*VLOOKUP('Données projet'!$B$10,Paramètres!$A$1:$I$89,3,0)*0.475*44/12</f>
        <v>20.993071717246988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44.140299730470417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1.7053025658242404E-13</v>
      </c>
      <c r="BE119" s="13">
        <f>BD119*VLOOKUP('Données projet'!$B$11,Paramètres!$A$1:$I$89,3,0)*VLOOKUP('Données projet'!$B$11,Paramètres!$A$1:$I$89,5,0)</f>
        <v>1.4897523215040567E-13</v>
      </c>
      <c r="BF119" s="13">
        <f t="shared" si="91"/>
        <v>2.136562777003313E-12</v>
      </c>
      <c r="BG119" s="20">
        <f t="shared" si="61"/>
        <v>3.9806453659427267E-12</v>
      </c>
      <c r="BH119" s="59">
        <f t="shared" si="62"/>
        <v>293.33333333333729</v>
      </c>
      <c r="BI119" s="59">
        <f ca="1">AVERAGE(OFFSET($BH$3,0,0,'Données projet'!$E$11+1,1))-AVERAGE(OFFSET($H$3,0,0,'Données projet'!$E$11+1,1))</f>
        <v>310.44153296396854</v>
      </c>
      <c r="BJ119" s="59">
        <f t="shared" si="92"/>
        <v>388.05195847800502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32.718642835567962</v>
      </c>
      <c r="BQ119" s="21">
        <f>EXP(-LN(2)/25)*BQ118+(1-EXP(-LN(2)/25))/(LN(2)/25)*Calculateur!BL119*Calculateur!BN119*VLOOKUP('Données projet'!$B$11,Paramètres!$A$1:$I$89,3,0)*0.475*44/12</f>
        <v>1.4816748821233285</v>
      </c>
      <c r="BR119" s="21">
        <f>EXP(-LN(2)/2)*BR118+(1-EXP(-LN(2)/2))/(LN(2)/2)*BL119*BO119*VLOOKUP('Données projet'!$B$11,Paramètres!$A$1:$I$89,3,0)*0.475*44/12</f>
        <v>4.9103032310150117E-6</v>
      </c>
      <c r="BS119" s="22">
        <f t="shared" si="63"/>
        <v>34.200322627994524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-2.2737367544323206E-13</v>
      </c>
      <c r="BZ119" s="13">
        <f>BY119*VLOOKUP('Données projet'!$B$12,Paramètres!$A$1:$I$89,3,0)*VLOOKUP('Données projet'!$B$12,Paramètres!$A$1:$I$89,5,0)</f>
        <v>-1.2710188457276673E-13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443.34220761968419</v>
      </c>
      <c r="CE119" s="59">
        <f t="shared" si="94"/>
        <v>546.58234447298014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83.929314024109203</v>
      </c>
      <c r="CL119" s="21">
        <f>EXP(-LN(2)/25)*CL118+(1-EXP(-LN(2)/25))/(LN(2)/25)*Calculateur!CG119*Calculateur!CI119*VLOOKUP('Données projet'!$B$12,Paramètres!$A$1:$I$89,3,0)*0.475*44/12</f>
        <v>12.835565210101811</v>
      </c>
      <c r="CM119" s="21">
        <f>EXP(-LN(2)/2)*CM118+(1-EXP(-LN(2)/2))/(LN(2)/2)*CG119*CJ119*VLOOKUP('Données projet'!$B$12,Paramètres!$A$1:$I$89,3,0)*0.475*44/12</f>
        <v>1.6088936544633232E-7</v>
      </c>
      <c r="CN119" s="22">
        <f t="shared" si="66"/>
        <v>96.76487939510038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>
        <f>CT119*VLOOKUP('Données projet'!$B$13,Paramètres!$A$1:$I$89,3,0)*VLOOKUP('Données projet'!$B$13,Paramètres!$A$1:$I$89,5,0)</f>
        <v>0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214.22606988805535</v>
      </c>
      <c r="CZ119" s="59">
        <f t="shared" si="96"/>
        <v>305.78163836959078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47.09208633249316</v>
      </c>
      <c r="DG119" s="21">
        <f>EXP(-LN(2)/25)*DG118+(1-EXP(-LN(2)/25))/(LN(2)/25)*Calculateur!DB119*Calculateur!DD119*VLOOKUP('Données projet'!$B$13,Paramètres!$A$1:$I$89,3,0)*0.475*44/12</f>
        <v>7.5225094604878597</v>
      </c>
      <c r="DH119" s="21">
        <f>EXP(-LN(2)/2)*DH118+(1-EXP(-LN(2)/2))/(LN(2)/2)*DB119*DE119*VLOOKUP('Données projet'!$B$13,Paramètres!$A$1:$I$89,3,0)*0.475*44/12</f>
        <v>7.0316550889260493E-8</v>
      </c>
      <c r="DI119" s="22">
        <f t="shared" si="69"/>
        <v>54.614595863297573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-1.7053025658242404E-13</v>
      </c>
      <c r="DP119" s="17">
        <f>DO119*VLOOKUP('Données projet'!$B$14,Paramètres!$A$1:$I$89,3,0)*VLOOKUP('Données projet'!$B$14,Paramètres!$A$1:$I$89,5,0)</f>
        <v>-1.383341441396624E-13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304.26232113495314</v>
      </c>
      <c r="DU119" s="59">
        <f t="shared" si="98"/>
        <v>297.47246687305056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51.669811860825824</v>
      </c>
      <c r="EB119" s="21">
        <f>EXP(-LN(2)/25)*EB118+(1-EXP(-LN(2)/25))/(LN(2)/25)*Calculateur!DW119*Calculateur!DY119*VLOOKUP('Données projet'!$B$14,Paramètres!$A$1:$I$89,3,0)*0.475*44/12</f>
        <v>1.065551328010006</v>
      </c>
      <c r="EC119" s="21">
        <f>EXP(-LN(2)/2)*EC118+(1-EXP(-LN(2)/2))/(LN(2)/2)*DW119*DZ119*VLOOKUP('Données projet'!$B$14,Paramètres!$A$1:$I$89,3,0)*0.475*44/12</f>
        <v>1.6185401664651412E-4</v>
      </c>
      <c r="ED119" s="22">
        <f t="shared" si="72"/>
        <v>52.73552504285248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-1.7053025658242404E-13</v>
      </c>
      <c r="EK119" s="17">
        <f>EJ119*VLOOKUP('Données projet'!$B$15,Paramètres!$A$1:$I$89,3,0)*VLOOKUP('Données projet'!$B$15,Paramètres!$A$1:$I$89,5,0)</f>
        <v>-1.6493686416652052E-13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355.72173590705142</v>
      </c>
      <c r="EP119" s="59">
        <f t="shared" si="100"/>
        <v>346.30980704469363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49.982481284819151</v>
      </c>
      <c r="EW119" s="21">
        <f>EXP(-LN(2)/25)*EW118+(1-EXP(-LN(2)/25))/(LN(2)/25)*Calculateur!ER119*Calculateur!ET119*VLOOKUP('Données projet'!$B$15,Paramètres!$A$1:$I$89,3,0)*0.475*44/12</f>
        <v>1.0307546590982131</v>
      </c>
      <c r="EX119" s="21">
        <f>EXP(-LN(2)/2)*EX118+(1-EXP(-LN(2)/2))/(LN(2)/2)*ER119*EU119*VLOOKUP('Données projet'!$B$15,Paramètres!$A$1:$I$89,3,0)*0.475*44/12</f>
        <v>1.9297978907853547E-4</v>
      </c>
      <c r="EY119" s="22">
        <f t="shared" si="75"/>
        <v>51.013428923706442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-1.7053025658242404E-13</v>
      </c>
      <c r="FF119" s="17">
        <f>FE119*VLOOKUP('Données projet'!$B$16,Paramètres!$A$1:$I$89,3,0)*VLOOKUP('Données projet'!$B$16,Paramètres!$A$1:$I$89,5,0)</f>
        <v>-1.250327841262333E-13</v>
      </c>
      <c r="FG119" s="13" t="e">
        <f t="shared" si="101"/>
        <v>#NUM!</v>
      </c>
      <c r="FH119" s="20" t="e">
        <f t="shared" si="76"/>
        <v>#NUM!</v>
      </c>
      <c r="FI119" s="59" t="e">
        <f t="shared" si="77"/>
        <v>#NUM!</v>
      </c>
      <c r="FJ119" s="59">
        <f ca="1">AVERAGE(OFFSET($FI$3,0,0,'Données projet'!$E$16+1,1))-AVERAGE(OFFSET($H$3,0,0,'Données projet'!$E$16+1,1))</f>
        <v>278.45534008146865</v>
      </c>
      <c r="FK119" s="59">
        <f t="shared" si="102"/>
        <v>272.97841038165217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37.889945490104857</v>
      </c>
      <c r="FR119" s="21">
        <f>EXP(-LN(2)/25)*FR118+(1-EXP(-LN(2)/25))/(LN(2)/25)*Calculateur!FM119*Calculateur!FO119*VLOOKUP('Données projet'!$B$16,Paramètres!$A$1:$I$89,3,0)*0.475*44/12</f>
        <v>0.78137853189703266</v>
      </c>
      <c r="FS119" s="21">
        <f>EXP(-LN(2)/2)*FS118+(1-EXP(-LN(2)/2))/(LN(2)/2)*FM119*FP119*VLOOKUP('Données projet'!$B$16,Paramètres!$A$1:$I$89,3,0)*0.475*44/12</f>
        <v>1.4629113043050282E-4</v>
      </c>
      <c r="FT119" s="22">
        <f t="shared" si="78"/>
        <v>38.671470313132318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6.4</v>
      </c>
      <c r="N120" s="13">
        <f>IF('Données projet'!$A$36&gt;35,N119+M120-V119,IF(A120&lt;'Données projet'!$A$36,$K$205^A120,IF(A120='Données projet'!$A$36,'Données projet'!$B$36,N119+M120-V119)))</f>
        <v>267.59999999999985</v>
      </c>
      <c r="O120" s="13">
        <f>N120*VLOOKUP('Données projet'!$B$9,Paramètres!$A$1:$I$89,3,0)*VLOOKUP('Données projet'!$B$9,Paramètres!$A$1:$I$89,5,0)</f>
        <v>242.12447999999986</v>
      </c>
      <c r="P120" s="13">
        <f t="shared" si="87"/>
        <v>58.896387987806008</v>
      </c>
      <c r="Q120" s="20">
        <f t="shared" si="107"/>
        <v>524.27801174542856</v>
      </c>
      <c r="R120" s="59">
        <f t="shared" si="55"/>
        <v>817.61134507876181</v>
      </c>
      <c r="S120" s="59">
        <f ca="1">AVERAGE(OFFSET($R$3,0,0,'Données projet'!$E$9+1,1))-AVERAGE(OFFSET($H$3,0,0,'Données projet'!$E$9+1,1))</f>
        <v>436.03161778768742</v>
      </c>
      <c r="T120" s="59">
        <f t="shared" si="88"/>
        <v>217.65884352525285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20.249428452882295</v>
      </c>
      <c r="AA120" s="21">
        <f>EXP(-LN(2)/25)*AA119+(1-EXP(-LN(2)/25))/(LN(2)/25)*Calculateur!V120*Calculateur!X120*VLOOKUP('Données projet'!$B$9,Paramètres!$A$1:$I$89,3,0)*0.475*44/12</f>
        <v>18.220044213774617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38.469472666656912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6.4</v>
      </c>
      <c r="AI120" s="13">
        <f>IF('Données projet'!$A$62&gt;35,AI119+AH120-AQ119,IF(A120&lt;'Données projet'!$A$62,$AF$205^A120,IF(A120='Données projet'!$A$62,'Données projet'!$B$62,AI119+AH120-AQ119)))</f>
        <v>267.59999999999985</v>
      </c>
      <c r="AJ120" s="13">
        <f>AI120*VLOOKUP('Données projet'!$B$10,Paramètres!$A$1:$I$89,3,0)*VLOOKUP('Données projet'!$B$10,Paramètres!$A$1:$I$89,5,0)</f>
        <v>271.34639999999985</v>
      </c>
      <c r="AK120" s="13">
        <f t="shared" si="89"/>
        <v>65.134926573557308</v>
      </c>
      <c r="AL120" s="20">
        <f t="shared" si="58"/>
        <v>586.03831044894537</v>
      </c>
      <c r="AM120" s="59">
        <f t="shared" si="59"/>
        <v>879.37164378227862</v>
      </c>
      <c r="AN120" s="59">
        <f ca="1">AVERAGE(OFFSET($AM$3,0,0,'Données projet'!$E$10+1,1))-AVERAGE(OFFSET($H$3,0,0,'Données projet'!$E$10+1,1))</f>
        <v>483.45320081988984</v>
      </c>
      <c r="AO120" s="59">
        <f t="shared" si="90"/>
        <v>238.92443174298893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22.693324990299129</v>
      </c>
      <c r="AV120" s="21">
        <f>EXP(-LN(2)/25)*AV119+(1-EXP(-LN(2)/25))/(LN(2)/25)*Calculateur!AQ120*Calculateur!AS120*VLOOKUP('Données projet'!$B$10,Paramètres!$A$1:$I$89,3,0)*0.475*44/12</f>
        <v>20.419015067161208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43.112340057460337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1.7053025658242404E-13</v>
      </c>
      <c r="BE120" s="13">
        <f>BD120*VLOOKUP('Données projet'!$B$11,Paramètres!$A$1:$I$89,3,0)*VLOOKUP('Données projet'!$B$11,Paramètres!$A$1:$I$89,5,0)</f>
        <v>1.4897523215040567E-13</v>
      </c>
      <c r="BF120" s="13">
        <f t="shared" si="91"/>
        <v>2.136562777003313E-12</v>
      </c>
      <c r="BG120" s="20">
        <f t="shared" si="61"/>
        <v>3.9806453659427267E-12</v>
      </c>
      <c r="BH120" s="59">
        <f t="shared" si="62"/>
        <v>293.33333333333729</v>
      </c>
      <c r="BI120" s="59">
        <f ca="1">AVERAGE(OFFSET($BH$3,0,0,'Données projet'!$E$11+1,1))-AVERAGE(OFFSET($H$3,0,0,'Données projet'!$E$11+1,1))</f>
        <v>310.44153296396854</v>
      </c>
      <c r="BJ120" s="59">
        <f t="shared" si="92"/>
        <v>388.05195847800502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32.077050205964071</v>
      </c>
      <c r="BQ120" s="21">
        <f>EXP(-LN(2)/25)*BQ119+(1-EXP(-LN(2)/25))/(LN(2)/25)*Calculateur!BL120*Calculateur!BN120*VLOOKUP('Données projet'!$B$11,Paramètres!$A$1:$I$89,3,0)*0.475*44/12</f>
        <v>1.4411584045537704</v>
      </c>
      <c r="BR120" s="21">
        <f>EXP(-LN(2)/2)*BR119+(1-EXP(-LN(2)/2))/(LN(2)/2)*BL120*BO120*VLOOKUP('Données projet'!$B$11,Paramètres!$A$1:$I$89,3,0)*0.475*44/12</f>
        <v>3.4721087123329293E-6</v>
      </c>
      <c r="BS120" s="22">
        <f t="shared" si="63"/>
        <v>33.518212082626547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-2.2737367544323206E-13</v>
      </c>
      <c r="BZ120" s="13">
        <f>BY120*VLOOKUP('Données projet'!$B$12,Paramètres!$A$1:$I$89,3,0)*VLOOKUP('Données projet'!$B$12,Paramètres!$A$1:$I$89,5,0)</f>
        <v>-1.2710188457276673E-13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443.34220761968419</v>
      </c>
      <c r="CE120" s="59">
        <f t="shared" si="94"/>
        <v>546.58234447298014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82.283511367923197</v>
      </c>
      <c r="CL120" s="21">
        <f>EXP(-LN(2)/25)*CL119+(1-EXP(-LN(2)/25))/(LN(2)/25)*Calculateur!CG120*Calculateur!CI120*VLOOKUP('Données projet'!$B$12,Paramètres!$A$1:$I$89,3,0)*0.475*44/12</f>
        <v>12.484576004438539</v>
      </c>
      <c r="CM120" s="21">
        <f>EXP(-LN(2)/2)*CM119+(1-EXP(-LN(2)/2))/(LN(2)/2)*CG120*CJ120*VLOOKUP('Données projet'!$B$12,Paramètres!$A$1:$I$89,3,0)*0.475*44/12</f>
        <v>1.137659613279022E-7</v>
      </c>
      <c r="CN120" s="22">
        <f t="shared" si="66"/>
        <v>94.768087486127698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>
        <f>CT120*VLOOKUP('Données projet'!$B$13,Paramètres!$A$1:$I$89,3,0)*VLOOKUP('Données projet'!$B$13,Paramètres!$A$1:$I$89,5,0)</f>
        <v>0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214.22606988805535</v>
      </c>
      <c r="CZ120" s="59">
        <f t="shared" si="96"/>
        <v>305.78163836959078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46.168639242849437</v>
      </c>
      <c r="DG120" s="21">
        <f>EXP(-LN(2)/25)*DG119+(1-EXP(-LN(2)/25))/(LN(2)/25)*Calculateur!DB120*Calculateur!DD120*VLOOKUP('Données projet'!$B$13,Paramètres!$A$1:$I$89,3,0)*0.475*44/12</f>
        <v>7.3168060436992395</v>
      </c>
      <c r="DH120" s="21">
        <f>EXP(-LN(2)/2)*DH119+(1-EXP(-LN(2)/2))/(LN(2)/2)*DB120*DE120*VLOOKUP('Données projet'!$B$13,Paramètres!$A$1:$I$89,3,0)*0.475*44/12</f>
        <v>4.9721309963445054E-8</v>
      </c>
      <c r="DI120" s="22">
        <f t="shared" si="69"/>
        <v>53.485445336269983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-1.7053025658242404E-13</v>
      </c>
      <c r="DP120" s="17">
        <f>DO120*VLOOKUP('Données projet'!$B$14,Paramètres!$A$1:$I$89,3,0)*VLOOKUP('Données projet'!$B$14,Paramètres!$A$1:$I$89,5,0)</f>
        <v>-1.383341441396624E-13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304.26232113495314</v>
      </c>
      <c r="DU120" s="59">
        <f t="shared" si="98"/>
        <v>297.47246687305056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50.656598365708369</v>
      </c>
      <c r="EB120" s="21">
        <f>EXP(-LN(2)/25)*EB119+(1-EXP(-LN(2)/25))/(LN(2)/25)*Calculateur!DW120*Calculateur!DY120*VLOOKUP('Données projet'!$B$14,Paramètres!$A$1:$I$89,3,0)*0.475*44/12</f>
        <v>1.0364137709106633</v>
      </c>
      <c r="EC120" s="21">
        <f>EXP(-LN(2)/2)*EC119+(1-EXP(-LN(2)/2))/(LN(2)/2)*DW120*DZ120*VLOOKUP('Données projet'!$B$14,Paramètres!$A$1:$I$89,3,0)*0.475*44/12</f>
        <v>1.1444807273303049E-4</v>
      </c>
      <c r="ED120" s="22">
        <f t="shared" si="72"/>
        <v>51.693126584691768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-1.7053025658242404E-13</v>
      </c>
      <c r="EK120" s="17">
        <f>EJ120*VLOOKUP('Données projet'!$B$15,Paramètres!$A$1:$I$89,3,0)*VLOOKUP('Données projet'!$B$15,Paramètres!$A$1:$I$89,5,0)</f>
        <v>-1.6493686416652052E-13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355.72173590705142</v>
      </c>
      <c r="EP120" s="59">
        <f t="shared" si="100"/>
        <v>346.30980704469363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49.002355313127161</v>
      </c>
      <c r="EW120" s="21">
        <f>EXP(-LN(2)/25)*EW119+(1-EXP(-LN(2)/25))/(LN(2)/25)*Calculateur!ER120*Calculateur!ET120*VLOOKUP('Données projet'!$B$15,Paramètres!$A$1:$I$89,3,0)*0.475*44/12</f>
        <v>1.0025686187401408</v>
      </c>
      <c r="EX120" s="21">
        <f>EXP(-LN(2)/2)*EX119+(1-EXP(-LN(2)/2))/(LN(2)/2)*ER120*EU120*VLOOKUP('Données projet'!$B$15,Paramètres!$A$1:$I$89,3,0)*0.475*44/12</f>
        <v>1.3645731748938207E-4</v>
      </c>
      <c r="EY120" s="22">
        <f t="shared" si="75"/>
        <v>50.005060389184791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-1.7053025658242404E-13</v>
      </c>
      <c r="FF120" s="17">
        <f>FE120*VLOOKUP('Données projet'!$B$16,Paramètres!$A$1:$I$89,3,0)*VLOOKUP('Données projet'!$B$16,Paramètres!$A$1:$I$89,5,0)</f>
        <v>-1.250327841262333E-13</v>
      </c>
      <c r="FG120" s="13" t="e">
        <f t="shared" si="101"/>
        <v>#NUM!</v>
      </c>
      <c r="FH120" s="20" t="e">
        <f t="shared" si="76"/>
        <v>#NUM!</v>
      </c>
      <c r="FI120" s="59" t="e">
        <f t="shared" si="77"/>
        <v>#NUM!</v>
      </c>
      <c r="FJ120" s="59">
        <f ca="1">AVERAGE(OFFSET($FI$3,0,0,'Données projet'!$E$16+1,1))-AVERAGE(OFFSET($H$3,0,0,'Données projet'!$E$16+1,1))</f>
        <v>278.45534008146865</v>
      </c>
      <c r="FK120" s="59">
        <f t="shared" si="102"/>
        <v>272.97841038165217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37.14694676962867</v>
      </c>
      <c r="FR120" s="21">
        <f>EXP(-LN(2)/25)*FR119+(1-EXP(-LN(2)/25))/(LN(2)/25)*Calculateur!FM120*Calculateur!FO120*VLOOKUP('Données projet'!$B$16,Paramètres!$A$1:$I$89,3,0)*0.475*44/12</f>
        <v>0.76001169485139719</v>
      </c>
      <c r="FS120" s="21">
        <f>EXP(-LN(2)/2)*FS119+(1-EXP(-LN(2)/2))/(LN(2)/2)*FM120*FP120*VLOOKUP('Données projet'!$B$16,Paramètres!$A$1:$I$89,3,0)*0.475*44/12</f>
        <v>1.0344345035485424E-4</v>
      </c>
      <c r="FT120" s="22">
        <f t="shared" si="78"/>
        <v>37.907061907930427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6.4</v>
      </c>
      <c r="N121" s="13">
        <f>IF('Données projet'!$A$36&gt;35,N120+M121-V120,IF(A121&lt;'Données projet'!$A$36,$K$205^A121,IF(A121='Données projet'!$A$36,'Données projet'!$B$36,N120+M121-V120)))</f>
        <v>273.99999999999983</v>
      </c>
      <c r="O121" s="13">
        <f>N121*VLOOKUP('Données projet'!$B$9,Paramètres!$A$1:$I$89,3,0)*VLOOKUP('Données projet'!$B$9,Paramètres!$A$1:$I$89,5,0)</f>
        <v>247.91519999999986</v>
      </c>
      <c r="P121" s="13">
        <f t="shared" si="87"/>
        <v>60.139294964297406</v>
      </c>
      <c r="Q121" s="20">
        <f t="shared" si="107"/>
        <v>536.52824539615096</v>
      </c>
      <c r="R121" s="59">
        <f t="shared" si="55"/>
        <v>829.86157872948434</v>
      </c>
      <c r="S121" s="59">
        <f ca="1">AVERAGE(OFFSET($R$3,0,0,'Données projet'!$E$9+1,1))-AVERAGE(OFFSET($H$3,0,0,'Données projet'!$E$9+1,1))</f>
        <v>436.03161778768742</v>
      </c>
      <c r="T121" s="59">
        <f t="shared" si="88"/>
        <v>217.65884352525285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19.852349511853078</v>
      </c>
      <c r="AA121" s="21">
        <f>EXP(-LN(2)/25)*AA120+(1-EXP(-LN(2)/25))/(LN(2)/25)*Calculateur!V121*Calculateur!X121*VLOOKUP('Données projet'!$B$9,Paramètres!$A$1:$I$89,3,0)*0.475*44/12</f>
        <v>17.721816146598467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37.574165658451548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6.4</v>
      </c>
      <c r="AI121" s="13">
        <f>IF('Données projet'!$A$62&gt;35,AI120+AH121-AQ120,IF(A121&lt;'Données projet'!$A$62,$AF$205^A121,IF(A121='Données projet'!$A$62,'Données projet'!$B$62,AI120+AH121-AQ120)))</f>
        <v>273.99999999999983</v>
      </c>
      <c r="AJ121" s="13">
        <f>AI121*VLOOKUP('Données projet'!$B$10,Paramètres!$A$1:$I$89,3,0)*VLOOKUP('Données projet'!$B$10,Paramètres!$A$1:$I$89,5,0)</f>
        <v>277.83599999999984</v>
      </c>
      <c r="AK121" s="13">
        <f t="shared" si="89"/>
        <v>66.509487177652261</v>
      </c>
      <c r="AL121" s="20">
        <f t="shared" si="58"/>
        <v>599.73505683441078</v>
      </c>
      <c r="AM121" s="59">
        <f t="shared" si="59"/>
        <v>893.06839016774416</v>
      </c>
      <c r="AN121" s="59">
        <f ca="1">AVERAGE(OFFSET($AM$3,0,0,'Données projet'!$E$10+1,1))-AVERAGE(OFFSET($H$3,0,0,'Données projet'!$E$10+1,1))</f>
        <v>483.45320081988984</v>
      </c>
      <c r="AO121" s="59">
        <f t="shared" si="90"/>
        <v>238.92443174298893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22.248322728800865</v>
      </c>
      <c r="AV121" s="21">
        <f>EXP(-LN(2)/25)*AV120+(1-EXP(-LN(2)/25))/(LN(2)/25)*Calculateur!AQ121*Calculateur!AS121*VLOOKUP('Données projet'!$B$10,Paramètres!$A$1:$I$89,3,0)*0.475*44/12</f>
        <v>19.860656026360349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42.108978755161218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1.7053025658242404E-13</v>
      </c>
      <c r="BE121" s="13">
        <f>BD121*VLOOKUP('Données projet'!$B$11,Paramètres!$A$1:$I$89,3,0)*VLOOKUP('Données projet'!$B$11,Paramètres!$A$1:$I$89,5,0)</f>
        <v>1.4897523215040567E-13</v>
      </c>
      <c r="BF121" s="13">
        <f t="shared" si="91"/>
        <v>2.136562777003313E-12</v>
      </c>
      <c r="BG121" s="20">
        <f t="shared" si="61"/>
        <v>3.9806453659427267E-12</v>
      </c>
      <c r="BH121" s="59">
        <f t="shared" si="62"/>
        <v>293.33333333333729</v>
      </c>
      <c r="BI121" s="59">
        <f ca="1">AVERAGE(OFFSET($BH$3,0,0,'Données projet'!$E$11+1,1))-AVERAGE(OFFSET($H$3,0,0,'Données projet'!$E$11+1,1))</f>
        <v>310.44153296396854</v>
      </c>
      <c r="BJ121" s="59">
        <f t="shared" si="92"/>
        <v>388.05195847800502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31.448038816493849</v>
      </c>
      <c r="BQ121" s="21">
        <f>EXP(-LN(2)/25)*BQ120+(1-EXP(-LN(2)/25))/(LN(2)/25)*Calculateur!BL121*Calculateur!BN121*VLOOKUP('Données projet'!$B$11,Paramètres!$A$1:$I$89,3,0)*0.475*44/12</f>
        <v>1.4017498521940208</v>
      </c>
      <c r="BR121" s="21">
        <f>EXP(-LN(2)/2)*BR120+(1-EXP(-LN(2)/2))/(LN(2)/2)*BL121*BO121*VLOOKUP('Données projet'!$B$11,Paramètres!$A$1:$I$89,3,0)*0.475*44/12</f>
        <v>2.4551516155075059E-6</v>
      </c>
      <c r="BS121" s="22">
        <f t="shared" si="63"/>
        <v>32.849791123839488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-2.2737367544323206E-13</v>
      </c>
      <c r="BZ121" s="13">
        <f>BY121*VLOOKUP('Données projet'!$B$12,Paramètres!$A$1:$I$89,3,0)*VLOOKUP('Données projet'!$B$12,Paramètres!$A$1:$I$89,5,0)</f>
        <v>-1.2710188457276673E-13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443.34220761968419</v>
      </c>
      <c r="CE121" s="59">
        <f t="shared" si="94"/>
        <v>546.58234447298014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80.669981897984499</v>
      </c>
      <c r="CL121" s="21">
        <f>EXP(-LN(2)/25)*CL120+(1-EXP(-LN(2)/25))/(LN(2)/25)*Calculateur!CG121*Calculateur!CI121*VLOOKUP('Données projet'!$B$12,Paramètres!$A$1:$I$89,3,0)*0.475*44/12</f>
        <v>12.143184617061848</v>
      </c>
      <c r="CM121" s="21">
        <f>EXP(-LN(2)/2)*CM120+(1-EXP(-LN(2)/2))/(LN(2)/2)*CG121*CJ121*VLOOKUP('Données projet'!$B$12,Paramètres!$A$1:$I$89,3,0)*0.475*44/12</f>
        <v>8.0444682723166172E-8</v>
      </c>
      <c r="CN121" s="22">
        <f t="shared" si="66"/>
        <v>92.813166595491026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>
        <f>CT121*VLOOKUP('Données projet'!$B$13,Paramètres!$A$1:$I$89,3,0)*VLOOKUP('Données projet'!$B$13,Paramètres!$A$1:$I$89,5,0)</f>
        <v>0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214.22606988805535</v>
      </c>
      <c r="CZ121" s="59">
        <f t="shared" si="96"/>
        <v>305.78163836959078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45.263300387386522</v>
      </c>
      <c r="DG121" s="21">
        <f>EXP(-LN(2)/25)*DG120+(1-EXP(-LN(2)/25))/(LN(2)/25)*Calculateur!DB121*Calculateur!DD121*VLOOKUP('Données projet'!$B$13,Paramètres!$A$1:$I$89,3,0)*0.475*44/12</f>
        <v>7.1167275976601765</v>
      </c>
      <c r="DH121" s="21">
        <f>EXP(-LN(2)/2)*DH120+(1-EXP(-LN(2)/2))/(LN(2)/2)*DB121*DE121*VLOOKUP('Données projet'!$B$13,Paramètres!$A$1:$I$89,3,0)*0.475*44/12</f>
        <v>3.5158275444630247E-8</v>
      </c>
      <c r="DI121" s="22">
        <f t="shared" si="69"/>
        <v>52.380028020204968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-1.7053025658242404E-13</v>
      </c>
      <c r="DP121" s="17">
        <f>DO121*VLOOKUP('Données projet'!$B$14,Paramètres!$A$1:$I$89,3,0)*VLOOKUP('Données projet'!$B$14,Paramètres!$A$1:$I$89,5,0)</f>
        <v>-1.383341441396624E-13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304.26232113495314</v>
      </c>
      <c r="DU121" s="59">
        <f t="shared" si="98"/>
        <v>297.47246687305056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49.663253369230958</v>
      </c>
      <c r="EB121" s="21">
        <f>EXP(-LN(2)/25)*EB120+(1-EXP(-LN(2)/25))/(LN(2)/25)*Calculateur!DW121*Calculateur!DY121*VLOOKUP('Données projet'!$B$14,Paramètres!$A$1:$I$89,3,0)*0.475*44/12</f>
        <v>1.0080729818424798</v>
      </c>
      <c r="EC121" s="21">
        <f>EXP(-LN(2)/2)*EC120+(1-EXP(-LN(2)/2))/(LN(2)/2)*DW121*DZ121*VLOOKUP('Données projet'!$B$14,Paramètres!$A$1:$I$89,3,0)*0.475*44/12</f>
        <v>8.0927008323257075E-5</v>
      </c>
      <c r="ED121" s="22">
        <f t="shared" si="72"/>
        <v>50.671407278081766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-1.7053025658242404E-13</v>
      </c>
      <c r="EK121" s="17">
        <f>EJ121*VLOOKUP('Données projet'!$B$15,Paramètres!$A$1:$I$89,3,0)*VLOOKUP('Données projet'!$B$15,Paramètres!$A$1:$I$89,5,0)</f>
        <v>-1.6493686416652052E-13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355.72173590705142</v>
      </c>
      <c r="EP121" s="59">
        <f t="shared" si="100"/>
        <v>346.30980704469363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48.041449013922232</v>
      </c>
      <c r="EW121" s="21">
        <f>EXP(-LN(2)/25)*EW120+(1-EXP(-LN(2)/25))/(LN(2)/25)*Calculateur!ER121*Calculateur!ET121*VLOOKUP('Données projet'!$B$15,Paramètres!$A$1:$I$89,3,0)*0.475*44/12</f>
        <v>0.97515332713789937</v>
      </c>
      <c r="EX121" s="21">
        <f>EXP(-LN(2)/2)*EX120+(1-EXP(-LN(2)/2))/(LN(2)/2)*ER121*EU121*VLOOKUP('Données projet'!$B$15,Paramètres!$A$1:$I$89,3,0)*0.475*44/12</f>
        <v>9.6489894539267737E-5</v>
      </c>
      <c r="EY121" s="22">
        <f t="shared" si="75"/>
        <v>49.016698830954667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-1.7053025658242404E-13</v>
      </c>
      <c r="FF121" s="17">
        <f>FE121*VLOOKUP('Données projet'!$B$16,Paramètres!$A$1:$I$89,3,0)*VLOOKUP('Données projet'!$B$16,Paramètres!$A$1:$I$89,5,0)</f>
        <v>-1.250327841262333E-13</v>
      </c>
      <c r="FG121" s="13" t="e">
        <f t="shared" si="101"/>
        <v>#NUM!</v>
      </c>
      <c r="FH121" s="20" t="e">
        <f t="shared" si="76"/>
        <v>#NUM!</v>
      </c>
      <c r="FI121" s="59" t="e">
        <f t="shared" si="77"/>
        <v>#NUM!</v>
      </c>
      <c r="FJ121" s="59">
        <f ca="1">AVERAGE(OFFSET($FI$3,0,0,'Données projet'!$E$16+1,1))-AVERAGE(OFFSET($H$3,0,0,'Données projet'!$E$16+1,1))</f>
        <v>278.45534008146865</v>
      </c>
      <c r="FK121" s="59">
        <f t="shared" si="102"/>
        <v>272.97841038165217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36.41851780087655</v>
      </c>
      <c r="FR121" s="21">
        <f>EXP(-LN(2)/25)*FR120+(1-EXP(-LN(2)/25))/(LN(2)/25)*Calculateur!FM121*Calculateur!FO121*VLOOKUP('Données projet'!$B$16,Paramètres!$A$1:$I$89,3,0)*0.475*44/12</f>
        <v>0.73922913508840771</v>
      </c>
      <c r="FS121" s="21">
        <f>EXP(-LN(2)/2)*FS120+(1-EXP(-LN(2)/2))/(LN(2)/2)*FM121*FP121*VLOOKUP('Données projet'!$B$16,Paramètres!$A$1:$I$89,3,0)*0.475*44/12</f>
        <v>7.3145565215251412E-5</v>
      </c>
      <c r="FT121" s="22">
        <f t="shared" si="78"/>
        <v>37.157820081530176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6.4</v>
      </c>
      <c r="N122" s="13">
        <f>IF('Données projet'!$A$36&gt;35,N121+M122-V121,IF(A122&lt;'Données projet'!$A$36,$K$205^A122,IF(A122='Données projet'!$A$36,'Données projet'!$B$36,N121+M122-V121)))</f>
        <v>280.39999999999981</v>
      </c>
      <c r="O122" s="13">
        <f>N122*VLOOKUP('Données projet'!$B$9,Paramètres!$A$1:$I$89,3,0)*VLOOKUP('Données projet'!$B$9,Paramètres!$A$1:$I$89,5,0)</f>
        <v>253.70591999999979</v>
      </c>
      <c r="P122" s="13">
        <f t="shared" si="87"/>
        <v>61.378826950685919</v>
      </c>
      <c r="Q122" s="20">
        <f t="shared" si="107"/>
        <v>548.77260093911093</v>
      </c>
      <c r="R122" s="59">
        <f t="shared" si="55"/>
        <v>842.1059342724443</v>
      </c>
      <c r="S122" s="59">
        <f ca="1">AVERAGE(OFFSET($R$3,0,0,'Données projet'!$E$9+1,1))-AVERAGE(OFFSET($H$3,0,0,'Données projet'!$E$9+1,1))</f>
        <v>436.03161778768742</v>
      </c>
      <c r="T122" s="59">
        <f t="shared" si="88"/>
        <v>217.65884352525285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19.463057046663202</v>
      </c>
      <c r="AA122" s="21">
        <f>EXP(-LN(2)/25)*AA121+(1-EXP(-LN(2)/25))/(LN(2)/25)*Calculateur!V122*Calculateur!X122*VLOOKUP('Données projet'!$B$9,Paramètres!$A$1:$I$89,3,0)*0.475*44/12</f>
        <v>17.237212152119923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36.700269198783126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6.4</v>
      </c>
      <c r="AI122" s="13">
        <f>IF('Données projet'!$A$62&gt;35,AI121+AH122-AQ121,IF(A122&lt;'Données projet'!$A$62,$AF$205^A122,IF(A122='Données projet'!$A$62,'Données projet'!$B$62,AI121+AH122-AQ121)))</f>
        <v>280.39999999999981</v>
      </c>
      <c r="AJ122" s="13">
        <f>AI122*VLOOKUP('Données projet'!$B$10,Paramètres!$A$1:$I$89,3,0)*VLOOKUP('Données projet'!$B$10,Paramètres!$A$1:$I$89,5,0)</f>
        <v>284.32559999999984</v>
      </c>
      <c r="AK122" s="13">
        <f t="shared" si="89"/>
        <v>67.880315299331144</v>
      </c>
      <c r="AL122" s="20">
        <f t="shared" si="58"/>
        <v>613.42530247966806</v>
      </c>
      <c r="AM122" s="59">
        <f t="shared" si="59"/>
        <v>906.75863581300132</v>
      </c>
      <c r="AN122" s="59">
        <f ca="1">AVERAGE(OFFSET($AM$3,0,0,'Données projet'!$E$10+1,1))-AVERAGE(OFFSET($H$3,0,0,'Données projet'!$E$10+1,1))</f>
        <v>483.45320081988984</v>
      </c>
      <c r="AO122" s="59">
        <f t="shared" si="90"/>
        <v>238.92443174298893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21.812046690226005</v>
      </c>
      <c r="AV122" s="21">
        <f>EXP(-LN(2)/25)*AV121+(1-EXP(-LN(2)/25))/(LN(2)/25)*Calculateur!AQ122*Calculateur!AS122*VLOOKUP('Données projet'!$B$10,Paramètres!$A$1:$I$89,3,0)*0.475*44/12</f>
        <v>19.317565342893015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41.129612033119017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1.7053025658242404E-13</v>
      </c>
      <c r="BE122" s="13">
        <f>BD122*VLOOKUP('Données projet'!$B$11,Paramètres!$A$1:$I$89,3,0)*VLOOKUP('Données projet'!$B$11,Paramètres!$A$1:$I$89,5,0)</f>
        <v>1.4897523215040567E-13</v>
      </c>
      <c r="BF122" s="13">
        <f t="shared" si="91"/>
        <v>2.136562777003313E-12</v>
      </c>
      <c r="BG122" s="20">
        <f t="shared" si="61"/>
        <v>3.9806453659427267E-12</v>
      </c>
      <c r="BH122" s="59">
        <f t="shared" si="62"/>
        <v>293.33333333333729</v>
      </c>
      <c r="BI122" s="59">
        <f ca="1">AVERAGE(OFFSET($BH$3,0,0,'Données projet'!$E$11+1,1))-AVERAGE(OFFSET($H$3,0,0,'Données projet'!$E$11+1,1))</f>
        <v>310.44153296396854</v>
      </c>
      <c r="BJ122" s="59">
        <f t="shared" si="92"/>
        <v>388.05195847800502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30.831361956712076</v>
      </c>
      <c r="BQ122" s="21">
        <f>EXP(-LN(2)/25)*BQ121+(1-EXP(-LN(2)/25))/(LN(2)/25)*Calculateur!BL122*Calculateur!BN122*VLOOKUP('Données projet'!$B$11,Paramètres!$A$1:$I$89,3,0)*0.475*44/12</f>
        <v>1.3634189287709544</v>
      </c>
      <c r="BR122" s="21">
        <f>EXP(-LN(2)/2)*BR121+(1-EXP(-LN(2)/2))/(LN(2)/2)*BL122*BO122*VLOOKUP('Données projet'!$B$11,Paramètres!$A$1:$I$89,3,0)*0.475*44/12</f>
        <v>1.7360543561664646E-6</v>
      </c>
      <c r="BS122" s="22">
        <f t="shared" si="63"/>
        <v>32.194782621537385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-2.2737367544323206E-13</v>
      </c>
      <c r="BZ122" s="13">
        <f>BY122*VLOOKUP('Données projet'!$B$12,Paramètres!$A$1:$I$89,3,0)*VLOOKUP('Données projet'!$B$12,Paramètres!$A$1:$I$89,5,0)</f>
        <v>-1.2710188457276673E-13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443.34220761968419</v>
      </c>
      <c r="CE122" s="59">
        <f t="shared" si="94"/>
        <v>546.58234447298014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79.088092756795504</v>
      </c>
      <c r="CL122" s="21">
        <f>EXP(-LN(2)/25)*CL121+(1-EXP(-LN(2)/25))/(LN(2)/25)*Calculateur!CG122*Calculateur!CI122*VLOOKUP('Données projet'!$B$12,Paramètres!$A$1:$I$89,3,0)*0.475*44/12</f>
        <v>11.811128595125966</v>
      </c>
      <c r="CM122" s="21">
        <f>EXP(-LN(2)/2)*CM121+(1-EXP(-LN(2)/2))/(LN(2)/2)*CG122*CJ122*VLOOKUP('Données projet'!$B$12,Paramètres!$A$1:$I$89,3,0)*0.475*44/12</f>
        <v>5.6882980663951104E-8</v>
      </c>
      <c r="CN122" s="22">
        <f t="shared" si="66"/>
        <v>90.899221408804451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>
        <f>CT122*VLOOKUP('Données projet'!$B$13,Paramètres!$A$1:$I$89,3,0)*VLOOKUP('Données projet'!$B$13,Paramètres!$A$1:$I$89,5,0)</f>
        <v>0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214.22606988805535</v>
      </c>
      <c r="CZ122" s="59">
        <f t="shared" si="96"/>
        <v>305.78163836959078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44.375714674677056</v>
      </c>
      <c r="DG122" s="21">
        <f>EXP(-LN(2)/25)*DG121+(1-EXP(-LN(2)/25))/(LN(2)/25)*Calculateur!DB122*Calculateur!DD122*VLOOKUP('Données projet'!$B$13,Paramètres!$A$1:$I$89,3,0)*0.475*44/12</f>
        <v>6.9221203072497204</v>
      </c>
      <c r="DH122" s="21">
        <f>EXP(-LN(2)/2)*DH121+(1-EXP(-LN(2)/2))/(LN(2)/2)*DB122*DE122*VLOOKUP('Données projet'!$B$13,Paramètres!$A$1:$I$89,3,0)*0.475*44/12</f>
        <v>2.4860654981722527E-8</v>
      </c>
      <c r="DI122" s="22">
        <f t="shared" si="69"/>
        <v>51.29783500678743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-1.7053025658242404E-13</v>
      </c>
      <c r="DP122" s="17">
        <f>DO122*VLOOKUP('Données projet'!$B$14,Paramètres!$A$1:$I$89,3,0)*VLOOKUP('Données projet'!$B$14,Paramètres!$A$1:$I$89,5,0)</f>
        <v>-1.383341441396624E-13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304.26232113495314</v>
      </c>
      <c r="DU122" s="59">
        <f t="shared" si="98"/>
        <v>297.47246687305056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48.689387262253845</v>
      </c>
      <c r="EB122" s="21">
        <f>EXP(-LN(2)/25)*EB121+(1-EXP(-LN(2)/25))/(LN(2)/25)*Calculateur!DW122*Calculateur!DY122*VLOOKUP('Données projet'!$B$14,Paramètres!$A$1:$I$89,3,0)*0.475*44/12</f>
        <v>0.98050717314174307</v>
      </c>
      <c r="EC122" s="21">
        <f>EXP(-LN(2)/2)*EC121+(1-EXP(-LN(2)/2))/(LN(2)/2)*DW122*DZ122*VLOOKUP('Données projet'!$B$14,Paramètres!$A$1:$I$89,3,0)*0.475*44/12</f>
        <v>5.7224036366515254E-5</v>
      </c>
      <c r="ED122" s="22">
        <f t="shared" si="72"/>
        <v>49.669951659431959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-1.7053025658242404E-13</v>
      </c>
      <c r="EK122" s="17">
        <f>EJ122*VLOOKUP('Données projet'!$B$15,Paramètres!$A$1:$I$89,3,0)*VLOOKUP('Données projet'!$B$15,Paramètres!$A$1:$I$89,5,0)</f>
        <v>-1.6493686416652052E-13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355.72173590705142</v>
      </c>
      <c r="EP122" s="59">
        <f t="shared" si="100"/>
        <v>346.30980704469363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47.099385501149747</v>
      </c>
      <c r="EW122" s="21">
        <f>EXP(-LN(2)/25)*EW121+(1-EXP(-LN(2)/25))/(LN(2)/25)*Calculateur!ER122*Calculateur!ET122*VLOOKUP('Données projet'!$B$15,Paramètres!$A$1:$I$89,3,0)*0.475*44/12</f>
        <v>0.94848770812622873</v>
      </c>
      <c r="EX122" s="21">
        <f>EXP(-LN(2)/2)*EX121+(1-EXP(-LN(2)/2))/(LN(2)/2)*ER122*EU122*VLOOKUP('Données projet'!$B$15,Paramètres!$A$1:$I$89,3,0)*0.475*44/12</f>
        <v>6.8228658744691036E-5</v>
      </c>
      <c r="EY122" s="22">
        <f t="shared" si="75"/>
        <v>48.047941437934725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-1.7053025658242404E-13</v>
      </c>
      <c r="FF122" s="17">
        <f>FE122*VLOOKUP('Données projet'!$B$16,Paramètres!$A$1:$I$89,3,0)*VLOOKUP('Données projet'!$B$16,Paramètres!$A$1:$I$89,5,0)</f>
        <v>-1.250327841262333E-13</v>
      </c>
      <c r="FG122" s="13" t="e">
        <f t="shared" si="101"/>
        <v>#NUM!</v>
      </c>
      <c r="FH122" s="20" t="e">
        <f t="shared" si="76"/>
        <v>#NUM!</v>
      </c>
      <c r="FI122" s="59" t="e">
        <f t="shared" si="77"/>
        <v>#NUM!</v>
      </c>
      <c r="FJ122" s="59">
        <f ca="1">AVERAGE(OFFSET($FI$3,0,0,'Données projet'!$E$16+1,1))-AVERAGE(OFFSET($H$3,0,0,'Données projet'!$E$16+1,1))</f>
        <v>278.45534008146865</v>
      </c>
      <c r="FK122" s="59">
        <f t="shared" si="102"/>
        <v>272.97841038165217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35.704372879903858</v>
      </c>
      <c r="FR122" s="21">
        <f>EXP(-LN(2)/25)*FR121+(1-EXP(-LN(2)/25))/(LN(2)/25)*Calculateur!FM122*Calculateur!FO122*VLOOKUP('Données projet'!$B$16,Paramètres!$A$1:$I$89,3,0)*0.475*44/12</f>
        <v>0.7190148755150445</v>
      </c>
      <c r="FS122" s="21">
        <f>EXP(-LN(2)/2)*FS121+(1-EXP(-LN(2)/2))/(LN(2)/2)*FM122*FP122*VLOOKUP('Données projet'!$B$16,Paramètres!$A$1:$I$89,3,0)*0.475*44/12</f>
        <v>5.1721725177427122E-5</v>
      </c>
      <c r="FT122" s="22">
        <f t="shared" si="78"/>
        <v>36.423439477144079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6.4</v>
      </c>
      <c r="N123" s="13">
        <f>IF('Données projet'!$A$36&gt;35,N122+M123-V122,IF(A123&lt;'Données projet'!$A$36,$K$205^A123,IF(A123='Données projet'!$A$36,'Données projet'!$B$36,N122+M123-V122)))</f>
        <v>286.79999999999978</v>
      </c>
      <c r="O123" s="13">
        <f>N123*VLOOKUP('Données projet'!$B$9,Paramètres!$A$1:$I$89,3,0)*VLOOKUP('Données projet'!$B$9,Paramètres!$A$1:$I$89,5,0)</f>
        <v>259.49663999999979</v>
      </c>
      <c r="P123" s="13">
        <f t="shared" si="87"/>
        <v>62.61506984708253</v>
      </c>
      <c r="Q123" s="20">
        <f t="shared" si="107"/>
        <v>561.01122798366839</v>
      </c>
      <c r="R123" s="59">
        <f t="shared" si="55"/>
        <v>854.34456131700176</v>
      </c>
      <c r="S123" s="59">
        <f ca="1">AVERAGE(OFFSET($R$3,0,0,'Données projet'!$E$9+1,1))-AVERAGE(OFFSET($H$3,0,0,'Données projet'!$E$9+1,1))</f>
        <v>436.03161778768742</v>
      </c>
      <c r="T123" s="59">
        <f t="shared" si="88"/>
        <v>217.65884352525285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19.081398369270744</v>
      </c>
      <c r="AA123" s="21">
        <f>EXP(-LN(2)/25)*AA122+(1-EXP(-LN(2)/25))/(LN(2)/25)*Calculateur!V123*Calculateur!X123*VLOOKUP('Données projet'!$B$9,Paramètres!$A$1:$I$89,3,0)*0.475*44/12</f>
        <v>16.765859679354612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35.847258048625356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6.4</v>
      </c>
      <c r="AI123" s="13">
        <f>IF('Données projet'!$A$62&gt;35,AI122+AH123-AQ122,IF(A123&lt;'Données projet'!$A$62,$AF$205^A123,IF(A123='Données projet'!$A$62,'Données projet'!$B$62,AI122+AH123-AQ122)))</f>
        <v>286.79999999999978</v>
      </c>
      <c r="AJ123" s="13">
        <f>AI123*VLOOKUP('Données projet'!$B$10,Paramètres!$A$1:$I$89,3,0)*VLOOKUP('Données projet'!$B$10,Paramètres!$A$1:$I$89,5,0)</f>
        <v>290.81519999999983</v>
      </c>
      <c r="AK123" s="13">
        <f t="shared" si="89"/>
        <v>69.247505937584663</v>
      </c>
      <c r="AL123" s="20">
        <f t="shared" si="58"/>
        <v>627.10921284129302</v>
      </c>
      <c r="AM123" s="59">
        <f t="shared" si="59"/>
        <v>920.44254617462639</v>
      </c>
      <c r="AN123" s="59">
        <f ca="1">AVERAGE(OFFSET($AM$3,0,0,'Données projet'!$E$10+1,1))-AVERAGE(OFFSET($H$3,0,0,'Données projet'!$E$10+1,1))</f>
        <v>483.45320081988984</v>
      </c>
      <c r="AO123" s="59">
        <f t="shared" si="90"/>
        <v>238.92443174298893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21.38432575866549</v>
      </c>
      <c r="AV123" s="21">
        <f>EXP(-LN(2)/25)*AV122+(1-EXP(-LN(2)/25))/(LN(2)/25)*Calculateur!AQ123*Calculateur!AS123*VLOOKUP('Données projet'!$B$10,Paramètres!$A$1:$I$89,3,0)*0.475*44/12</f>
        <v>18.789325502724996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40.173651261390489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1.7053025658242404E-13</v>
      </c>
      <c r="BE123" s="13">
        <f>BD123*VLOOKUP('Données projet'!$B$11,Paramètres!$A$1:$I$89,3,0)*VLOOKUP('Données projet'!$B$11,Paramètres!$A$1:$I$89,5,0)</f>
        <v>1.4897523215040567E-13</v>
      </c>
      <c r="BF123" s="13">
        <f t="shared" si="91"/>
        <v>2.136562777003313E-12</v>
      </c>
      <c r="BG123" s="20">
        <f t="shared" si="61"/>
        <v>3.9806453659427267E-12</v>
      </c>
      <c r="BH123" s="59">
        <f t="shared" si="62"/>
        <v>293.33333333333729</v>
      </c>
      <c r="BI123" s="59">
        <f ca="1">AVERAGE(OFFSET($BH$3,0,0,'Données projet'!$E$11+1,1))-AVERAGE(OFFSET($H$3,0,0,'Données projet'!$E$11+1,1))</f>
        <v>310.44153296396854</v>
      </c>
      <c r="BJ123" s="59">
        <f t="shared" si="92"/>
        <v>388.05195847800502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30.226777754014879</v>
      </c>
      <c r="BQ123" s="21">
        <f>EXP(-LN(2)/25)*BQ122+(1-EXP(-LN(2)/25))/(LN(2)/25)*Calculateur!BL123*Calculateur!BN123*VLOOKUP('Données projet'!$B$11,Paramètres!$A$1:$I$89,3,0)*0.475*44/12</f>
        <v>1.3261361664646274</v>
      </c>
      <c r="BR123" s="21">
        <f>EXP(-LN(2)/2)*BR122+(1-EXP(-LN(2)/2))/(LN(2)/2)*BL123*BO123*VLOOKUP('Données projet'!$B$11,Paramètres!$A$1:$I$89,3,0)*0.475*44/12</f>
        <v>1.2275758077537529E-6</v>
      </c>
      <c r="BS123" s="22">
        <f t="shared" si="63"/>
        <v>31.552915148055316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-2.2737367544323206E-13</v>
      </c>
      <c r="BZ123" s="13">
        <f>BY123*VLOOKUP('Données projet'!$B$12,Paramètres!$A$1:$I$89,3,0)*VLOOKUP('Données projet'!$B$12,Paramètres!$A$1:$I$89,5,0)</f>
        <v>-1.2710188457276673E-13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443.34220761968419</v>
      </c>
      <c r="CE123" s="59">
        <f t="shared" si="94"/>
        <v>546.58234447298014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77.537223496808124</v>
      </c>
      <c r="CL123" s="21">
        <f>EXP(-LN(2)/25)*CL122+(1-EXP(-LN(2)/25))/(LN(2)/25)*Calculateur!CG123*Calculateur!CI123*VLOOKUP('Données projet'!$B$12,Paramètres!$A$1:$I$89,3,0)*0.475*44/12</f>
        <v>11.488152662571988</v>
      </c>
      <c r="CM123" s="21">
        <f>EXP(-LN(2)/2)*CM122+(1-EXP(-LN(2)/2))/(LN(2)/2)*CG123*CJ123*VLOOKUP('Données projet'!$B$12,Paramètres!$A$1:$I$89,3,0)*0.475*44/12</f>
        <v>4.0222341361583093E-8</v>
      </c>
      <c r="CN123" s="22">
        <f t="shared" si="66"/>
        <v>89.025376199602462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>
        <f>CT123*VLOOKUP('Données projet'!$B$13,Paramètres!$A$1:$I$89,3,0)*VLOOKUP('Données projet'!$B$13,Paramètres!$A$1:$I$89,5,0)</f>
        <v>0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214.22606988805535</v>
      </c>
      <c r="CZ123" s="59">
        <f t="shared" si="96"/>
        <v>305.78163836959078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43.505533976419997</v>
      </c>
      <c r="DG123" s="21">
        <f>EXP(-LN(2)/25)*DG122+(1-EXP(-LN(2)/25))/(LN(2)/25)*Calculateur!DB123*Calculateur!DD123*VLOOKUP('Données projet'!$B$13,Paramètres!$A$1:$I$89,3,0)*0.475*44/12</f>
        <v>6.7328345634294902</v>
      </c>
      <c r="DH123" s="21">
        <f>EXP(-LN(2)/2)*DH122+(1-EXP(-LN(2)/2))/(LN(2)/2)*DB123*DE123*VLOOKUP('Données projet'!$B$13,Paramètres!$A$1:$I$89,3,0)*0.475*44/12</f>
        <v>1.7579137722315123E-8</v>
      </c>
      <c r="DI123" s="22">
        <f t="shared" si="69"/>
        <v>50.238368557428629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-1.7053025658242404E-13</v>
      </c>
      <c r="DP123" s="17">
        <f>DO123*VLOOKUP('Données projet'!$B$14,Paramètres!$A$1:$I$89,3,0)*VLOOKUP('Données projet'!$B$14,Paramètres!$A$1:$I$89,5,0)</f>
        <v>-1.383341441396624E-13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304.26232113495314</v>
      </c>
      <c r="DU123" s="59">
        <f t="shared" si="98"/>
        <v>297.47246687305056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47.734618075634884</v>
      </c>
      <c r="EB123" s="21">
        <f>EXP(-LN(2)/25)*EB122+(1-EXP(-LN(2)/25))/(LN(2)/25)*Calculateur!DW123*Calculateur!DY123*VLOOKUP('Données projet'!$B$14,Paramètres!$A$1:$I$89,3,0)*0.475*44/12</f>
        <v>0.95369515292955087</v>
      </c>
      <c r="EC123" s="21">
        <f>EXP(-LN(2)/2)*EC122+(1-EXP(-LN(2)/2))/(LN(2)/2)*DW123*DZ123*VLOOKUP('Données projet'!$B$14,Paramètres!$A$1:$I$89,3,0)*0.475*44/12</f>
        <v>4.0463504161628544E-5</v>
      </c>
      <c r="ED123" s="22">
        <f t="shared" si="72"/>
        <v>48.688353692068596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-1.7053025658242404E-13</v>
      </c>
      <c r="EK123" s="17">
        <f>EJ123*VLOOKUP('Données projet'!$B$15,Paramètres!$A$1:$I$89,3,0)*VLOOKUP('Données projet'!$B$15,Paramètres!$A$1:$I$89,5,0)</f>
        <v>-1.6493686416652052E-13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355.72173590705142</v>
      </c>
      <c r="EP123" s="59">
        <f t="shared" si="100"/>
        <v>346.30980704469363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46.175795279260726</v>
      </c>
      <c r="EW123" s="21">
        <f>EXP(-LN(2)/25)*EW122+(1-EXP(-LN(2)/25))/(LN(2)/25)*Calculateur!ER123*Calculateur!ET123*VLOOKUP('Données projet'!$B$15,Paramètres!$A$1:$I$89,3,0)*0.475*44/12</f>
        <v>0.92255126186871628</v>
      </c>
      <c r="EX123" s="21">
        <f>EXP(-LN(2)/2)*EX122+(1-EXP(-LN(2)/2))/(LN(2)/2)*ER123*EU123*VLOOKUP('Données projet'!$B$15,Paramètres!$A$1:$I$89,3,0)*0.475*44/12</f>
        <v>4.8244947269633868E-5</v>
      </c>
      <c r="EY123" s="22">
        <f t="shared" si="75"/>
        <v>47.098394786076717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-1.7053025658242404E-13</v>
      </c>
      <c r="FF123" s="17">
        <f>FE123*VLOOKUP('Données projet'!$B$16,Paramètres!$A$1:$I$89,3,0)*VLOOKUP('Données projet'!$B$16,Paramètres!$A$1:$I$89,5,0)</f>
        <v>-1.250327841262333E-13</v>
      </c>
      <c r="FG123" s="13" t="e">
        <f t="shared" si="101"/>
        <v>#NUM!</v>
      </c>
      <c r="FH123" s="20" t="e">
        <f t="shared" si="76"/>
        <v>#NUM!</v>
      </c>
      <c r="FI123" s="59" t="e">
        <f t="shared" si="77"/>
        <v>#NUM!</v>
      </c>
      <c r="FJ123" s="59">
        <f ca="1">AVERAGE(OFFSET($FI$3,0,0,'Données projet'!$E$16+1,1))-AVERAGE(OFFSET($H$3,0,0,'Données projet'!$E$16+1,1))</f>
        <v>278.45534008146865</v>
      </c>
      <c r="FK123" s="59">
        <f t="shared" si="102"/>
        <v>272.97841038165217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35.004231905246051</v>
      </c>
      <c r="FR123" s="21">
        <f>EXP(-LN(2)/25)*FR122+(1-EXP(-LN(2)/25))/(LN(2)/25)*Calculateur!FM123*Calculateur!FO123*VLOOKUP('Données projet'!$B$16,Paramètres!$A$1:$I$89,3,0)*0.475*44/12</f>
        <v>0.69935337593273661</v>
      </c>
      <c r="FS123" s="21">
        <f>EXP(-LN(2)/2)*FS122+(1-EXP(-LN(2)/2))/(LN(2)/2)*FM123*FP123*VLOOKUP('Données projet'!$B$16,Paramètres!$A$1:$I$89,3,0)*0.475*44/12</f>
        <v>3.6572782607625706E-5</v>
      </c>
      <c r="FT123" s="22">
        <f t="shared" si="78"/>
        <v>35.703621853961394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6.4</v>
      </c>
      <c r="N124" s="13">
        <f>IF('Données projet'!$A$36&gt;35,N123+M124-V123,IF(A124&lt;'Données projet'!$A$36,$K$205^A124,IF(A124='Données projet'!$A$36,'Données projet'!$B$36,N123+M124-V123)))</f>
        <v>293.19999999999976</v>
      </c>
      <c r="O124" s="13">
        <f>N124*VLOOKUP('Données projet'!$B$9,Paramètres!$A$1:$I$89,3,0)*VLOOKUP('Données projet'!$B$9,Paramètres!$A$1:$I$89,5,0)</f>
        <v>265.28735999999975</v>
      </c>
      <c r="P124" s="13">
        <f t="shared" si="87"/>
        <v>63.848105500969893</v>
      </c>
      <c r="Q124" s="20">
        <f t="shared" si="107"/>
        <v>573.24426908085547</v>
      </c>
      <c r="R124" s="59">
        <f t="shared" si="55"/>
        <v>866.57760241418873</v>
      </c>
      <c r="S124" s="59">
        <f ca="1">AVERAGE(OFFSET($R$3,0,0,'Données projet'!$E$9+1,1))-AVERAGE(OFFSET($H$3,0,0,'Données projet'!$E$9+1,1))</f>
        <v>436.03161778768742</v>
      </c>
      <c r="T124" s="59">
        <f t="shared" si="88"/>
        <v>217.65884352525285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18.707223785753143</v>
      </c>
      <c r="AA124" s="21">
        <f>EXP(-LN(2)/25)*AA123+(1-EXP(-LN(2)/25))/(LN(2)/25)*Calculateur!V124*Calculateur!X124*VLOOKUP('Données projet'!$B$9,Paramètres!$A$1:$I$89,3,0)*0.475*44/12</f>
        <v>16.30739636474442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35.014620150497564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6.4</v>
      </c>
      <c r="AI124" s="13">
        <f>IF('Données projet'!$A$62&gt;35,AI123+AH124-AQ123,IF(A124&lt;'Données projet'!$A$62,$AF$205^A124,IF(A124='Données projet'!$A$62,'Données projet'!$B$62,AI123+AH124-AQ123)))</f>
        <v>293.19999999999976</v>
      </c>
      <c r="AJ124" s="13">
        <f>AI124*VLOOKUP('Données projet'!$B$10,Paramètres!$A$1:$I$89,3,0)*VLOOKUP('Données projet'!$B$10,Paramètres!$A$1:$I$89,5,0)</f>
        <v>297.30479999999977</v>
      </c>
      <c r="AK124" s="13">
        <f t="shared" si="89"/>
        <v>70.611149609504906</v>
      </c>
      <c r="AL124" s="20">
        <f t="shared" si="58"/>
        <v>640.78694556988728</v>
      </c>
      <c r="AM124" s="59">
        <f t="shared" si="59"/>
        <v>934.12027890322065</v>
      </c>
      <c r="AN124" s="59">
        <f ca="1">AVERAGE(OFFSET($AM$3,0,0,'Données projet'!$E$10+1,1))-AVERAGE(OFFSET($H$3,0,0,'Données projet'!$E$10+1,1))</f>
        <v>483.45320081988984</v>
      </c>
      <c r="AO124" s="59">
        <f t="shared" si="90"/>
        <v>238.92443174298893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20.96499217368887</v>
      </c>
      <c r="AV124" s="21">
        <f>EXP(-LN(2)/25)*AV123+(1-EXP(-LN(2)/25))/(LN(2)/25)*Calculateur!AQ124*Calculateur!AS124*VLOOKUP('Données projet'!$B$10,Paramètres!$A$1:$I$89,3,0)*0.475*44/12</f>
        <v>18.275530408765295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39.240522582454162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1.7053025658242404E-13</v>
      </c>
      <c r="BE124" s="13">
        <f>BD124*VLOOKUP('Données projet'!$B$11,Paramètres!$A$1:$I$89,3,0)*VLOOKUP('Données projet'!$B$11,Paramètres!$A$1:$I$89,5,0)</f>
        <v>1.4897523215040567E-13</v>
      </c>
      <c r="BF124" s="13">
        <f t="shared" si="91"/>
        <v>2.136562777003313E-12</v>
      </c>
      <c r="BG124" s="20">
        <f t="shared" si="61"/>
        <v>3.9806453659427267E-12</v>
      </c>
      <c r="BH124" s="59">
        <f t="shared" si="62"/>
        <v>293.33333333333729</v>
      </c>
      <c r="BI124" s="59">
        <f ca="1">AVERAGE(OFFSET($BH$3,0,0,'Données projet'!$E$11+1,1))-AVERAGE(OFFSET($H$3,0,0,'Données projet'!$E$11+1,1))</f>
        <v>310.44153296396854</v>
      </c>
      <c r="BJ124" s="59">
        <f t="shared" si="92"/>
        <v>388.05195847800502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29.634049078772623</v>
      </c>
      <c r="BQ124" s="21">
        <f>EXP(-LN(2)/25)*BQ123+(1-EXP(-LN(2)/25))/(LN(2)/25)*Calculateur!BL124*Calculateur!BN124*VLOOKUP('Données projet'!$B$11,Paramètres!$A$1:$I$89,3,0)*0.475*44/12</f>
        <v>1.289872903254182</v>
      </c>
      <c r="BR124" s="21">
        <f>EXP(-LN(2)/2)*BR123+(1-EXP(-LN(2)/2))/(LN(2)/2)*BL124*BO124*VLOOKUP('Données projet'!$B$11,Paramètres!$A$1:$I$89,3,0)*0.475*44/12</f>
        <v>8.6802717808323232E-7</v>
      </c>
      <c r="BS124" s="22">
        <f t="shared" si="63"/>
        <v>30.923922850053984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-2.2737367544323206E-13</v>
      </c>
      <c r="BZ124" s="13">
        <f>BY124*VLOOKUP('Données projet'!$B$12,Paramètres!$A$1:$I$89,3,0)*VLOOKUP('Données projet'!$B$12,Paramètres!$A$1:$I$89,5,0)</f>
        <v>-1.2710188457276673E-13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443.34220761968419</v>
      </c>
      <c r="CE124" s="59">
        <f t="shared" si="94"/>
        <v>546.58234447298014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76.016765837072256</v>
      </c>
      <c r="CL124" s="21">
        <f>EXP(-LN(2)/25)*CL123+(1-EXP(-LN(2)/25))/(LN(2)/25)*Calculateur!CG124*Calculateur!CI124*VLOOKUP('Données projet'!$B$12,Paramètres!$A$1:$I$89,3,0)*0.475*44/12</f>
        <v>11.174008523878264</v>
      </c>
      <c r="CM124" s="21">
        <f>EXP(-LN(2)/2)*CM123+(1-EXP(-LN(2)/2))/(LN(2)/2)*CG124*CJ124*VLOOKUP('Données projet'!$B$12,Paramètres!$A$1:$I$89,3,0)*0.475*44/12</f>
        <v>2.8441490331975559E-8</v>
      </c>
      <c r="CN124" s="22">
        <f t="shared" si="66"/>
        <v>87.190774389392004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>
        <f>CT124*VLOOKUP('Données projet'!$B$13,Paramètres!$A$1:$I$89,3,0)*VLOOKUP('Données projet'!$B$13,Paramètres!$A$1:$I$89,5,0)</f>
        <v>0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214.22606988805535</v>
      </c>
      <c r="CZ124" s="59">
        <f t="shared" si="96"/>
        <v>305.78163836959078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42.65241699089794</v>
      </c>
      <c r="DG124" s="21">
        <f>EXP(-LN(2)/25)*DG123+(1-EXP(-LN(2)/25))/(LN(2)/25)*Calculateur!DB124*Calculateur!DD124*VLOOKUP('Données projet'!$B$13,Paramètres!$A$1:$I$89,3,0)*0.475*44/12</f>
        <v>6.5487248482281295</v>
      </c>
      <c r="DH124" s="21">
        <f>EXP(-LN(2)/2)*DH123+(1-EXP(-LN(2)/2))/(LN(2)/2)*DB124*DE124*VLOOKUP('Données projet'!$B$13,Paramètres!$A$1:$I$89,3,0)*0.475*44/12</f>
        <v>1.2430327490861264E-8</v>
      </c>
      <c r="DI124" s="22">
        <f t="shared" si="69"/>
        <v>49.201141851556393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-1.7053025658242404E-13</v>
      </c>
      <c r="DP124" s="17">
        <f>DO124*VLOOKUP('Données projet'!$B$14,Paramètres!$A$1:$I$89,3,0)*VLOOKUP('Données projet'!$B$14,Paramètres!$A$1:$I$89,5,0)</f>
        <v>-1.383341441396624E-13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304.26232113495314</v>
      </c>
      <c r="DU124" s="59">
        <f t="shared" si="98"/>
        <v>297.47246687305056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46.798571330413822</v>
      </c>
      <c r="EB124" s="21">
        <f>EXP(-LN(2)/25)*EB123+(1-EXP(-LN(2)/25))/(LN(2)/25)*Calculateur!DW124*Calculateur!DY124*VLOOKUP('Données projet'!$B$14,Paramètres!$A$1:$I$89,3,0)*0.475*44/12</f>
        <v>0.92761630882004387</v>
      </c>
      <c r="EC124" s="21">
        <f>EXP(-LN(2)/2)*EC123+(1-EXP(-LN(2)/2))/(LN(2)/2)*DW124*DZ124*VLOOKUP('Données projet'!$B$14,Paramètres!$A$1:$I$89,3,0)*0.475*44/12</f>
        <v>2.861201818325763E-5</v>
      </c>
      <c r="ED124" s="22">
        <f t="shared" si="72"/>
        <v>47.726216251252048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-1.7053025658242404E-13</v>
      </c>
      <c r="EK124" s="17">
        <f>EJ124*VLOOKUP('Données projet'!$B$15,Paramètres!$A$1:$I$89,3,0)*VLOOKUP('Données projet'!$B$15,Paramètres!$A$1:$I$89,5,0)</f>
        <v>-1.6493686416652052E-13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355.72173590705142</v>
      </c>
      <c r="EP124" s="59">
        <f t="shared" si="100"/>
        <v>346.30980704469363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45.270316098288532</v>
      </c>
      <c r="EW124" s="21">
        <f>EXP(-LN(2)/25)*EW123+(1-EXP(-LN(2)/25))/(LN(2)/25)*Calculateur!ER124*Calculateur!ET124*VLOOKUP('Données projet'!$B$15,Paramètres!$A$1:$I$89,3,0)*0.475*44/12</f>
        <v>0.89732404909805386</v>
      </c>
      <c r="EX124" s="21">
        <f>EXP(-LN(2)/2)*EX123+(1-EXP(-LN(2)/2))/(LN(2)/2)*ER124*EU124*VLOOKUP('Données projet'!$B$15,Paramètres!$A$1:$I$89,3,0)*0.475*44/12</f>
        <v>3.4114329372345518E-5</v>
      </c>
      <c r="EY124" s="22">
        <f t="shared" si="75"/>
        <v>46.167674261715959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-1.7053025658242404E-13</v>
      </c>
      <c r="FF124" s="17">
        <f>FE124*VLOOKUP('Données projet'!$B$16,Paramètres!$A$1:$I$89,3,0)*VLOOKUP('Données projet'!$B$16,Paramètres!$A$1:$I$89,5,0)</f>
        <v>-1.250327841262333E-13</v>
      </c>
      <c r="FG124" s="13" t="e">
        <f t="shared" si="101"/>
        <v>#NUM!</v>
      </c>
      <c r="FH124" s="20" t="e">
        <f t="shared" si="76"/>
        <v>#NUM!</v>
      </c>
      <c r="FI124" s="59" t="e">
        <f t="shared" si="77"/>
        <v>#NUM!</v>
      </c>
      <c r="FJ124" s="59">
        <f ca="1">AVERAGE(OFFSET($FI$3,0,0,'Données projet'!$E$16+1,1))-AVERAGE(OFFSET($H$3,0,0,'Données projet'!$E$16+1,1))</f>
        <v>278.45534008146865</v>
      </c>
      <c r="FK124" s="59">
        <f t="shared" si="102"/>
        <v>272.97841038165217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34.317820268057453</v>
      </c>
      <c r="FR124" s="21">
        <f>EXP(-LN(2)/25)*FR123+(1-EXP(-LN(2)/25))/(LN(2)/25)*Calculateur!FM124*Calculateur!FO124*VLOOKUP('Données projet'!$B$16,Paramètres!$A$1:$I$89,3,0)*0.475*44/12</f>
        <v>0.68022952109046031</v>
      </c>
      <c r="FS124" s="21">
        <f>EXP(-LN(2)/2)*FS123+(1-EXP(-LN(2)/2))/(LN(2)/2)*FM124*FP124*VLOOKUP('Données projet'!$B$16,Paramètres!$A$1:$I$89,3,0)*0.475*44/12</f>
        <v>2.5860862588713561E-5</v>
      </c>
      <c r="FT124" s="22">
        <f t="shared" si="78"/>
        <v>34.998075650010499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6.4</v>
      </c>
      <c r="N125" s="13">
        <f>IF('Données projet'!$A$36&gt;35,N124+M125-V124,IF(A125&lt;'Données projet'!$A$36,$K$205^A125,IF(A125='Données projet'!$A$36,'Données projet'!$B$36,N124+M125-V124)))</f>
        <v>299.59999999999974</v>
      </c>
      <c r="O125" s="13">
        <f>N125*VLOOKUP('Données projet'!$B$9,Paramètres!$A$1:$I$89,3,0)*VLOOKUP('Données projet'!$B$9,Paramètres!$A$1:$I$89,5,0)</f>
        <v>271.07807999999977</v>
      </c>
      <c r="P125" s="13">
        <f t="shared" si="87"/>
        <v>65.078011982620907</v>
      </c>
      <c r="Q125" s="20">
        <f t="shared" si="107"/>
        <v>585.47186020306435</v>
      </c>
      <c r="R125" s="59">
        <f t="shared" si="55"/>
        <v>878.80519353639761</v>
      </c>
      <c r="S125" s="59">
        <f ca="1">AVERAGE(OFFSET($R$3,0,0,'Données projet'!$E$9+1,1))-AVERAGE(OFFSET($H$3,0,0,'Données projet'!$E$9+1,1))</f>
        <v>436.03161778768742</v>
      </c>
      <c r="T125" s="59">
        <f t="shared" si="88"/>
        <v>217.65884352525285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18.340386537594362</v>
      </c>
      <c r="AA125" s="21">
        <f>EXP(-LN(2)/25)*AA124+(1-EXP(-LN(2)/25))/(LN(2)/25)*Calculateur!V125*Calculateur!X125*VLOOKUP('Données projet'!$B$9,Paramètres!$A$1:$I$89,3,0)*0.475*44/12</f>
        <v>15.86146975358178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34.201856291176142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6.4</v>
      </c>
      <c r="AI125" s="13">
        <f>IF('Données projet'!$A$62&gt;35,AI124+AH125-AQ124,IF(A125&lt;'Données projet'!$A$62,$AF$205^A125,IF(A125='Données projet'!$A$62,'Données projet'!$B$62,AI124+AH125-AQ124)))</f>
        <v>299.59999999999974</v>
      </c>
      <c r="AJ125" s="13">
        <f>AI125*VLOOKUP('Données projet'!$B$10,Paramètres!$A$1:$I$89,3,0)*VLOOKUP('Données projet'!$B$10,Paramètres!$A$1:$I$89,5,0)</f>
        <v>303.79439999999977</v>
      </c>
      <c r="AK125" s="13">
        <f t="shared" si="89"/>
        <v>71.971332654877116</v>
      </c>
      <c r="AL125" s="20">
        <f t="shared" si="58"/>
        <v>654.45865104057725</v>
      </c>
      <c r="AM125" s="59">
        <f t="shared" si="59"/>
        <v>947.79198437391051</v>
      </c>
      <c r="AN125" s="59">
        <f ca="1">AVERAGE(OFFSET($AM$3,0,0,'Données projet'!$E$10+1,1))-AVERAGE(OFFSET($H$3,0,0,'Données projet'!$E$10+1,1))</f>
        <v>483.45320081988984</v>
      </c>
      <c r="AO125" s="59">
        <f t="shared" si="90"/>
        <v>238.92443174298893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20.553881464545409</v>
      </c>
      <c r="AV125" s="21">
        <f>EXP(-LN(2)/25)*AV124+(1-EXP(-LN(2)/25))/(LN(2)/25)*Calculateur!AQ125*Calculateur!AS125*VLOOKUP('Données projet'!$B$10,Paramètres!$A$1:$I$89,3,0)*0.475*44/12</f>
        <v>17.775785068669233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38.329666533214642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1.7053025658242404E-13</v>
      </c>
      <c r="BE125" s="13">
        <f>BD125*VLOOKUP('Données projet'!$B$11,Paramètres!$A$1:$I$89,3,0)*VLOOKUP('Données projet'!$B$11,Paramètres!$A$1:$I$89,5,0)</f>
        <v>1.4897523215040567E-13</v>
      </c>
      <c r="BF125" s="13">
        <f t="shared" si="91"/>
        <v>2.136562777003313E-12</v>
      </c>
      <c r="BG125" s="20">
        <f t="shared" si="61"/>
        <v>3.9806453659427267E-12</v>
      </c>
      <c r="BH125" s="59">
        <f t="shared" si="62"/>
        <v>293.33333333333729</v>
      </c>
      <c r="BI125" s="59">
        <f ca="1">AVERAGE(OFFSET($BH$3,0,0,'Données projet'!$E$11+1,1))-AVERAGE(OFFSET($H$3,0,0,'Données projet'!$E$11+1,1))</f>
        <v>310.44153296396854</v>
      </c>
      <c r="BJ125" s="59">
        <f t="shared" si="92"/>
        <v>388.05195847800502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29.052943451323074</v>
      </c>
      <c r="BQ125" s="21">
        <f>EXP(-LN(2)/25)*BQ124+(1-EXP(-LN(2)/25))/(LN(2)/25)*Calculateur!BL125*Calculateur!BN125*VLOOKUP('Données projet'!$B$11,Paramètres!$A$1:$I$89,3,0)*0.475*44/12</f>
        <v>1.2546012608832284</v>
      </c>
      <c r="BR125" s="21">
        <f>EXP(-LN(2)/2)*BR124+(1-EXP(-LN(2)/2))/(LN(2)/2)*BL125*BO125*VLOOKUP('Données projet'!$B$11,Paramètres!$A$1:$I$89,3,0)*0.475*44/12</f>
        <v>6.1378790387687647E-7</v>
      </c>
      <c r="BS125" s="22">
        <f t="shared" si="63"/>
        <v>30.307545325994205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-2.2737367544323206E-13</v>
      </c>
      <c r="BZ125" s="13">
        <f>BY125*VLOOKUP('Données projet'!$B$12,Paramètres!$A$1:$I$89,3,0)*VLOOKUP('Données projet'!$B$12,Paramètres!$A$1:$I$89,5,0)</f>
        <v>-1.2710188457276673E-13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443.34220761968419</v>
      </c>
      <c r="CE125" s="59">
        <f t="shared" si="94"/>
        <v>546.58234447298014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74.526123424656205</v>
      </c>
      <c r="CL125" s="21">
        <f>EXP(-LN(2)/25)*CL124+(1-EXP(-LN(2)/25))/(LN(2)/25)*Calculateur!CG125*Calculateur!CI125*VLOOKUP('Données projet'!$B$12,Paramètres!$A$1:$I$89,3,0)*0.475*44/12</f>
        <v>10.868454673177244</v>
      </c>
      <c r="CM125" s="21">
        <f>EXP(-LN(2)/2)*CM124+(1-EXP(-LN(2)/2))/(LN(2)/2)*CG125*CJ125*VLOOKUP('Données projet'!$B$12,Paramètres!$A$1:$I$89,3,0)*0.475*44/12</f>
        <v>2.011117068079155E-8</v>
      </c>
      <c r="CN125" s="22">
        <f t="shared" si="66"/>
        <v>85.394578117944619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>
        <f>CT125*VLOOKUP('Données projet'!$B$13,Paramètres!$A$1:$I$89,3,0)*VLOOKUP('Données projet'!$B$13,Paramètres!$A$1:$I$89,5,0)</f>
        <v>0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214.22606988805535</v>
      </c>
      <c r="CZ125" s="59">
        <f t="shared" si="96"/>
        <v>305.78163836959078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41.816029109111987</v>
      </c>
      <c r="DG125" s="21">
        <f>EXP(-LN(2)/25)*DG124+(1-EXP(-LN(2)/25))/(LN(2)/25)*Calculateur!DB125*Calculateur!DD125*VLOOKUP('Données projet'!$B$13,Paramètres!$A$1:$I$89,3,0)*0.475*44/12</f>
        <v>6.3696496228708588</v>
      </c>
      <c r="DH125" s="21">
        <f>EXP(-LN(2)/2)*DH124+(1-EXP(-LN(2)/2))/(LN(2)/2)*DB125*DE125*VLOOKUP('Données projet'!$B$13,Paramètres!$A$1:$I$89,3,0)*0.475*44/12</f>
        <v>8.7895688611575617E-9</v>
      </c>
      <c r="DI125" s="22">
        <f t="shared" si="69"/>
        <v>48.185678740772417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-1.7053025658242404E-13</v>
      </c>
      <c r="DP125" s="17">
        <f>DO125*VLOOKUP('Données projet'!$B$14,Paramètres!$A$1:$I$89,3,0)*VLOOKUP('Données projet'!$B$14,Paramètres!$A$1:$I$89,5,0)</f>
        <v>-1.383341441396624E-13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304.26232113495314</v>
      </c>
      <c r="DU125" s="59">
        <f t="shared" si="98"/>
        <v>297.47246687305056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45.880879890934402</v>
      </c>
      <c r="EB125" s="21">
        <f>EXP(-LN(2)/25)*EB124+(1-EXP(-LN(2)/25))/(LN(2)/25)*Calculateur!DW125*Calculateur!DY125*VLOOKUP('Données projet'!$B$14,Paramètres!$A$1:$I$89,3,0)*0.475*44/12</f>
        <v>0.90225059207413816</v>
      </c>
      <c r="EC125" s="21">
        <f>EXP(-LN(2)/2)*EC124+(1-EXP(-LN(2)/2))/(LN(2)/2)*DW125*DZ125*VLOOKUP('Données projet'!$B$14,Paramètres!$A$1:$I$89,3,0)*0.475*44/12</f>
        <v>2.0231752080814272E-5</v>
      </c>
      <c r="ED125" s="22">
        <f t="shared" si="72"/>
        <v>46.783150714760623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-1.7053025658242404E-13</v>
      </c>
      <c r="EK125" s="17">
        <f>EJ125*VLOOKUP('Données projet'!$B$15,Paramètres!$A$1:$I$89,3,0)*VLOOKUP('Données projet'!$B$15,Paramètres!$A$1:$I$89,5,0)</f>
        <v>-1.6493686416652052E-13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355.72173590705142</v>
      </c>
      <c r="EP125" s="59">
        <f t="shared" si="100"/>
        <v>346.30980704469363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44.382592811767438</v>
      </c>
      <c r="EW125" s="21">
        <f>EXP(-LN(2)/25)*EW124+(1-EXP(-LN(2)/25))/(LN(2)/25)*Calculateur!ER125*Calculateur!ET125*VLOOKUP('Données projet'!$B$15,Paramètres!$A$1:$I$89,3,0)*0.475*44/12</f>
        <v>0.87278667578724667</v>
      </c>
      <c r="EX125" s="21">
        <f>EXP(-LN(2)/2)*EX124+(1-EXP(-LN(2)/2))/(LN(2)/2)*ER125*EU125*VLOOKUP('Données projet'!$B$15,Paramètres!$A$1:$I$89,3,0)*0.475*44/12</f>
        <v>2.4122473634816934E-5</v>
      </c>
      <c r="EY125" s="22">
        <f t="shared" si="75"/>
        <v>45.255403610028317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-1.7053025658242404E-13</v>
      </c>
      <c r="FF125" s="17">
        <f>FE125*VLOOKUP('Données projet'!$B$16,Paramètres!$A$1:$I$89,3,0)*VLOOKUP('Données projet'!$B$16,Paramètres!$A$1:$I$89,5,0)</f>
        <v>-1.250327841262333E-13</v>
      </c>
      <c r="FG125" s="13" t="e">
        <f t="shared" si="101"/>
        <v>#NUM!</v>
      </c>
      <c r="FH125" s="20" t="e">
        <f t="shared" si="76"/>
        <v>#NUM!</v>
      </c>
      <c r="FI125" s="59" t="e">
        <f t="shared" si="77"/>
        <v>#NUM!</v>
      </c>
      <c r="FJ125" s="59">
        <f ca="1">AVERAGE(OFFSET($FI$3,0,0,'Données projet'!$E$16+1,1))-AVERAGE(OFFSET($H$3,0,0,'Données projet'!$E$16+1,1))</f>
        <v>278.45534008146865</v>
      </c>
      <c r="FK125" s="59">
        <f t="shared" si="102"/>
        <v>272.97841038165217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33.644868744404363</v>
      </c>
      <c r="FR125" s="21">
        <f>EXP(-LN(2)/25)*FR124+(1-EXP(-LN(2)/25))/(LN(2)/25)*Calculateur!FM125*Calculateur!FO125*VLOOKUP('Données projet'!$B$16,Paramètres!$A$1:$I$89,3,0)*0.475*44/12</f>
        <v>0.66162860906452581</v>
      </c>
      <c r="FS125" s="21">
        <f>EXP(-LN(2)/2)*FS124+(1-EXP(-LN(2)/2))/(LN(2)/2)*FM125*FP125*VLOOKUP('Données projet'!$B$16,Paramètres!$A$1:$I$89,3,0)*0.475*44/12</f>
        <v>1.8286391303812853E-5</v>
      </c>
      <c r="FT125" s="22">
        <f t="shared" si="78"/>
        <v>34.306515639860194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>
        <f>VLOOKUP(A126,'Données projet'!$A$35:$I$55,2,0)</f>
        <v>306</v>
      </c>
      <c r="L126" s="12">
        <f>VLOOKUP(A126,'Données projet'!$A$35:$I$55,9,0)</f>
        <v>6.4</v>
      </c>
      <c r="M126" s="12">
        <f t="array" ref="M126">INDEX(L:L,MIN(IF(ISNUMBER(L126:L322),ROW(L126:L322),"")))</f>
        <v>6.4</v>
      </c>
      <c r="N126" s="13">
        <f>IF('Données projet'!$A$36&gt;35,N125+M126-V125,IF(A126&lt;'Données projet'!$A$36,$K$205^A126,IF(A126='Données projet'!$A$36,'Données projet'!$B$36,N125+M126-V125)))</f>
        <v>305.99999999999972</v>
      </c>
      <c r="O126" s="13">
        <f>N126*VLOOKUP('Données projet'!$B$9,Paramètres!$A$1:$I$89,3,0)*VLOOKUP('Données projet'!$B$9,Paramètres!$A$1:$I$89,5,0)</f>
        <v>276.86879999999974</v>
      </c>
      <c r="P126" s="13">
        <f t="shared" si="87"/>
        <v>66.304863836318603</v>
      </c>
      <c r="Q126" s="20">
        <f t="shared" si="107"/>
        <v>597.69413118158775</v>
      </c>
      <c r="R126" s="59">
        <f t="shared" si="55"/>
        <v>891.02746451492112</v>
      </c>
      <c r="S126" s="59">
        <f ca="1">AVERAGE(OFFSET($R$3,0,0,'Données projet'!$E$9+1,1))-AVERAGE(OFFSET($H$3,0,0,'Données projet'!$E$9+1,1))</f>
        <v>436.03161778768742</v>
      </c>
      <c r="T126" s="59">
        <f t="shared" si="88"/>
        <v>217.65884352525285</v>
      </c>
      <c r="U126" s="15">
        <f>IF(ISNA(VLOOKUP(A126,'Données projet'!$A$35:$I$55,3,0)),0,VLOOKUP(A126,'Données projet'!$A$35:$I$55,3,0))</f>
        <v>10</v>
      </c>
      <c r="V126" s="15">
        <f>IF(ISNA(VLOOKUP(A126,'Données projet'!$A$35:$I$55,4,0)),0,VLOOKUP(A126,'Données projet'!$A$35:$I$55,4,0))</f>
        <v>46</v>
      </c>
      <c r="W126" s="16">
        <f>IF(ISNA(VLOOKUP(A126,'Données projet'!$A$35:$I$55,5,0)),0%,VLOOKUP(A126,'Données projet'!$A$35:$I$55,5,0)*VLOOKUP('Données projet'!$B$9,Paramètres!$A$1:$I$89,7,0))</f>
        <v>0.30099999999999999</v>
      </c>
      <c r="X126" s="16">
        <f>IF(ISNA(VLOOKUP(A126,'Données projet'!$A$35:$I$55,6,0)),0%,VLOOKUP(A126,'Données projet'!$A$35:$I$55,6,0)*VLOOKUP('Données projet'!$B$9,Paramètres!$A$1:$I$89,7,0))</f>
        <v>4.3000000000000003E-2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31.829921777435317</v>
      </c>
      <c r="AA126" s="21">
        <f>EXP(-LN(2)/25)*AA125+(1-EXP(-LN(2)/25))/(LN(2)/25)*Calculateur!V126*Calculateur!X126*VLOOKUP('Données projet'!$B$9,Paramètres!$A$1:$I$89,3,0)*0.475*44/12</f>
        <v>17.398401248838343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49.228323026273657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>
        <f>VLOOKUP(A126,'Données projet'!$A$61:$I$81,2,0)</f>
        <v>306</v>
      </c>
      <c r="AG126" s="12">
        <f>VLOOKUP(A126,'Données projet'!$A$61:$I$81,9,0)</f>
        <v>6.4</v>
      </c>
      <c r="AH126" s="12">
        <f t="array" ref="AH126">INDEX(AG:AG,MIN(IF(ISNUMBER(AG126:AG322),ROW(AG126:AG322),"")))</f>
        <v>6.4</v>
      </c>
      <c r="AI126" s="13">
        <f>IF('Données projet'!$A$62&gt;35,AI125+AH126-AQ125,IF(A126&lt;'Données projet'!$A$62,$AF$205^A126,IF(A126='Données projet'!$A$62,'Données projet'!$B$62,AI125+AH126-AQ125)))</f>
        <v>305.99999999999972</v>
      </c>
      <c r="AJ126" s="13">
        <f>AI126*VLOOKUP('Données projet'!$B$10,Paramètres!$A$1:$I$89,3,0)*VLOOKUP('Données projet'!$B$10,Paramètres!$A$1:$I$89,5,0)</f>
        <v>310.28399999999976</v>
      </c>
      <c r="AK126" s="13">
        <f t="shared" si="89"/>
        <v>73.328137514010095</v>
      </c>
      <c r="AL126" s="20">
        <f t="shared" si="58"/>
        <v>668.12447283690051</v>
      </c>
      <c r="AM126" s="59">
        <f t="shared" si="59"/>
        <v>961.45780617023388</v>
      </c>
      <c r="AN126" s="59">
        <f ca="1">AVERAGE(OFFSET($AM$3,0,0,'Données projet'!$E$10+1,1))-AVERAGE(OFFSET($H$3,0,0,'Données projet'!$E$10+1,1))</f>
        <v>483.45320081988984</v>
      </c>
      <c r="AO126" s="59">
        <f t="shared" si="90"/>
        <v>238.92443174298893</v>
      </c>
      <c r="AP126" s="15">
        <f>IF(ISNA(VLOOKUP(A126,'Données projet'!$A$61:$I$81,3,0)),0,VLOOKUP(A126,'Données projet'!$A$61:$I$81,3,0))</f>
        <v>10</v>
      </c>
      <c r="AQ126" s="15">
        <f>IF(ISNA(VLOOKUP(A126,'Données projet'!$A$61:$I$81,4,0)),0,VLOOKUP(A126,'Données projet'!$A$61:$I$81,4,0))</f>
        <v>46</v>
      </c>
      <c r="AR126" s="16">
        <f>IF(ISNA(VLOOKUP(A126,'Données projet'!$A$61:$I$81,5,0)),0%,VLOOKUP(A126,'Données projet'!$A$61:$I$81,5,0)*VLOOKUP('Données projet'!$B$10,Paramètres!$A$1:$I$89,7,0))</f>
        <v>0.30099999999999999</v>
      </c>
      <c r="AS126" s="16">
        <f>IF(ISNA(VLOOKUP(A126,'Données projet'!$A$61:$I$81,6,0)),0%,VLOOKUP(A126,'Données projet'!$A$61:$I$81,6,0)*VLOOKUP('Données projet'!$B$10,Paramètres!$A$1:$I$89,7,0))</f>
        <v>4.3000000000000003E-2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35.671464060918893</v>
      </c>
      <c r="AV126" s="21">
        <f>EXP(-LN(2)/25)*AV125+(1-EXP(-LN(2)/25))/(LN(2)/25)*Calculateur!AQ126*Calculateur!AS126*VLOOKUP('Données projet'!$B$10,Paramètres!$A$1:$I$89,3,0)*0.475*44/12</f>
        <v>19.498208296111933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55.169672357030827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1.7053025658242404E-13</v>
      </c>
      <c r="BE126" s="13">
        <f>BD126*VLOOKUP('Données projet'!$B$11,Paramètres!$A$1:$I$89,3,0)*VLOOKUP('Données projet'!$B$11,Paramètres!$A$1:$I$89,5,0)</f>
        <v>1.4897523215040567E-13</v>
      </c>
      <c r="BF126" s="13">
        <f t="shared" si="91"/>
        <v>2.136562777003313E-12</v>
      </c>
      <c r="BG126" s="20">
        <f t="shared" si="61"/>
        <v>3.9806453659427267E-12</v>
      </c>
      <c r="BH126" s="59">
        <f t="shared" si="62"/>
        <v>293.33333333333729</v>
      </c>
      <c r="BI126" s="59">
        <f ca="1">AVERAGE(OFFSET($BH$3,0,0,'Données projet'!$E$11+1,1))-AVERAGE(OFFSET($H$3,0,0,'Données projet'!$E$11+1,1))</f>
        <v>310.44153296396854</v>
      </c>
      <c r="BJ126" s="59">
        <f t="shared" si="92"/>
        <v>388.05195847800502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28.483232950788377</v>
      </c>
      <c r="BQ126" s="21">
        <f>EXP(-LN(2)/25)*BQ125+(1-EXP(-LN(2)/25))/(LN(2)/25)*Calculateur!BL126*Calculateur!BN126*VLOOKUP('Données projet'!$B$11,Paramètres!$A$1:$I$89,3,0)*0.475*44/12</f>
        <v>1.2202941234277638</v>
      </c>
      <c r="BR126" s="21">
        <f>EXP(-LN(2)/2)*BR125+(1-EXP(-LN(2)/2))/(LN(2)/2)*BL126*BO126*VLOOKUP('Données projet'!$B$11,Paramètres!$A$1:$I$89,3,0)*0.475*44/12</f>
        <v>4.3401358904161616E-7</v>
      </c>
      <c r="BS126" s="22">
        <f t="shared" si="63"/>
        <v>29.70352750822973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-2.2737367544323206E-13</v>
      </c>
      <c r="BZ126" s="13">
        <f>BY126*VLOOKUP('Données projet'!$B$12,Paramètres!$A$1:$I$89,3,0)*VLOOKUP('Données projet'!$B$12,Paramètres!$A$1:$I$89,5,0)</f>
        <v>-1.2710188457276673E-13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443.34220761968419</v>
      </c>
      <c r="CE126" s="59">
        <f t="shared" si="94"/>
        <v>546.58234447298014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73.064711600745539</v>
      </c>
      <c r="CL126" s="21">
        <f>EXP(-LN(2)/25)*CL125+(1-EXP(-LN(2)/25))/(LN(2)/25)*Calculateur!CG126*Calculateur!CI126*VLOOKUP('Données projet'!$B$12,Paramètres!$A$1:$I$89,3,0)*0.475*44/12</f>
        <v>10.57125620859202</v>
      </c>
      <c r="CM126" s="21">
        <f>EXP(-LN(2)/2)*CM125+(1-EXP(-LN(2)/2))/(LN(2)/2)*CG126*CJ126*VLOOKUP('Données projet'!$B$12,Paramètres!$A$1:$I$89,3,0)*0.475*44/12</f>
        <v>1.4220745165987781E-8</v>
      </c>
      <c r="CN126" s="22">
        <f t="shared" si="66"/>
        <v>83.635967823558303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>
        <f>CT126*VLOOKUP('Données projet'!$B$13,Paramètres!$A$1:$I$89,3,0)*VLOOKUP('Données projet'!$B$13,Paramètres!$A$1:$I$89,5,0)</f>
        <v>0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214.22606988805535</v>
      </c>
      <c r="CZ126" s="59">
        <f t="shared" si="96"/>
        <v>305.78163836959078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40.99604228354162</v>
      </c>
      <c r="DG126" s="21">
        <f>EXP(-LN(2)/25)*DG125+(1-EXP(-LN(2)/25))/(LN(2)/25)*Calculateur!DB126*Calculateur!DD126*VLOOKUP('Données projet'!$B$13,Paramètres!$A$1:$I$89,3,0)*0.475*44/12</f>
        <v>6.1954712189681391</v>
      </c>
      <c r="DH126" s="21">
        <f>EXP(-LN(2)/2)*DH125+(1-EXP(-LN(2)/2))/(LN(2)/2)*DB126*DE126*VLOOKUP('Données projet'!$B$13,Paramètres!$A$1:$I$89,3,0)*0.475*44/12</f>
        <v>6.2151637454306318E-9</v>
      </c>
      <c r="DI126" s="22">
        <f t="shared" si="69"/>
        <v>47.191513508724924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-1.7053025658242404E-13</v>
      </c>
      <c r="DP126" s="17">
        <f>DO126*VLOOKUP('Données projet'!$B$14,Paramètres!$A$1:$I$89,3,0)*VLOOKUP('Données projet'!$B$14,Paramètres!$A$1:$I$89,5,0)</f>
        <v>-1.383341441396624E-13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304.26232113495314</v>
      </c>
      <c r="DU126" s="59">
        <f t="shared" si="98"/>
        <v>297.47246687305056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44.981183820846667</v>
      </c>
      <c r="EB126" s="21">
        <f>EXP(-LN(2)/25)*EB125+(1-EXP(-LN(2)/25))/(LN(2)/25)*Calculateur!DW126*Calculateur!DY126*VLOOKUP('Données projet'!$B$14,Paramètres!$A$1:$I$89,3,0)*0.475*44/12</f>
        <v>0.87757850218657429</v>
      </c>
      <c r="EC126" s="21">
        <f>EXP(-LN(2)/2)*EC125+(1-EXP(-LN(2)/2))/(LN(2)/2)*DW126*DZ126*VLOOKUP('Données projet'!$B$14,Paramètres!$A$1:$I$89,3,0)*0.475*44/12</f>
        <v>1.4306009091628815E-5</v>
      </c>
      <c r="ED126" s="22">
        <f t="shared" si="72"/>
        <v>45.858776629042332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-1.7053025658242404E-13</v>
      </c>
      <c r="EK126" s="17">
        <f>EJ126*VLOOKUP('Données projet'!$B$15,Paramètres!$A$1:$I$89,3,0)*VLOOKUP('Données projet'!$B$15,Paramètres!$A$1:$I$89,5,0)</f>
        <v>-1.6493686416652052E-13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355.72173590705142</v>
      </c>
      <c r="EP126" s="59">
        <f t="shared" si="100"/>
        <v>346.30980704469363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43.512277237437281</v>
      </c>
      <c r="EW126" s="21">
        <f>EXP(-LN(2)/25)*EW125+(1-EXP(-LN(2)/25))/(LN(2)/25)*Calculateur!ER126*Calculateur!ET126*VLOOKUP('Données projet'!$B$15,Paramètres!$A$1:$I$89,3,0)*0.475*44/12</f>
        <v>0.84892027823998795</v>
      </c>
      <c r="EX126" s="21">
        <f>EXP(-LN(2)/2)*EX125+(1-EXP(-LN(2)/2))/(LN(2)/2)*ER126*EU126*VLOOKUP('Données projet'!$B$15,Paramètres!$A$1:$I$89,3,0)*0.475*44/12</f>
        <v>1.7057164686172759E-5</v>
      </c>
      <c r="EY126" s="22">
        <f t="shared" si="75"/>
        <v>44.361214572841952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-1.7053025658242404E-13</v>
      </c>
      <c r="FF126" s="17">
        <f>FE126*VLOOKUP('Données projet'!$B$16,Paramètres!$A$1:$I$89,3,0)*VLOOKUP('Données projet'!$B$16,Paramètres!$A$1:$I$89,5,0)</f>
        <v>-1.250327841262333E-13</v>
      </c>
      <c r="FG126" s="13" t="e">
        <f t="shared" si="101"/>
        <v>#NUM!</v>
      </c>
      <c r="FH126" s="20" t="e">
        <f t="shared" si="76"/>
        <v>#NUM!</v>
      </c>
      <c r="FI126" s="59" t="e">
        <f t="shared" si="77"/>
        <v>#NUM!</v>
      </c>
      <c r="FJ126" s="59">
        <f ca="1">AVERAGE(OFFSET($FI$3,0,0,'Données projet'!$E$16+1,1))-AVERAGE(OFFSET($H$3,0,0,'Données projet'!$E$16+1,1))</f>
        <v>278.45534008146865</v>
      </c>
      <c r="FK126" s="59">
        <f t="shared" si="102"/>
        <v>272.97841038165217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32.985113389670211</v>
      </c>
      <c r="FR126" s="21">
        <f>EXP(-LN(2)/25)*FR125+(1-EXP(-LN(2)/25))/(LN(2)/25)*Calculateur!FM126*Calculateur!FO126*VLOOKUP('Données projet'!$B$16,Paramètres!$A$1:$I$89,3,0)*0.475*44/12</f>
        <v>0.64353633995611992</v>
      </c>
      <c r="FS126" s="21">
        <f>EXP(-LN(2)/2)*FS125+(1-EXP(-LN(2)/2))/(LN(2)/2)*FM126*FP126*VLOOKUP('Données projet'!$B$16,Paramètres!$A$1:$I$89,3,0)*0.475*44/12</f>
        <v>1.2930431294356781E-5</v>
      </c>
      <c r="FT126" s="22">
        <f t="shared" si="78"/>
        <v>33.628662660057628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5.75</v>
      </c>
      <c r="N127" s="13">
        <f>IF('Données projet'!$A$36&gt;35,N126+M127-V126,IF(A127&lt;'Données projet'!$A$36,$K$205^A127,IF(A127='Données projet'!$A$36,'Données projet'!$B$36,N126+M127-V126)))</f>
        <v>265.74999999999972</v>
      </c>
      <c r="O127" s="13">
        <f>N127*VLOOKUP('Données projet'!$B$9,Paramètres!$A$1:$I$89,3,0)*VLOOKUP('Données projet'!$B$9,Paramètres!$A$1:$I$89,5,0)</f>
        <v>240.45059999999972</v>
      </c>
      <c r="P127" s="13">
        <f t="shared" si="87"/>
        <v>58.536468681015705</v>
      </c>
      <c r="Q127" s="20">
        <f t="shared" si="107"/>
        <v>520.73581128610181</v>
      </c>
      <c r="R127" s="59">
        <f t="shared" si="55"/>
        <v>814.06914461943506</v>
      </c>
      <c r="S127" s="59">
        <f ca="1">AVERAGE(OFFSET($R$3,0,0,'Données projet'!$E$9+1,1))-AVERAGE(OFFSET($H$3,0,0,'Données projet'!$E$9+1,1))</f>
        <v>436.03161778768742</v>
      </c>
      <c r="T127" s="59">
        <f t="shared" si="88"/>
        <v>217.65884352525285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31.205756425715087</v>
      </c>
      <c r="AA127" s="21">
        <f>EXP(-LN(2)/25)*AA126+(1-EXP(-LN(2)/25))/(LN(2)/25)*Calculateur!V127*Calculateur!X127*VLOOKUP('Données projet'!$B$9,Paramètres!$A$1:$I$89,3,0)*0.475*44/12</f>
        <v>16.922641051746702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48.128397477461789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5.75</v>
      </c>
      <c r="AI127" s="13">
        <f>IF('Données projet'!$A$62&gt;35,AI126+AH127-AQ126,IF(A127&lt;'Données projet'!$A$62,$AF$205^A127,IF(A127='Données projet'!$A$62,'Données projet'!$B$62,AI126+AH127-AQ126)))</f>
        <v>265.74999999999972</v>
      </c>
      <c r="AJ127" s="13">
        <f>AI127*VLOOKUP('Données projet'!$B$10,Paramètres!$A$1:$I$89,3,0)*VLOOKUP('Données projet'!$B$10,Paramètres!$A$1:$I$89,5,0)</f>
        <v>269.47049999999973</v>
      </c>
      <c r="AK127" s="13">
        <f t="shared" si="89"/>
        <v>64.73688318887568</v>
      </c>
      <c r="AL127" s="20">
        <f t="shared" si="58"/>
        <v>582.07785905395792</v>
      </c>
      <c r="AM127" s="59">
        <f t="shared" si="59"/>
        <v>875.41119238729129</v>
      </c>
      <c r="AN127" s="59">
        <f ca="1">AVERAGE(OFFSET($AM$3,0,0,'Données projet'!$E$10+1,1))-AVERAGE(OFFSET($H$3,0,0,'Données projet'!$E$10+1,1))</f>
        <v>483.45320081988984</v>
      </c>
      <c r="AO127" s="59">
        <f t="shared" si="90"/>
        <v>238.92443174298893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34.97196840812898</v>
      </c>
      <c r="AV127" s="21">
        <f>EXP(-LN(2)/25)*AV126+(1-EXP(-LN(2)/25))/(LN(2)/25)*Calculateur!AQ127*Calculateur!AS127*VLOOKUP('Données projet'!$B$10,Paramètres!$A$1:$I$89,3,0)*0.475*44/12</f>
        <v>18.96502876488854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53.936997173017517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1.7053025658242404E-13</v>
      </c>
      <c r="BE127" s="13">
        <f>BD127*VLOOKUP('Données projet'!$B$11,Paramètres!$A$1:$I$89,3,0)*VLOOKUP('Données projet'!$B$11,Paramètres!$A$1:$I$89,5,0)</f>
        <v>1.4897523215040567E-13</v>
      </c>
      <c r="BF127" s="13">
        <f t="shared" si="91"/>
        <v>2.136562777003313E-12</v>
      </c>
      <c r="BG127" s="20">
        <f t="shared" si="61"/>
        <v>3.9806453659427267E-12</v>
      </c>
      <c r="BH127" s="59">
        <f t="shared" si="62"/>
        <v>293.33333333333729</v>
      </c>
      <c r="BI127" s="59">
        <f ca="1">AVERAGE(OFFSET($BH$3,0,0,'Données projet'!$E$11+1,1))-AVERAGE(OFFSET($H$3,0,0,'Données projet'!$E$11+1,1))</f>
        <v>310.44153296396854</v>
      </c>
      <c r="BJ127" s="59">
        <f t="shared" si="92"/>
        <v>388.05195847800502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27.92469412568007</v>
      </c>
      <c r="BQ127" s="21">
        <f>EXP(-LN(2)/25)*BQ126+(1-EXP(-LN(2)/25))/(LN(2)/25)*Calculateur!BL127*Calculateur!BN127*VLOOKUP('Données projet'!$B$11,Paramètres!$A$1:$I$89,3,0)*0.475*44/12</f>
        <v>1.1869251164501526</v>
      </c>
      <c r="BR127" s="21">
        <f>EXP(-LN(2)/2)*BR126+(1-EXP(-LN(2)/2))/(LN(2)/2)*BL127*BO127*VLOOKUP('Données projet'!$B$11,Paramètres!$A$1:$I$89,3,0)*0.475*44/12</f>
        <v>3.0689395193843823E-7</v>
      </c>
      <c r="BS127" s="22">
        <f t="shared" si="63"/>
        <v>29.111619549024173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-2.2737367544323206E-13</v>
      </c>
      <c r="BZ127" s="13">
        <f>BY127*VLOOKUP('Données projet'!$B$12,Paramètres!$A$1:$I$89,3,0)*VLOOKUP('Données projet'!$B$12,Paramètres!$A$1:$I$89,5,0)</f>
        <v>-1.2710188457276673E-13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443.34220761968419</v>
      </c>
      <c r="CE127" s="59">
        <f t="shared" si="94"/>
        <v>546.58234447298014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71.631957171328565</v>
      </c>
      <c r="CL127" s="21">
        <f>EXP(-LN(2)/25)*CL126+(1-EXP(-LN(2)/25))/(LN(2)/25)*Calculateur!CG127*Calculateur!CI127*VLOOKUP('Données projet'!$B$12,Paramètres!$A$1:$I$89,3,0)*0.475*44/12</f>
        <v>10.282184651649867</v>
      </c>
      <c r="CM127" s="21">
        <f>EXP(-LN(2)/2)*CM126+(1-EXP(-LN(2)/2))/(LN(2)/2)*CG127*CJ127*VLOOKUP('Données projet'!$B$12,Paramètres!$A$1:$I$89,3,0)*0.475*44/12</f>
        <v>1.0055585340395776E-8</v>
      </c>
      <c r="CN127" s="22">
        <f t="shared" si="66"/>
        <v>81.914141833034023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>
        <f>CT127*VLOOKUP('Données projet'!$B$13,Paramètres!$A$1:$I$89,3,0)*VLOOKUP('Données projet'!$B$13,Paramètres!$A$1:$I$89,5,0)</f>
        <v>0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214.22606988805535</v>
      </c>
      <c r="CZ127" s="59">
        <f t="shared" si="96"/>
        <v>305.78163836959078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40.192134899478113</v>
      </c>
      <c r="DG127" s="21">
        <f>EXP(-LN(2)/25)*DG126+(1-EXP(-LN(2)/25))/(LN(2)/25)*Calculateur!DB127*Calculateur!DD127*VLOOKUP('Données projet'!$B$13,Paramètres!$A$1:$I$89,3,0)*0.475*44/12</f>
        <v>6.0260557326797839</v>
      </c>
      <c r="DH127" s="21">
        <f>EXP(-LN(2)/2)*DH126+(1-EXP(-LN(2)/2))/(LN(2)/2)*DB127*DE127*VLOOKUP('Données projet'!$B$13,Paramètres!$A$1:$I$89,3,0)*0.475*44/12</f>
        <v>4.3947844305787808E-9</v>
      </c>
      <c r="DI127" s="22">
        <f t="shared" si="69"/>
        <v>46.218190636552684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-1.7053025658242404E-13</v>
      </c>
      <c r="DP127" s="17">
        <f>DO127*VLOOKUP('Données projet'!$B$14,Paramètres!$A$1:$I$89,3,0)*VLOOKUP('Données projet'!$B$14,Paramètres!$A$1:$I$89,5,0)</f>
        <v>-1.383341441396624E-13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304.26232113495314</v>
      </c>
      <c r="DU127" s="59">
        <f t="shared" si="98"/>
        <v>297.47246687305056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44.099130241932933</v>
      </c>
      <c r="EB127" s="21">
        <f>EXP(-LN(2)/25)*EB126+(1-EXP(-LN(2)/25))/(LN(2)/25)*Calculateur!DW127*Calculateur!DY127*VLOOKUP('Données projet'!$B$14,Paramètres!$A$1:$I$89,3,0)*0.475*44/12</f>
        <v>0.85358107189443477</v>
      </c>
      <c r="EC127" s="21">
        <f>EXP(-LN(2)/2)*EC126+(1-EXP(-LN(2)/2))/(LN(2)/2)*DW127*DZ127*VLOOKUP('Données projet'!$B$14,Paramètres!$A$1:$I$89,3,0)*0.475*44/12</f>
        <v>1.0115876040407136E-5</v>
      </c>
      <c r="ED127" s="22">
        <f t="shared" si="72"/>
        <v>44.952721429703402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-1.7053025658242404E-13</v>
      </c>
      <c r="EK127" s="17">
        <f>EJ127*VLOOKUP('Données projet'!$B$15,Paramètres!$A$1:$I$89,3,0)*VLOOKUP('Données projet'!$B$15,Paramètres!$A$1:$I$89,5,0)</f>
        <v>-1.6493686416652052E-13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355.72173590705142</v>
      </c>
      <c r="EP127" s="59">
        <f t="shared" si="100"/>
        <v>346.30980704469363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42.659028020679656</v>
      </c>
      <c r="EW127" s="21">
        <f>EXP(-LN(2)/25)*EW126+(1-EXP(-LN(2)/25))/(LN(2)/25)*Calculateur!ER127*Calculateur!ET127*VLOOKUP('Données projet'!$B$15,Paramètres!$A$1:$I$89,3,0)*0.475*44/12</f>
        <v>0.82570650858873829</v>
      </c>
      <c r="EX127" s="21">
        <f>EXP(-LN(2)/2)*EX126+(1-EXP(-LN(2)/2))/(LN(2)/2)*ER127*EU127*VLOOKUP('Données projet'!$B$15,Paramètres!$A$1:$I$89,3,0)*0.475*44/12</f>
        <v>1.2061236817408467E-5</v>
      </c>
      <c r="EY127" s="22">
        <f t="shared" si="75"/>
        <v>43.48474659050521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-1.7053025658242404E-13</v>
      </c>
      <c r="FF127" s="17">
        <f>FE127*VLOOKUP('Données projet'!$B$16,Paramètres!$A$1:$I$89,3,0)*VLOOKUP('Données projet'!$B$16,Paramètres!$A$1:$I$89,5,0)</f>
        <v>-1.250327841262333E-13</v>
      </c>
      <c r="FG127" s="13" t="e">
        <f t="shared" si="101"/>
        <v>#NUM!</v>
      </c>
      <c r="FH127" s="20" t="e">
        <f t="shared" si="76"/>
        <v>#NUM!</v>
      </c>
      <c r="FI127" s="59" t="e">
        <f t="shared" si="77"/>
        <v>#NUM!</v>
      </c>
      <c r="FJ127" s="59">
        <f ca="1">AVERAGE(OFFSET($FI$3,0,0,'Données projet'!$E$16+1,1))-AVERAGE(OFFSET($H$3,0,0,'Données projet'!$E$16+1,1))</f>
        <v>278.45534008146865</v>
      </c>
      <c r="FK127" s="59">
        <f t="shared" si="102"/>
        <v>272.97841038165217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32.33829543503137</v>
      </c>
      <c r="FR127" s="21">
        <f>EXP(-LN(2)/25)*FR126+(1-EXP(-LN(2)/25))/(LN(2)/25)*Calculateur!FM127*Calculateur!FO127*VLOOKUP('Données projet'!$B$16,Paramètres!$A$1:$I$89,3,0)*0.475*44/12</f>
        <v>0.62593880489791454</v>
      </c>
      <c r="FS127" s="21">
        <f>EXP(-LN(2)/2)*FS126+(1-EXP(-LN(2)/2))/(LN(2)/2)*FM127*FP127*VLOOKUP('Données projet'!$B$16,Paramètres!$A$1:$I$89,3,0)*0.475*44/12</f>
        <v>9.1431956519064264E-6</v>
      </c>
      <c r="FT127" s="22">
        <f t="shared" si="78"/>
        <v>32.964243383124938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5.75</v>
      </c>
      <c r="N128" s="13">
        <f>IF('Données projet'!$A$36&gt;35,N127+M128-V127,IF(A128&lt;'Données projet'!$A$36,$K$205^A128,IF(A128='Données projet'!$A$36,'Données projet'!$B$36,N127+M128-V127)))</f>
        <v>271.49999999999972</v>
      </c>
      <c r="O128" s="13">
        <f>N128*VLOOKUP('Données projet'!$B$9,Paramètres!$A$1:$I$89,3,0)*VLOOKUP('Données projet'!$B$9,Paramètres!$A$1:$I$89,5,0)</f>
        <v>245.65319999999974</v>
      </c>
      <c r="P128" s="13">
        <f t="shared" si="87"/>
        <v>59.654190992380414</v>
      </c>
      <c r="Q128" s="20">
        <f t="shared" si="107"/>
        <v>531.74370597839527</v>
      </c>
      <c r="R128" s="59">
        <f t="shared" si="55"/>
        <v>825.07703931172864</v>
      </c>
      <c r="S128" s="59">
        <f ca="1">AVERAGE(OFFSET($R$3,0,0,'Données projet'!$E$9+1,1))-AVERAGE(OFFSET($H$3,0,0,'Données projet'!$E$9+1,1))</f>
        <v>436.03161778768742</v>
      </c>
      <c r="T128" s="59">
        <f t="shared" si="88"/>
        <v>217.65884352525285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30.593830575838819</v>
      </c>
      <c r="AA128" s="21">
        <f>EXP(-LN(2)/25)*AA127+(1-EXP(-LN(2)/25))/(LN(2)/25)*Calculateur!V128*Calculateur!X128*VLOOKUP('Données projet'!$B$9,Paramètres!$A$1:$I$89,3,0)*0.475*44/12</f>
        <v>16.459890542263672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47.053721118102487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5.75</v>
      </c>
      <c r="AI128" s="13">
        <f>IF('Données projet'!$A$62&gt;35,AI127+AH128-AQ127,IF(A128&lt;'Données projet'!$A$62,$AF$205^A128,IF(A128='Données projet'!$A$62,'Données projet'!$B$62,AI127+AH128-AQ127)))</f>
        <v>271.49999999999972</v>
      </c>
      <c r="AJ128" s="13">
        <f>AI128*VLOOKUP('Données projet'!$B$10,Paramètres!$A$1:$I$89,3,0)*VLOOKUP('Données projet'!$B$10,Paramètres!$A$1:$I$89,5,0)</f>
        <v>275.30099999999976</v>
      </c>
      <c r="AK128" s="13">
        <f t="shared" si="89"/>
        <v>65.972999072509225</v>
      </c>
      <c r="AL128" s="20">
        <f t="shared" si="58"/>
        <v>594.38554838461982</v>
      </c>
      <c r="AM128" s="59">
        <f t="shared" si="59"/>
        <v>887.71888171795308</v>
      </c>
      <c r="AN128" s="59">
        <f ca="1">AVERAGE(OFFSET($AM$3,0,0,'Données projet'!$E$10+1,1))-AVERAGE(OFFSET($H$3,0,0,'Données projet'!$E$10+1,1))</f>
        <v>483.45320081988984</v>
      </c>
      <c r="AO128" s="59">
        <f t="shared" si="90"/>
        <v>238.92443174298893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34.286189438440061</v>
      </c>
      <c r="AV128" s="21">
        <f>EXP(-LN(2)/25)*AV127+(1-EXP(-LN(2)/25))/(LN(2)/25)*Calculateur!AQ128*Calculateur!AS128*VLOOKUP('Données projet'!$B$10,Paramètres!$A$1:$I$89,3,0)*0.475*44/12</f>
        <v>18.446429055985146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52.732618494425211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1.7053025658242404E-13</v>
      </c>
      <c r="BE128" s="13">
        <f>BD128*VLOOKUP('Données projet'!$B$11,Paramètres!$A$1:$I$89,3,0)*VLOOKUP('Données projet'!$B$11,Paramètres!$A$1:$I$89,5,0)</f>
        <v>1.4897523215040567E-13</v>
      </c>
      <c r="BF128" s="13">
        <f t="shared" si="91"/>
        <v>2.136562777003313E-12</v>
      </c>
      <c r="BG128" s="20">
        <f t="shared" si="61"/>
        <v>3.9806453659427267E-12</v>
      </c>
      <c r="BH128" s="59">
        <f t="shared" si="62"/>
        <v>293.33333333333729</v>
      </c>
      <c r="BI128" s="59">
        <f ca="1">AVERAGE(OFFSET($BH$3,0,0,'Données projet'!$E$11+1,1))-AVERAGE(OFFSET($H$3,0,0,'Données projet'!$E$11+1,1))</f>
        <v>310.44153296396854</v>
      </c>
      <c r="BJ128" s="59">
        <f t="shared" si="92"/>
        <v>388.05195847800502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27.377107906257091</v>
      </c>
      <c r="BQ128" s="21">
        <f>EXP(-LN(2)/25)*BQ127+(1-EXP(-LN(2)/25))/(LN(2)/25)*Calculateur!BL128*Calculateur!BN128*VLOOKUP('Données projet'!$B$11,Paramètres!$A$1:$I$89,3,0)*0.475*44/12</f>
        <v>1.1544685867231441</v>
      </c>
      <c r="BR128" s="21">
        <f>EXP(-LN(2)/2)*BR127+(1-EXP(-LN(2)/2))/(LN(2)/2)*BL128*BO128*VLOOKUP('Données projet'!$B$11,Paramètres!$A$1:$I$89,3,0)*0.475*44/12</f>
        <v>2.1700679452080808E-7</v>
      </c>
      <c r="BS128" s="22">
        <f t="shared" si="63"/>
        <v>28.531576709987029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-2.2737367544323206E-13</v>
      </c>
      <c r="BZ128" s="13">
        <f>BY128*VLOOKUP('Données projet'!$B$12,Paramètres!$A$1:$I$89,3,0)*VLOOKUP('Données projet'!$B$12,Paramètres!$A$1:$I$89,5,0)</f>
        <v>-1.2710188457276673E-13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443.34220761968419</v>
      </c>
      <c r="CE128" s="59">
        <f t="shared" si="94"/>
        <v>546.58234447298014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70.227298182378547</v>
      </c>
      <c r="CL128" s="21">
        <f>EXP(-LN(2)/25)*CL127+(1-EXP(-LN(2)/25))/(LN(2)/25)*Calculateur!CG128*Calculateur!CI128*VLOOKUP('Données projet'!$B$12,Paramètres!$A$1:$I$89,3,0)*0.475*44/12</f>
        <v>10.001017771633911</v>
      </c>
      <c r="CM128" s="21">
        <f>EXP(-LN(2)/2)*CM127+(1-EXP(-LN(2)/2))/(LN(2)/2)*CG128*CJ128*VLOOKUP('Données projet'!$B$12,Paramètres!$A$1:$I$89,3,0)*0.475*44/12</f>
        <v>7.1103725829938922E-9</v>
      </c>
      <c r="CN128" s="22">
        <f t="shared" si="66"/>
        <v>80.228315961122831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>
        <f>CT128*VLOOKUP('Données projet'!$B$13,Paramètres!$A$1:$I$89,3,0)*VLOOKUP('Données projet'!$B$13,Paramètres!$A$1:$I$89,5,0)</f>
        <v>0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214.22606988805535</v>
      </c>
      <c r="CZ128" s="59">
        <f t="shared" si="96"/>
        <v>305.78163836959078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39.403991648881004</v>
      </c>
      <c r="DG128" s="21">
        <f>EXP(-LN(2)/25)*DG127+(1-EXP(-LN(2)/25))/(LN(2)/25)*Calculateur!DB128*Calculateur!DD128*VLOOKUP('Données projet'!$B$13,Paramètres!$A$1:$I$89,3,0)*0.475*44/12</f>
        <v>5.861272921773157</v>
      </c>
      <c r="DH128" s="21">
        <f>EXP(-LN(2)/2)*DH127+(1-EXP(-LN(2)/2))/(LN(2)/2)*DB128*DE128*VLOOKUP('Données projet'!$B$13,Paramètres!$A$1:$I$89,3,0)*0.475*44/12</f>
        <v>3.1075818727153159E-9</v>
      </c>
      <c r="DI128" s="22">
        <f t="shared" si="69"/>
        <v>45.265264573761741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-1.7053025658242404E-13</v>
      </c>
      <c r="DP128" s="17">
        <f>DO128*VLOOKUP('Données projet'!$B$14,Paramètres!$A$1:$I$89,3,0)*VLOOKUP('Données projet'!$B$14,Paramètres!$A$1:$I$89,5,0)</f>
        <v>-1.383341441396624E-13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304.26232113495314</v>
      </c>
      <c r="DU128" s="59">
        <f t="shared" si="98"/>
        <v>297.47246687305056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43.23437319570214</v>
      </c>
      <c r="EB128" s="21">
        <f>EXP(-LN(2)/25)*EB127+(1-EXP(-LN(2)/25))/(LN(2)/25)*Calculateur!DW128*Calculateur!DY128*VLOOKUP('Données projet'!$B$14,Paramètres!$A$1:$I$89,3,0)*0.475*44/12</f>
        <v>0.83023985259560373</v>
      </c>
      <c r="EC128" s="21">
        <f>EXP(-LN(2)/2)*EC127+(1-EXP(-LN(2)/2))/(LN(2)/2)*DW128*DZ128*VLOOKUP('Données projet'!$B$14,Paramètres!$A$1:$I$89,3,0)*0.475*44/12</f>
        <v>7.1530045458144076E-6</v>
      </c>
      <c r="ED128" s="22">
        <f t="shared" si="72"/>
        <v>44.06462020130229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-1.7053025658242404E-13</v>
      </c>
      <c r="EK128" s="17">
        <f>EJ128*VLOOKUP('Données projet'!$B$15,Paramètres!$A$1:$I$89,3,0)*VLOOKUP('Données projet'!$B$15,Paramètres!$A$1:$I$89,5,0)</f>
        <v>-1.6493686416652052E-13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355.72173590705142</v>
      </c>
      <c r="EP128" s="59">
        <f t="shared" si="100"/>
        <v>346.30980704469363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41.822510500632013</v>
      </c>
      <c r="EW128" s="21">
        <f>EXP(-LN(2)/25)*EW127+(1-EXP(-LN(2)/25))/(LN(2)/25)*Calculateur!ER128*Calculateur!ET128*VLOOKUP('Données projet'!$B$15,Paramètres!$A$1:$I$89,3,0)*0.475*44/12</f>
        <v>0.80312752068936111</v>
      </c>
      <c r="EX128" s="21">
        <f>EXP(-LN(2)/2)*EX127+(1-EXP(-LN(2)/2))/(LN(2)/2)*ER128*EU128*VLOOKUP('Données projet'!$B$15,Paramètres!$A$1:$I$89,3,0)*0.475*44/12</f>
        <v>8.5285823430863795E-6</v>
      </c>
      <c r="EY128" s="22">
        <f t="shared" si="75"/>
        <v>42.625646549903713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-1.7053025658242404E-13</v>
      </c>
      <c r="FF128" s="17">
        <f>FE128*VLOOKUP('Données projet'!$B$16,Paramètres!$A$1:$I$89,3,0)*VLOOKUP('Données projet'!$B$16,Paramètres!$A$1:$I$89,5,0)</f>
        <v>-1.250327841262333E-13</v>
      </c>
      <c r="FG128" s="13" t="e">
        <f t="shared" si="101"/>
        <v>#NUM!</v>
      </c>
      <c r="FH128" s="20" t="e">
        <f t="shared" si="76"/>
        <v>#NUM!</v>
      </c>
      <c r="FI128" s="59" t="e">
        <f t="shared" si="77"/>
        <v>#NUM!</v>
      </c>
      <c r="FJ128" s="59">
        <f ca="1">AVERAGE(OFFSET($FI$3,0,0,'Données projet'!$E$16+1,1))-AVERAGE(OFFSET($H$3,0,0,'Données projet'!$E$16+1,1))</f>
        <v>278.45534008146865</v>
      </c>
      <c r="FK128" s="59">
        <f t="shared" si="102"/>
        <v>272.97841038165217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31.704161185962995</v>
      </c>
      <c r="FR128" s="21">
        <f>EXP(-LN(2)/25)*FR127+(1-EXP(-LN(2)/25))/(LN(2)/25)*Calculateur!FM128*Calculateur!FO128*VLOOKUP('Données projet'!$B$16,Paramètres!$A$1:$I$89,3,0)*0.475*44/12</f>
        <v>0.60882247536128986</v>
      </c>
      <c r="FS128" s="21">
        <f>EXP(-LN(2)/2)*FS127+(1-EXP(-LN(2)/2))/(LN(2)/2)*FM128*FP128*VLOOKUP('Données projet'!$B$16,Paramètres!$A$1:$I$89,3,0)*0.475*44/12</f>
        <v>6.4652156471783903E-6</v>
      </c>
      <c r="FT128" s="22">
        <f t="shared" si="78"/>
        <v>32.31299012653993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5.75</v>
      </c>
      <c r="N129" s="13">
        <f>IF('Données projet'!$A$36&gt;35,N128+M129-V128,IF(A129&lt;'Données projet'!$A$36,$K$205^A129,IF(A129='Données projet'!$A$36,'Données projet'!$B$36,N128+M129-V128)))</f>
        <v>277.24999999999972</v>
      </c>
      <c r="O129" s="13">
        <f>N129*VLOOKUP('Données projet'!$B$9,Paramètres!$A$1:$I$89,3,0)*VLOOKUP('Données projet'!$B$9,Paramètres!$A$1:$I$89,5,0)</f>
        <v>250.85579999999976</v>
      </c>
      <c r="P129" s="13">
        <f t="shared" si="87"/>
        <v>60.769161078148805</v>
      </c>
      <c r="Q129" s="20">
        <f t="shared" si="107"/>
        <v>542.74680721110872</v>
      </c>
      <c r="R129" s="59">
        <f t="shared" si="55"/>
        <v>836.08014054444197</v>
      </c>
      <c r="S129" s="59">
        <f ca="1">AVERAGE(OFFSET($R$3,0,0,'Données projet'!$E$9+1,1))-AVERAGE(OFFSET($H$3,0,0,'Données projet'!$E$9+1,1))</f>
        <v>436.03161778768742</v>
      </c>
      <c r="T129" s="59">
        <f t="shared" si="88"/>
        <v>217.65884352525285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29.993904218640711</v>
      </c>
      <c r="AA129" s="21">
        <f>EXP(-LN(2)/25)*AA128+(1-EXP(-LN(2)/25))/(LN(2)/25)*Calculateur!V129*Calculateur!X129*VLOOKUP('Données projet'!$B$9,Paramètres!$A$1:$I$89,3,0)*0.475*44/12</f>
        <v>16.009793969797446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46.003698188438158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5.75</v>
      </c>
      <c r="AI129" s="13">
        <f>IF('Données projet'!$A$62&gt;35,AI128+AH129-AQ128,IF(A129&lt;'Données projet'!$A$62,$AF$205^A129,IF(A129='Données projet'!$A$62,'Données projet'!$B$62,AI128+AH129-AQ128)))</f>
        <v>277.24999999999972</v>
      </c>
      <c r="AJ129" s="13">
        <f>AI129*VLOOKUP('Données projet'!$B$10,Paramètres!$A$1:$I$89,3,0)*VLOOKUP('Données projet'!$B$10,Paramètres!$A$1:$I$89,5,0)</f>
        <v>281.13149999999973</v>
      </c>
      <c r="AK129" s="13">
        <f t="shared" si="89"/>
        <v>67.20607120391513</v>
      </c>
      <c r="AL129" s="20">
        <f t="shared" si="58"/>
        <v>606.68793651348506</v>
      </c>
      <c r="AM129" s="59">
        <f t="shared" si="59"/>
        <v>900.02126984681831</v>
      </c>
      <c r="AN129" s="59">
        <f ca="1">AVERAGE(OFFSET($AM$3,0,0,'Données projet'!$E$10+1,1))-AVERAGE(OFFSET($H$3,0,0,'Données projet'!$E$10+1,1))</f>
        <v>483.45320081988984</v>
      </c>
      <c r="AO129" s="59">
        <f t="shared" si="90"/>
        <v>238.92443174298893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33.61385817606287</v>
      </c>
      <c r="AV129" s="21">
        <f>EXP(-LN(2)/25)*AV128+(1-EXP(-LN(2)/25))/(LN(2)/25)*Calculateur!AQ129*Calculateur!AS129*VLOOKUP('Données projet'!$B$10,Paramètres!$A$1:$I$89,3,0)*0.475*44/12</f>
        <v>17.942010483393688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51.555868659456557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1.7053025658242404E-13</v>
      </c>
      <c r="BE129" s="13">
        <f>BD129*VLOOKUP('Données projet'!$B$11,Paramètres!$A$1:$I$89,3,0)*VLOOKUP('Données projet'!$B$11,Paramètres!$A$1:$I$89,5,0)</f>
        <v>1.4897523215040567E-13</v>
      </c>
      <c r="BF129" s="13">
        <f t="shared" si="91"/>
        <v>2.136562777003313E-12</v>
      </c>
      <c r="BG129" s="20">
        <f t="shared" si="61"/>
        <v>3.9806453659427267E-12</v>
      </c>
      <c r="BH129" s="59">
        <f t="shared" si="62"/>
        <v>293.33333333333729</v>
      </c>
      <c r="BI129" s="59">
        <f ca="1">AVERAGE(OFFSET($BH$3,0,0,'Données projet'!$E$11+1,1))-AVERAGE(OFFSET($H$3,0,0,'Données projet'!$E$11+1,1))</f>
        <v>310.44153296396854</v>
      </c>
      <c r="BJ129" s="59">
        <f t="shared" si="92"/>
        <v>388.05195847800502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26.840259518602384</v>
      </c>
      <c r="BQ129" s="21">
        <f>EXP(-LN(2)/25)*BQ128+(1-EXP(-LN(2)/25))/(LN(2)/25)*Calculateur!BL129*Calculateur!BN129*VLOOKUP('Données projet'!$B$11,Paramètres!$A$1:$I$89,3,0)*0.475*44/12</f>
        <v>1.1228995825083354</v>
      </c>
      <c r="BR129" s="21">
        <f>EXP(-LN(2)/2)*BR128+(1-EXP(-LN(2)/2))/(LN(2)/2)*BL129*BO129*VLOOKUP('Données projet'!$B$11,Paramètres!$A$1:$I$89,3,0)*0.475*44/12</f>
        <v>1.5344697596921912E-7</v>
      </c>
      <c r="BS129" s="22">
        <f t="shared" si="63"/>
        <v>27.963159254557695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-2.2737367544323206E-13</v>
      </c>
      <c r="BZ129" s="13">
        <f>BY129*VLOOKUP('Données projet'!$B$12,Paramètres!$A$1:$I$89,3,0)*VLOOKUP('Données projet'!$B$12,Paramètres!$A$1:$I$89,5,0)</f>
        <v>-1.2710188457276673E-13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443.34220761968419</v>
      </c>
      <c r="CE129" s="59">
        <f t="shared" si="94"/>
        <v>546.58234447298014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68.850183699444443</v>
      </c>
      <c r="CL129" s="21">
        <f>EXP(-LN(2)/25)*CL128+(1-EXP(-LN(2)/25))/(LN(2)/25)*Calculateur!CG129*Calculateur!CI129*VLOOKUP('Données projet'!$B$12,Paramètres!$A$1:$I$89,3,0)*0.475*44/12</f>
        <v>9.7275394147379153</v>
      </c>
      <c r="CM129" s="21">
        <f>EXP(-LN(2)/2)*CM128+(1-EXP(-LN(2)/2))/(LN(2)/2)*CG129*CJ129*VLOOKUP('Données projet'!$B$12,Paramètres!$A$1:$I$89,3,0)*0.475*44/12</f>
        <v>5.0277926701978891E-9</v>
      </c>
      <c r="CN129" s="22">
        <f t="shared" si="66"/>
        <v>78.577723119210148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>
        <f>CT129*VLOOKUP('Données projet'!$B$13,Paramètres!$A$1:$I$89,3,0)*VLOOKUP('Données projet'!$B$13,Paramètres!$A$1:$I$89,5,0)</f>
        <v>0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214.22606988805535</v>
      </c>
      <c r="CZ129" s="59">
        <f t="shared" si="96"/>
        <v>305.78163836959078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38.631303406708184</v>
      </c>
      <c r="DG129" s="21">
        <f>EXP(-LN(2)/25)*DG128+(1-EXP(-LN(2)/25))/(LN(2)/25)*Calculateur!DB129*Calculateur!DD129*VLOOKUP('Données projet'!$B$13,Paramètres!$A$1:$I$89,3,0)*0.475*44/12</f>
        <v>5.7009961054963227</v>
      </c>
      <c r="DH129" s="21">
        <f>EXP(-LN(2)/2)*DH128+(1-EXP(-LN(2)/2))/(LN(2)/2)*DB129*DE129*VLOOKUP('Données projet'!$B$13,Paramètres!$A$1:$I$89,3,0)*0.475*44/12</f>
        <v>2.1973922152893904E-9</v>
      </c>
      <c r="DI129" s="22">
        <f t="shared" si="69"/>
        <v>44.332299514401896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-1.7053025658242404E-13</v>
      </c>
      <c r="DP129" s="17">
        <f>DO129*VLOOKUP('Données projet'!$B$14,Paramètres!$A$1:$I$89,3,0)*VLOOKUP('Données projet'!$B$14,Paramètres!$A$1:$I$89,5,0)</f>
        <v>-1.383341441396624E-13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304.26232113495314</v>
      </c>
      <c r="DU129" s="59">
        <f t="shared" si="98"/>
        <v>297.47246687305056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42.386573507698216</v>
      </c>
      <c r="EB129" s="21">
        <f>EXP(-LN(2)/25)*EB128+(1-EXP(-LN(2)/25))/(LN(2)/25)*Calculateur!DW129*Calculateur!DY129*VLOOKUP('Données projet'!$B$14,Paramètres!$A$1:$I$89,3,0)*0.475*44/12</f>
        <v>0.80753690016596069</v>
      </c>
      <c r="EC129" s="21">
        <f>EXP(-LN(2)/2)*EC128+(1-EXP(-LN(2)/2))/(LN(2)/2)*DW129*DZ129*VLOOKUP('Données projet'!$B$14,Paramètres!$A$1:$I$89,3,0)*0.475*44/12</f>
        <v>5.057938020203568E-6</v>
      </c>
      <c r="ED129" s="22">
        <f t="shared" si="72"/>
        <v>43.194115465802199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-1.7053025658242404E-13</v>
      </c>
      <c r="EK129" s="17">
        <f>EJ129*VLOOKUP('Données projet'!$B$15,Paramètres!$A$1:$I$89,3,0)*VLOOKUP('Données projet'!$B$15,Paramètres!$A$1:$I$89,5,0)</f>
        <v>-1.6493686416652052E-13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355.72173590705142</v>
      </c>
      <c r="EP129" s="59">
        <f t="shared" si="100"/>
        <v>346.30980704469363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41.002396578927197</v>
      </c>
      <c r="EW129" s="21">
        <f>EXP(-LN(2)/25)*EW128+(1-EXP(-LN(2)/25))/(LN(2)/25)*Calculateur!ER129*Calculateur!ET129*VLOOKUP('Données projet'!$B$15,Paramètres!$A$1:$I$89,3,0)*0.475*44/12</f>
        <v>0.7811659564014698</v>
      </c>
      <c r="EX129" s="21">
        <f>EXP(-LN(2)/2)*EX128+(1-EXP(-LN(2)/2))/(LN(2)/2)*ER129*EU129*VLOOKUP('Données projet'!$B$15,Paramètres!$A$1:$I$89,3,0)*0.475*44/12</f>
        <v>6.0306184087042335E-6</v>
      </c>
      <c r="EY129" s="22">
        <f t="shared" si="75"/>
        <v>41.783568565947078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-1.7053025658242404E-13</v>
      </c>
      <c r="FF129" s="17">
        <f>FE129*VLOOKUP('Données projet'!$B$16,Paramètres!$A$1:$I$89,3,0)*VLOOKUP('Données projet'!$B$16,Paramètres!$A$1:$I$89,5,0)</f>
        <v>-1.250327841262333E-13</v>
      </c>
      <c r="FG129" s="13" t="e">
        <f t="shared" si="101"/>
        <v>#NUM!</v>
      </c>
      <c r="FH129" s="20" t="e">
        <f t="shared" si="76"/>
        <v>#NUM!</v>
      </c>
      <c r="FI129" s="59" t="e">
        <f t="shared" si="77"/>
        <v>#NUM!</v>
      </c>
      <c r="FJ129" s="59">
        <f ca="1">AVERAGE(OFFSET($FI$3,0,0,'Données projet'!$E$16+1,1))-AVERAGE(OFFSET($H$3,0,0,'Données projet'!$E$16+1,1))</f>
        <v>278.45534008146865</v>
      </c>
      <c r="FK129" s="59">
        <f t="shared" si="102"/>
        <v>272.97841038165217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31.082461922735153</v>
      </c>
      <c r="FR129" s="21">
        <f>EXP(-LN(2)/25)*FR128+(1-EXP(-LN(2)/25))/(LN(2)/25)*Calculateur!FM129*Calculateur!FO129*VLOOKUP('Données projet'!$B$16,Paramètres!$A$1:$I$89,3,0)*0.475*44/12</f>
        <v>0.59217419275595284</v>
      </c>
      <c r="FS129" s="21">
        <f>EXP(-LN(2)/2)*FS128+(1-EXP(-LN(2)/2))/(LN(2)/2)*FM129*FP129*VLOOKUP('Données projet'!$B$16,Paramètres!$A$1:$I$89,3,0)*0.475*44/12</f>
        <v>4.5715978259532132E-6</v>
      </c>
      <c r="FT129" s="22">
        <f t="shared" si="78"/>
        <v>31.674640687088932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5.75</v>
      </c>
      <c r="N130" s="13">
        <f>IF('Données projet'!$A$36&gt;35,N129+M130-V129,IF(A130&lt;'Données projet'!$A$36,$K$205^A130,IF(A130='Données projet'!$A$36,'Données projet'!$B$36,N129+M130-V129)))</f>
        <v>282.99999999999972</v>
      </c>
      <c r="O130" s="13">
        <f>N130*VLOOKUP('Données projet'!$B$9,Paramètres!$A$1:$I$89,3,0)*VLOOKUP('Données projet'!$B$9,Paramètres!$A$1:$I$89,5,0)</f>
        <v>256.05839999999972</v>
      </c>
      <c r="P130" s="13">
        <f t="shared" si="87"/>
        <v>61.881442594256434</v>
      </c>
      <c r="Q130" s="20">
        <f t="shared" si="107"/>
        <v>553.74522585166278</v>
      </c>
      <c r="R130" s="59">
        <f t="shared" si="55"/>
        <v>847.07855918499604</v>
      </c>
      <c r="S130" s="59">
        <f ca="1">AVERAGE(OFFSET($R$3,0,0,'Données projet'!$E$9+1,1))-AVERAGE(OFFSET($H$3,0,0,'Données projet'!$E$9+1,1))</f>
        <v>436.03161778768742</v>
      </c>
      <c r="T130" s="59">
        <f t="shared" si="88"/>
        <v>217.65884352525285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29.405742051388312</v>
      </c>
      <c r="AA130" s="21">
        <f>EXP(-LN(2)/25)*AA129+(1-EXP(-LN(2)/25))/(LN(2)/25)*Calculateur!V130*Calculateur!X130*VLOOKUP('Données projet'!$B$9,Paramètres!$A$1:$I$89,3,0)*0.475*44/12</f>
        <v>15.572005311774861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44.977747363163175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5.75</v>
      </c>
      <c r="AI130" s="13">
        <f>IF('Données projet'!$A$62&gt;35,AI129+AH130-AQ129,IF(A130&lt;'Données projet'!$A$62,$AF$205^A130,IF(A130='Données projet'!$A$62,'Données projet'!$B$62,AI129+AH130-AQ129)))</f>
        <v>282.99999999999972</v>
      </c>
      <c r="AJ130" s="13">
        <f>AI130*VLOOKUP('Données projet'!$B$10,Paramètres!$A$1:$I$89,3,0)*VLOOKUP('Données projet'!$B$10,Paramètres!$A$1:$I$89,5,0)</f>
        <v>286.9619999999997</v>
      </c>
      <c r="AK130" s="13">
        <f t="shared" si="89"/>
        <v>68.436169981717796</v>
      </c>
      <c r="AL130" s="20">
        <f t="shared" si="58"/>
        <v>618.98514605149137</v>
      </c>
      <c r="AM130" s="59">
        <f t="shared" si="59"/>
        <v>912.31847938482474</v>
      </c>
      <c r="AN130" s="59">
        <f ca="1">AVERAGE(OFFSET($AM$3,0,0,'Données projet'!$E$10+1,1))-AVERAGE(OFFSET($H$3,0,0,'Données projet'!$E$10+1,1))</f>
        <v>483.45320081988984</v>
      </c>
      <c r="AO130" s="59">
        <f t="shared" si="90"/>
        <v>238.92443174298893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32.95471091965932</v>
      </c>
      <c r="AV130" s="21">
        <f>EXP(-LN(2)/25)*AV129+(1-EXP(-LN(2)/25))/(LN(2)/25)*Calculateur!AQ130*Calculateur!AS130*VLOOKUP('Données projet'!$B$10,Paramètres!$A$1:$I$89,3,0)*0.475*44/12</f>
        <v>17.451385263195963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50.406096182855279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1.7053025658242404E-13</v>
      </c>
      <c r="BE130" s="13">
        <f>BD130*VLOOKUP('Données projet'!$B$11,Paramètres!$A$1:$I$89,3,0)*VLOOKUP('Données projet'!$B$11,Paramètres!$A$1:$I$89,5,0)</f>
        <v>1.4897523215040567E-13</v>
      </c>
      <c r="BF130" s="13">
        <f t="shared" si="91"/>
        <v>2.136562777003313E-12</v>
      </c>
      <c r="BG130" s="20">
        <f t="shared" si="61"/>
        <v>3.9806453659427267E-12</v>
      </c>
      <c r="BH130" s="59">
        <f t="shared" si="62"/>
        <v>293.33333333333729</v>
      </c>
      <c r="BI130" s="59">
        <f ca="1">AVERAGE(OFFSET($BH$3,0,0,'Données projet'!$E$11+1,1))-AVERAGE(OFFSET($H$3,0,0,'Données projet'!$E$11+1,1))</f>
        <v>310.44153296396854</v>
      </c>
      <c r="BJ130" s="59">
        <f t="shared" si="92"/>
        <v>388.05195847800502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26.313938400384401</v>
      </c>
      <c r="BQ130" s="21">
        <f>EXP(-LN(2)/25)*BQ129+(1-EXP(-LN(2)/25))/(LN(2)/25)*Calculateur!BL130*Calculateur!BN130*VLOOKUP('Données projet'!$B$11,Paramètres!$A$1:$I$89,3,0)*0.475*44/12</f>
        <v>1.0921938343739224</v>
      </c>
      <c r="BR130" s="21">
        <f>EXP(-LN(2)/2)*BR129+(1-EXP(-LN(2)/2))/(LN(2)/2)*BL130*BO130*VLOOKUP('Données projet'!$B$11,Paramètres!$A$1:$I$89,3,0)*0.475*44/12</f>
        <v>1.0850339726040404E-7</v>
      </c>
      <c r="BS130" s="22">
        <f t="shared" si="63"/>
        <v>27.406132343261721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-2.2737367544323206E-13</v>
      </c>
      <c r="BZ130" s="13">
        <f>BY130*VLOOKUP('Données projet'!$B$12,Paramètres!$A$1:$I$89,3,0)*VLOOKUP('Données projet'!$B$12,Paramètres!$A$1:$I$89,5,0)</f>
        <v>-1.2710188457276673E-13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443.34220761968419</v>
      </c>
      <c r="CE130" s="59">
        <f t="shared" si="94"/>
        <v>546.58234447298014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67.50007359156379</v>
      </c>
      <c r="CL130" s="21">
        <f>EXP(-LN(2)/25)*CL129+(1-EXP(-LN(2)/25))/(LN(2)/25)*Calculateur!CG130*Calculateur!CI130*VLOOKUP('Données projet'!$B$12,Paramètres!$A$1:$I$89,3,0)*0.475*44/12</f>
        <v>9.461539337892841</v>
      </c>
      <c r="CM130" s="21">
        <f>EXP(-LN(2)/2)*CM129+(1-EXP(-LN(2)/2))/(LN(2)/2)*CG130*CJ130*VLOOKUP('Données projet'!$B$12,Paramètres!$A$1:$I$89,3,0)*0.475*44/12</f>
        <v>3.5551862914969465E-9</v>
      </c>
      <c r="CN130" s="22">
        <f t="shared" si="66"/>
        <v>76.961612933011821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>
        <f>CT130*VLOOKUP('Données projet'!$B$13,Paramètres!$A$1:$I$89,3,0)*VLOOKUP('Données projet'!$B$13,Paramètres!$A$1:$I$89,5,0)</f>
        <v>0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214.22606988805535</v>
      </c>
      <c r="CZ130" s="59">
        <f t="shared" si="96"/>
        <v>305.78163836959078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37.873767109671086</v>
      </c>
      <c r="DG130" s="21">
        <f>EXP(-LN(2)/25)*DG129+(1-EXP(-LN(2)/25))/(LN(2)/25)*Calculateur!DB130*Calculateur!DD130*VLOOKUP('Données projet'!$B$13,Paramètres!$A$1:$I$89,3,0)*0.475*44/12</f>
        <v>5.5451020671891706</v>
      </c>
      <c r="DH130" s="21">
        <f>EXP(-LN(2)/2)*DH129+(1-EXP(-LN(2)/2))/(LN(2)/2)*DB130*DE130*VLOOKUP('Données projet'!$B$13,Paramètres!$A$1:$I$89,3,0)*0.475*44/12</f>
        <v>1.5537909363576579E-9</v>
      </c>
      <c r="DI130" s="22">
        <f t="shared" si="69"/>
        <v>43.418869178414049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-1.7053025658242404E-13</v>
      </c>
      <c r="DP130" s="17">
        <f>DO130*VLOOKUP('Données projet'!$B$14,Paramètres!$A$1:$I$89,3,0)*VLOOKUP('Données projet'!$B$14,Paramètres!$A$1:$I$89,5,0)</f>
        <v>-1.383341441396624E-13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304.26232113495314</v>
      </c>
      <c r="DU130" s="59">
        <f t="shared" si="98"/>
        <v>297.47246687305056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41.555398654469293</v>
      </c>
      <c r="EB130" s="21">
        <f>EXP(-LN(2)/25)*EB129+(1-EXP(-LN(2)/25))/(LN(2)/25)*Calculateur!DW130*Calculateur!DY130*VLOOKUP('Données projet'!$B$14,Paramètres!$A$1:$I$89,3,0)*0.475*44/12</f>
        <v>0.7854547611644026</v>
      </c>
      <c r="EC130" s="21">
        <f>EXP(-LN(2)/2)*EC129+(1-EXP(-LN(2)/2))/(LN(2)/2)*DW130*DZ130*VLOOKUP('Données projet'!$B$14,Paramètres!$A$1:$I$89,3,0)*0.475*44/12</f>
        <v>3.5765022729072038E-6</v>
      </c>
      <c r="ED130" s="22">
        <f t="shared" si="72"/>
        <v>42.340856992135969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-1.7053025658242404E-13</v>
      </c>
      <c r="EK130" s="17">
        <f>EJ130*VLOOKUP('Données projet'!$B$15,Paramètres!$A$1:$I$89,3,0)*VLOOKUP('Données projet'!$B$15,Paramètres!$A$1:$I$89,5,0)</f>
        <v>-1.6493686416652052E-13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355.72173590705142</v>
      </c>
      <c r="EP130" s="59">
        <f t="shared" si="100"/>
        <v>346.30980704469363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40.198364591006914</v>
      </c>
      <c r="EW130" s="21">
        <f>EXP(-LN(2)/25)*EW129+(1-EXP(-LN(2)/25))/(LN(2)/25)*Calculateur!ER130*Calculateur!ET130*VLOOKUP('Données projet'!$B$15,Paramètres!$A$1:$I$89,3,0)*0.475*44/12</f>
        <v>0.7598049322439393</v>
      </c>
      <c r="EX130" s="21">
        <f>EXP(-LN(2)/2)*EX129+(1-EXP(-LN(2)/2))/(LN(2)/2)*ER130*EU130*VLOOKUP('Données projet'!$B$15,Paramètres!$A$1:$I$89,3,0)*0.475*44/12</f>
        <v>4.2642911715431898E-6</v>
      </c>
      <c r="EY130" s="22">
        <f t="shared" si="75"/>
        <v>40.958173787542023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-1.7053025658242404E-13</v>
      </c>
      <c r="FF130" s="17">
        <f>FE130*VLOOKUP('Données projet'!$B$16,Paramètres!$A$1:$I$89,3,0)*VLOOKUP('Données projet'!$B$16,Paramètres!$A$1:$I$89,5,0)</f>
        <v>-1.250327841262333E-13</v>
      </c>
      <c r="FG130" s="13" t="e">
        <f t="shared" si="101"/>
        <v>#NUM!</v>
      </c>
      <c r="FH130" s="20" t="e">
        <f t="shared" si="76"/>
        <v>#NUM!</v>
      </c>
      <c r="FI130" s="59" t="e">
        <f t="shared" si="77"/>
        <v>#NUM!</v>
      </c>
      <c r="FJ130" s="59">
        <f ca="1">AVERAGE(OFFSET($FI$3,0,0,'Données projet'!$E$16+1,1))-AVERAGE(OFFSET($H$3,0,0,'Données projet'!$E$16+1,1))</f>
        <v>278.45534008146865</v>
      </c>
      <c r="FK130" s="59">
        <f t="shared" si="102"/>
        <v>272.97841038165217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30.472953802860101</v>
      </c>
      <c r="FR130" s="21">
        <f>EXP(-LN(2)/25)*FR129+(1-EXP(-LN(2)/25))/(LN(2)/25)*Calculateur!FM130*Calculateur!FO130*VLOOKUP('Données projet'!$B$16,Paramètres!$A$1:$I$89,3,0)*0.475*44/12</f>
        <v>0.57598115831395391</v>
      </c>
      <c r="FS130" s="21">
        <f>EXP(-LN(2)/2)*FS129+(1-EXP(-LN(2)/2))/(LN(2)/2)*FM130*FP130*VLOOKUP('Données projet'!$B$16,Paramètres!$A$1:$I$89,3,0)*0.475*44/12</f>
        <v>3.2326078235891951E-6</v>
      </c>
      <c r="FT130" s="22">
        <f t="shared" si="78"/>
        <v>31.048938193781879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5.75</v>
      </c>
      <c r="N131" s="13">
        <f>IF('Données projet'!$A$36&gt;35,N130+M131-V130,IF(A131&lt;'Données projet'!$A$36,$K$205^A131,IF(A131='Données projet'!$A$36,'Données projet'!$B$36,N130+M131-V130)))</f>
        <v>288.74999999999972</v>
      </c>
      <c r="O131" s="13">
        <f>N131*VLOOKUP('Données projet'!$B$9,Paramètres!$A$1:$I$89,3,0)*VLOOKUP('Données projet'!$B$9,Paramètres!$A$1:$I$89,5,0)</f>
        <v>261.26099999999974</v>
      </c>
      <c r="P131" s="13">
        <f t="shared" si="87"/>
        <v>62.991096462035962</v>
      </c>
      <c r="Q131" s="20">
        <f t="shared" ref="Q131:Q153" si="108">(O131+P131)*0.475*44/12</f>
        <v>564.73906800471207</v>
      </c>
      <c r="R131" s="59">
        <f t="shared" ref="R131:R194" si="109">Q131+(I131+J131)*44/12</f>
        <v>858.07240133804544</v>
      </c>
      <c r="S131" s="59">
        <f ca="1">AVERAGE(OFFSET($R$3,0,0,'Données projet'!$E$9+1,1))-AVERAGE(OFFSET($H$3,0,0,'Données projet'!$E$9+1,1))</f>
        <v>436.03161778768742</v>
      </c>
      <c r="T131" s="59">
        <f t="shared" si="88"/>
        <v>217.65884352525285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28.829113385492231</v>
      </c>
      <c r="AA131" s="21">
        <f>EXP(-LN(2)/25)*AA130+(1-EXP(-LN(2)/25))/(LN(2)/25)*Calculateur!V131*Calculateur!X131*VLOOKUP('Données projet'!$B$9,Paramètres!$A$1:$I$89,3,0)*0.475*44/12</f>
        <v>15.146188007628208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43.975301393120439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5.75</v>
      </c>
      <c r="AI131" s="13">
        <f>IF('Données projet'!$A$62&gt;35,AI130+AH131-AQ130,IF(A131&lt;'Données projet'!$A$62,$AF$205^A131,IF(A131='Données projet'!$A$62,'Données projet'!$B$62,AI130+AH131-AQ130)))</f>
        <v>288.74999999999972</v>
      </c>
      <c r="AJ131" s="13">
        <f>AI131*VLOOKUP('Données projet'!$B$10,Paramètres!$A$1:$I$89,3,0)*VLOOKUP('Données projet'!$B$10,Paramètres!$A$1:$I$89,5,0)</f>
        <v>292.79249999999973</v>
      </c>
      <c r="AK131" s="13">
        <f t="shared" si="89"/>
        <v>69.663362780278746</v>
      </c>
      <c r="AL131" s="20">
        <f t="shared" si="58"/>
        <v>631.27729434231833</v>
      </c>
      <c r="AM131" s="59">
        <f t="shared" si="59"/>
        <v>924.61062767565159</v>
      </c>
      <c r="AN131" s="59">
        <f ca="1">AVERAGE(OFFSET($AM$3,0,0,'Données projet'!$E$10+1,1))-AVERAGE(OFFSET($H$3,0,0,'Données projet'!$E$10+1,1))</f>
        <v>483.45320081988984</v>
      </c>
      <c r="AO131" s="59">
        <f t="shared" si="90"/>
        <v>238.92443174298893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32.308489138913714</v>
      </c>
      <c r="AV131" s="21">
        <f>EXP(-LN(2)/25)*AV130+(1-EXP(-LN(2)/25))/(LN(2)/25)*Calculateur!AQ131*Calculateur!AS131*VLOOKUP('Données projet'!$B$10,Paramètres!$A$1:$I$89,3,0)*0.475*44/12</f>
        <v>16.974176215445404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49.282665354359118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1.7053025658242404E-13</v>
      </c>
      <c r="BE131" s="13">
        <f>BD131*VLOOKUP('Données projet'!$B$11,Paramètres!$A$1:$I$89,3,0)*VLOOKUP('Données projet'!$B$11,Paramètres!$A$1:$I$89,5,0)</f>
        <v>1.4897523215040567E-13</v>
      </c>
      <c r="BF131" s="13">
        <f t="shared" si="91"/>
        <v>2.136562777003313E-12</v>
      </c>
      <c r="BG131" s="20">
        <f t="shared" si="61"/>
        <v>3.9806453659427267E-12</v>
      </c>
      <c r="BH131" s="59">
        <f t="shared" si="62"/>
        <v>293.33333333333729</v>
      </c>
      <c r="BI131" s="59">
        <f ca="1">AVERAGE(OFFSET($BH$3,0,0,'Données projet'!$E$11+1,1))-AVERAGE(OFFSET($H$3,0,0,'Données projet'!$E$11+1,1))</f>
        <v>310.44153296396854</v>
      </c>
      <c r="BJ131" s="59">
        <f t="shared" si="92"/>
        <v>388.05195847800502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25.797938118270491</v>
      </c>
      <c r="BQ131" s="21">
        <f>EXP(-LN(2)/25)*BQ130+(1-EXP(-LN(2)/25))/(LN(2)/25)*Calculateur!BL131*Calculateur!BN131*VLOOKUP('Données projet'!$B$11,Paramètres!$A$1:$I$89,3,0)*0.475*44/12</f>
        <v>1.0623277365369899</v>
      </c>
      <c r="BR131" s="21">
        <f>EXP(-LN(2)/2)*BR130+(1-EXP(-LN(2)/2))/(LN(2)/2)*BL131*BO131*VLOOKUP('Données projet'!$B$11,Paramètres!$A$1:$I$89,3,0)*0.475*44/12</f>
        <v>7.6723487984609558E-8</v>
      </c>
      <c r="BS131" s="22">
        <f t="shared" si="63"/>
        <v>26.860265931530968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-2.2737367544323206E-13</v>
      </c>
      <c r="BZ131" s="13">
        <f>BY131*VLOOKUP('Données projet'!$B$12,Paramètres!$A$1:$I$89,3,0)*VLOOKUP('Données projet'!$B$12,Paramètres!$A$1:$I$89,5,0)</f>
        <v>-1.2710188457276673E-13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443.34220761968419</v>
      </c>
      <c r="CE131" s="59">
        <f t="shared" si="94"/>
        <v>546.58234447298014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66.176438319412824</v>
      </c>
      <c r="CL131" s="21">
        <f>EXP(-LN(2)/25)*CL130+(1-EXP(-LN(2)/25))/(LN(2)/25)*Calculateur!CG131*Calculateur!CI131*VLOOKUP('Données projet'!$B$12,Paramètres!$A$1:$I$89,3,0)*0.475*44/12</f>
        <v>9.2028130471374325</v>
      </c>
      <c r="CM131" s="21">
        <f>EXP(-LN(2)/2)*CM130+(1-EXP(-LN(2)/2))/(LN(2)/2)*CG131*CJ131*VLOOKUP('Données projet'!$B$12,Paramètres!$A$1:$I$89,3,0)*0.475*44/12</f>
        <v>2.513896335098945E-9</v>
      </c>
      <c r="CN131" s="22">
        <f t="shared" si="66"/>
        <v>75.37925136906415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>
        <f>CT131*VLOOKUP('Données projet'!$B$13,Paramètres!$A$1:$I$89,3,0)*VLOOKUP('Données projet'!$B$13,Paramètres!$A$1:$I$89,5,0)</f>
        <v>0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214.22606988805535</v>
      </c>
      <c r="CZ131" s="59">
        <f t="shared" si="96"/>
        <v>305.78163836959078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37.131085637367363</v>
      </c>
      <c r="DG131" s="21">
        <f>EXP(-LN(2)/25)*DG130+(1-EXP(-LN(2)/25))/(LN(2)/25)*Calculateur!DB131*Calculateur!DD131*VLOOKUP('Données projet'!$B$13,Paramètres!$A$1:$I$89,3,0)*0.475*44/12</f>
        <v>5.3934709595576384</v>
      </c>
      <c r="DH131" s="21">
        <f>EXP(-LN(2)/2)*DH130+(1-EXP(-LN(2)/2))/(LN(2)/2)*DB131*DE131*VLOOKUP('Données projet'!$B$13,Paramètres!$A$1:$I$89,3,0)*0.475*44/12</f>
        <v>1.0986961076446952E-9</v>
      </c>
      <c r="DI131" s="22">
        <f t="shared" si="69"/>
        <v>42.5245565980237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-1.7053025658242404E-13</v>
      </c>
      <c r="DP131" s="17">
        <f>DO131*VLOOKUP('Données projet'!$B$14,Paramètres!$A$1:$I$89,3,0)*VLOOKUP('Données projet'!$B$14,Paramètres!$A$1:$I$89,5,0)</f>
        <v>-1.383341441396624E-13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304.26232113495314</v>
      </c>
      <c r="DU131" s="59">
        <f t="shared" si="98"/>
        <v>297.47246687305056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40.740522633145588</v>
      </c>
      <c r="EB131" s="21">
        <f>EXP(-LN(2)/25)*EB130+(1-EXP(-LN(2)/25))/(LN(2)/25)*Calculateur!DW131*Calculateur!DY131*VLOOKUP('Données projet'!$B$14,Paramètres!$A$1:$I$89,3,0)*0.475*44/12</f>
        <v>0.76397645941509129</v>
      </c>
      <c r="EC131" s="21">
        <f>EXP(-LN(2)/2)*EC130+(1-EXP(-LN(2)/2))/(LN(2)/2)*DW131*DZ131*VLOOKUP('Données projet'!$B$14,Paramètres!$A$1:$I$89,3,0)*0.475*44/12</f>
        <v>2.528969010101784E-6</v>
      </c>
      <c r="ED131" s="22">
        <f t="shared" si="72"/>
        <v>41.504501621529691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-1.7053025658242404E-13</v>
      </c>
      <c r="EK131" s="17">
        <f>EJ131*VLOOKUP('Données projet'!$B$15,Paramètres!$A$1:$I$89,3,0)*VLOOKUP('Données projet'!$B$15,Paramètres!$A$1:$I$89,5,0)</f>
        <v>-1.6493686416652052E-13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355.72173590705142</v>
      </c>
      <c r="EP131" s="59">
        <f t="shared" si="100"/>
        <v>346.30980704469363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39.410099179958664</v>
      </c>
      <c r="EW131" s="21">
        <f>EXP(-LN(2)/25)*EW130+(1-EXP(-LN(2)/25))/(LN(2)/25)*Calculateur!ER131*Calculateur!ET131*VLOOKUP('Données projet'!$B$15,Paramètres!$A$1:$I$89,3,0)*0.475*44/12</f>
        <v>0.73902802641532395</v>
      </c>
      <c r="EX131" s="21">
        <f>EXP(-LN(2)/2)*EX130+(1-EXP(-LN(2)/2))/(LN(2)/2)*ER131*EU131*VLOOKUP('Données projet'!$B$15,Paramètres!$A$1:$I$89,3,0)*0.475*44/12</f>
        <v>3.0153092043521168E-6</v>
      </c>
      <c r="EY131" s="22">
        <f t="shared" si="75"/>
        <v>40.149130221683194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-1.7053025658242404E-13</v>
      </c>
      <c r="FF131" s="17">
        <f>FE131*VLOOKUP('Données projet'!$B$16,Paramètres!$A$1:$I$89,3,0)*VLOOKUP('Données projet'!$B$16,Paramètres!$A$1:$I$89,5,0)</f>
        <v>-1.250327841262333E-13</v>
      </c>
      <c r="FG131" s="13" t="e">
        <f t="shared" si="101"/>
        <v>#NUM!</v>
      </c>
      <c r="FH131" s="20" t="e">
        <f t="shared" si="76"/>
        <v>#NUM!</v>
      </c>
      <c r="FI131" s="59" t="e">
        <f t="shared" si="77"/>
        <v>#NUM!</v>
      </c>
      <c r="FJ131" s="59">
        <f ca="1">AVERAGE(OFFSET($FI$3,0,0,'Données projet'!$E$16+1,1))-AVERAGE(OFFSET($H$3,0,0,'Données projet'!$E$16+1,1))</f>
        <v>278.45534008146865</v>
      </c>
      <c r="FK131" s="59">
        <f t="shared" si="102"/>
        <v>272.97841038165217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29.875397765452554</v>
      </c>
      <c r="FR131" s="21">
        <f>EXP(-LN(2)/25)*FR130+(1-EXP(-LN(2)/25))/(LN(2)/25)*Calculateur!FM131*Calculateur!FO131*VLOOKUP('Données projet'!$B$16,Paramètres!$A$1:$I$89,3,0)*0.475*44/12</f>
        <v>0.5602309232503262</v>
      </c>
      <c r="FS131" s="21">
        <f>EXP(-LN(2)/2)*FS130+(1-EXP(-LN(2)/2))/(LN(2)/2)*FM131*FP131*VLOOKUP('Données projet'!$B$16,Paramètres!$A$1:$I$89,3,0)*0.475*44/12</f>
        <v>2.2857989129766066E-6</v>
      </c>
      <c r="FT131" s="22">
        <f t="shared" si="78"/>
        <v>30.435630974501795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5.75</v>
      </c>
      <c r="N132" s="13">
        <f>IF('Données projet'!$A$36&gt;35,N131+M132-V131,IF(A132&lt;'Données projet'!$A$36,$K$205^A132,IF(A132='Données projet'!$A$36,'Données projet'!$B$36,N131+M132-V131)))</f>
        <v>294.49999999999972</v>
      </c>
      <c r="O132" s="13">
        <f>N132*VLOOKUP('Données projet'!$B$9,Paramètres!$A$1:$I$89,3,0)*VLOOKUP('Données projet'!$B$9,Paramètres!$A$1:$I$89,5,0)</f>
        <v>266.46359999999976</v>
      </c>
      <c r="P132" s="13">
        <f t="shared" si="87"/>
        <v>64.098181037770004</v>
      </c>
      <c r="Q132" s="20">
        <f t="shared" si="108"/>
        <v>575.72843530744899</v>
      </c>
      <c r="R132" s="59">
        <f t="shared" si="109"/>
        <v>869.06176864078225</v>
      </c>
      <c r="S132" s="59">
        <f ca="1">AVERAGE(OFFSET($R$3,0,0,'Données projet'!$E$9+1,1))-AVERAGE(OFFSET($H$3,0,0,'Données projet'!$E$9+1,1))</f>
        <v>436.03161778768742</v>
      </c>
      <c r="T132" s="59">
        <f t="shared" si="88"/>
        <v>217.65884352525285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28.263792056025615</v>
      </c>
      <c r="AA132" s="21">
        <f>EXP(-LN(2)/25)*AA131+(1-EXP(-LN(2)/25))/(LN(2)/25)*Calculateur!V132*Calculateur!X132*VLOOKUP('Données projet'!$B$9,Paramètres!$A$1:$I$89,3,0)*0.475*44/12</f>
        <v>14.732014700056205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42.995806756081819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5.75</v>
      </c>
      <c r="AI132" s="13">
        <f>IF('Données projet'!$A$62&gt;35,AI131+AH132-AQ131,IF(A132&lt;'Données projet'!$A$62,$AF$205^A132,IF(A132='Données projet'!$A$62,'Données projet'!$B$62,AI131+AH132-AQ131)))</f>
        <v>294.49999999999972</v>
      </c>
      <c r="AJ132" s="13">
        <f>AI132*VLOOKUP('Données projet'!$B$10,Paramètres!$A$1:$I$89,3,0)*VLOOKUP('Données projet'!$B$10,Paramètres!$A$1:$I$89,5,0)</f>
        <v>298.62299999999971</v>
      </c>
      <c r="AK132" s="13">
        <f t="shared" si="89"/>
        <v>70.887714137208832</v>
      </c>
      <c r="AL132" s="20">
        <f t="shared" ref="AL132:AL153" si="112">(AJ132+AK132)*0.475*44/12</f>
        <v>643.5644937889715</v>
      </c>
      <c r="AM132" s="59">
        <f t="shared" ref="AM132:AM195" si="113">AL132+(AD132+AE132)*44/12</f>
        <v>936.89782712230476</v>
      </c>
      <c r="AN132" s="59">
        <f ca="1">AVERAGE(OFFSET($AM$3,0,0,'Données projet'!$E$10+1,1))-AVERAGE(OFFSET($H$3,0,0,'Données projet'!$E$10+1,1))</f>
        <v>483.45320081988984</v>
      </c>
      <c r="AO132" s="59">
        <f t="shared" si="90"/>
        <v>238.92443174298893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31.674939373132162</v>
      </c>
      <c r="AV132" s="21">
        <f>EXP(-LN(2)/25)*AV131+(1-EXP(-LN(2)/25))/(LN(2)/25)*Calculateur!AQ132*Calculateur!AS132*VLOOKUP('Données projet'!$B$10,Paramètres!$A$1:$I$89,3,0)*0.475*44/12</f>
        <v>16.510016474200917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48.184955847333079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1.7053025658242404E-13</v>
      </c>
      <c r="BE132" s="13">
        <f>BD132*VLOOKUP('Données projet'!$B$11,Paramètres!$A$1:$I$89,3,0)*VLOOKUP('Données projet'!$B$11,Paramètres!$A$1:$I$89,5,0)</f>
        <v>1.4897523215040567E-13</v>
      </c>
      <c r="BF132" s="13">
        <f t="shared" si="91"/>
        <v>2.136562777003313E-12</v>
      </c>
      <c r="BG132" s="20">
        <f t="shared" ref="BG132:BG153" si="115">(BE132+BF132)*0.475*44/12</f>
        <v>3.9806453659427267E-12</v>
      </c>
      <c r="BH132" s="59">
        <f t="shared" ref="BH132:BH195" si="116">BG132+(AY132+AZ132)*44/12</f>
        <v>293.33333333333729</v>
      </c>
      <c r="BI132" s="59">
        <f ca="1">AVERAGE(OFFSET($BH$3,0,0,'Données projet'!$E$11+1,1))-AVERAGE(OFFSET($H$3,0,0,'Données projet'!$E$11+1,1))</f>
        <v>310.44153296396854</v>
      </c>
      <c r="BJ132" s="59">
        <f t="shared" si="92"/>
        <v>388.05195847800502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25.292056286959738</v>
      </c>
      <c r="BQ132" s="21">
        <f>EXP(-LN(2)/25)*BQ131+(1-EXP(-LN(2)/25))/(LN(2)/25)*Calculateur!BL132*Calculateur!BN132*VLOOKUP('Données projet'!$B$11,Paramètres!$A$1:$I$89,3,0)*0.475*44/12</f>
        <v>1.0332783287159981</v>
      </c>
      <c r="BR132" s="21">
        <f>EXP(-LN(2)/2)*BR131+(1-EXP(-LN(2)/2))/(LN(2)/2)*BL132*BO132*VLOOKUP('Données projet'!$B$11,Paramètres!$A$1:$I$89,3,0)*0.475*44/12</f>
        <v>5.425169863020202E-8</v>
      </c>
      <c r="BS132" s="22">
        <f t="shared" ref="BS132:BS153" si="117">SUM(BP132:BR132)</f>
        <v>26.325334669927436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-2.2737367544323206E-13</v>
      </c>
      <c r="BZ132" s="13">
        <f>BY132*VLOOKUP('Données projet'!$B$12,Paramètres!$A$1:$I$89,3,0)*VLOOKUP('Données projet'!$B$12,Paramètres!$A$1:$I$89,5,0)</f>
        <v>-1.2710188457276673E-13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443.34220761968419</v>
      </c>
      <c r="CE132" s="59">
        <f t="shared" si="94"/>
        <v>546.58234447298014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64.878758727610929</v>
      </c>
      <c r="CL132" s="21">
        <f>EXP(-LN(2)/25)*CL131+(1-EXP(-LN(2)/25))/(LN(2)/25)*Calculateur!CG132*Calculateur!CI132*VLOOKUP('Données projet'!$B$12,Paramètres!$A$1:$I$89,3,0)*0.475*44/12</f>
        <v>8.9511616404085554</v>
      </c>
      <c r="CM132" s="21">
        <f>EXP(-LN(2)/2)*CM131+(1-EXP(-LN(2)/2))/(LN(2)/2)*CG132*CJ132*VLOOKUP('Données projet'!$B$12,Paramètres!$A$1:$I$89,3,0)*0.475*44/12</f>
        <v>1.7775931457484735E-9</v>
      </c>
      <c r="CN132" s="22">
        <f t="shared" ref="CN132:CN153" si="120">SUM(CK132:CM132)</f>
        <v>73.82992036979708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>
        <f>CT132*VLOOKUP('Données projet'!$B$13,Paramètres!$A$1:$I$89,3,0)*VLOOKUP('Données projet'!$B$13,Paramètres!$A$1:$I$89,5,0)</f>
        <v>0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214.22606988805535</v>
      </c>
      <c r="CZ132" s="59">
        <f t="shared" si="96"/>
        <v>305.78163836959078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36.40296769574455</v>
      </c>
      <c r="DG132" s="21">
        <f>EXP(-LN(2)/25)*DG131+(1-EXP(-LN(2)/25))/(LN(2)/25)*Calculateur!DB132*Calculateur!DD132*VLOOKUP('Données projet'!$B$13,Paramètres!$A$1:$I$89,3,0)*0.475*44/12</f>
        <v>5.2459862125382237</v>
      </c>
      <c r="DH132" s="21">
        <f>EXP(-LN(2)/2)*DH131+(1-EXP(-LN(2)/2))/(LN(2)/2)*DB132*DE132*VLOOKUP('Données projet'!$B$13,Paramètres!$A$1:$I$89,3,0)*0.475*44/12</f>
        <v>7.7689546817882897E-10</v>
      </c>
      <c r="DI132" s="22">
        <f t="shared" ref="DI132:DI153" si="123">SUM(DF132:DH132)</f>
        <v>41.648953909059671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-1.7053025658242404E-13</v>
      </c>
      <c r="DP132" s="17">
        <f>DO132*VLOOKUP('Données projet'!$B$14,Paramètres!$A$1:$I$89,3,0)*VLOOKUP('Données projet'!$B$14,Paramètres!$A$1:$I$89,5,0)</f>
        <v>-1.383341441396624E-13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304.26232113495314</v>
      </c>
      <c r="DU132" s="59">
        <f t="shared" si="98"/>
        <v>297.47246687305056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39.941625833574747</v>
      </c>
      <c r="EB132" s="21">
        <f>EXP(-LN(2)/25)*EB131+(1-EXP(-LN(2)/25))/(LN(2)/25)*Calculateur!DW132*Calculateur!DY132*VLOOKUP('Données projet'!$B$14,Paramètres!$A$1:$I$89,3,0)*0.475*44/12</f>
        <v>0.7430854829566097</v>
      </c>
      <c r="EC132" s="21">
        <f>EXP(-LN(2)/2)*EC131+(1-EXP(-LN(2)/2))/(LN(2)/2)*DW132*DZ132*VLOOKUP('Données projet'!$B$14,Paramètres!$A$1:$I$89,3,0)*0.475*44/12</f>
        <v>1.7882511364536019E-6</v>
      </c>
      <c r="ED132" s="22">
        <f t="shared" ref="ED132:ED153" si="126">SUM(EA132:EC132)</f>
        <v>40.684713104782489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-1.7053025658242404E-13</v>
      </c>
      <c r="EK132" s="17">
        <f>EJ132*VLOOKUP('Données projet'!$B$15,Paramètres!$A$1:$I$89,3,0)*VLOOKUP('Données projet'!$B$15,Paramètres!$A$1:$I$89,5,0)</f>
        <v>-1.6493686416652052E-13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355.72173590705142</v>
      </c>
      <c r="EP132" s="59">
        <f t="shared" si="100"/>
        <v>346.30980704469363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38.637291172826643</v>
      </c>
      <c r="EW132" s="21">
        <f>EXP(-LN(2)/25)*EW131+(1-EXP(-LN(2)/25))/(LN(2)/25)*Calculateur!ER132*Calculateur!ET132*VLOOKUP('Données projet'!$B$15,Paramètres!$A$1:$I$89,3,0)*0.475*44/12</f>
        <v>0.71881926616920211</v>
      </c>
      <c r="EX132" s="21">
        <f>EXP(-LN(2)/2)*EX131+(1-EXP(-LN(2)/2))/(LN(2)/2)*ER132*EU132*VLOOKUP('Données projet'!$B$15,Paramètres!$A$1:$I$89,3,0)*0.475*44/12</f>
        <v>2.1321455857715949E-6</v>
      </c>
      <c r="EY132" s="22">
        <f t="shared" ref="EY132:EY153" si="129">SUM(EV132:EX132)</f>
        <v>39.356112571141431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-1.7053025658242404E-13</v>
      </c>
      <c r="FF132" s="17">
        <f>FE132*VLOOKUP('Données projet'!$B$16,Paramètres!$A$1:$I$89,3,0)*VLOOKUP('Données projet'!$B$16,Paramètres!$A$1:$I$89,5,0)</f>
        <v>-1.250327841262333E-13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9" t="e">
        <f t="shared" ref="FI132:FI195" si="131">FH132+(EZ132+FA132)*44/12</f>
        <v>#NUM!</v>
      </c>
      <c r="FJ132" s="59">
        <f ca="1">AVERAGE(OFFSET($FI$3,0,0,'Données projet'!$E$16+1,1))-AVERAGE(OFFSET($H$3,0,0,'Données projet'!$E$16+1,1))</f>
        <v>278.45534008146865</v>
      </c>
      <c r="FK132" s="59">
        <f t="shared" si="102"/>
        <v>272.97841038165217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29.289559437465375</v>
      </c>
      <c r="FR132" s="21">
        <f>EXP(-LN(2)/25)*FR131+(1-EXP(-LN(2)/25))/(LN(2)/25)*Calculateur!FM132*Calculateur!FO132*VLOOKUP('Données projet'!$B$16,Paramètres!$A$1:$I$89,3,0)*0.475*44/12</f>
        <v>0.54491137919278221</v>
      </c>
      <c r="FS132" s="21">
        <f>EXP(-LN(2)/2)*FS131+(1-EXP(-LN(2)/2))/(LN(2)/2)*FM132*FP132*VLOOKUP('Données projet'!$B$16,Paramètres!$A$1:$I$89,3,0)*0.475*44/12</f>
        <v>1.6163039117945976E-6</v>
      </c>
      <c r="FT132" s="22">
        <f t="shared" ref="FT132:FT153" si="132">SUM(FQ132:FS132)</f>
        <v>29.83447243296207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5.75</v>
      </c>
      <c r="N133" s="13">
        <f>IF('Données projet'!$A$36&gt;35,N132+M133-V132,IF(A133&lt;'Données projet'!$A$36,$K$205^A133,IF(A133='Données projet'!$A$36,'Données projet'!$B$36,N132+M133-V132)))</f>
        <v>300.24999999999972</v>
      </c>
      <c r="O133" s="13">
        <f>N133*VLOOKUP('Données projet'!$B$9,Paramètres!$A$1:$I$89,3,0)*VLOOKUP('Données projet'!$B$9,Paramètres!$A$1:$I$89,5,0)</f>
        <v>271.66619999999972</v>
      </c>
      <c r="P133" s="13">
        <f t="shared" ref="P133:P196" si="141">EXP(-1.0587+0.8836*LN(O133)+0.284)</f>
        <v>65.202752268627663</v>
      </c>
      <c r="Q133" s="20">
        <f t="shared" si="108"/>
        <v>586.71342520119254</v>
      </c>
      <c r="R133" s="59">
        <f t="shared" si="109"/>
        <v>880.04675853452591</v>
      </c>
      <c r="S133" s="59">
        <f ca="1">AVERAGE(OFFSET($R$3,0,0,'Données projet'!$E$9+1,1))-AVERAGE(OFFSET($H$3,0,0,'Données projet'!$E$9+1,1))</f>
        <v>436.03161778768742</v>
      </c>
      <c r="T133" s="59">
        <f t="shared" ref="T133:T196" si="142">$T$3</f>
        <v>217.65884352525285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27.709556333017876</v>
      </c>
      <c r="AA133" s="21">
        <f>EXP(-LN(2)/25)*AA132+(1-EXP(-LN(2)/25))/(LN(2)/25)*Calculateur!V133*Calculateur!X133*VLOOKUP('Données projet'!$B$9,Paramètres!$A$1:$I$89,3,0)*0.475*44/12</f>
        <v>14.329166983360185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42.038723316378061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5.75</v>
      </c>
      <c r="AI133" s="13">
        <f>IF('Données projet'!$A$62&gt;35,AI132+AH133-AQ132,IF(A133&lt;'Données projet'!$A$62,$AF$205^A133,IF(A133='Données projet'!$A$62,'Données projet'!$B$62,AI132+AH133-AQ132)))</f>
        <v>300.24999999999972</v>
      </c>
      <c r="AJ133" s="13">
        <f>AI133*VLOOKUP('Données projet'!$B$10,Paramètres!$A$1:$I$89,3,0)*VLOOKUP('Données projet'!$B$10,Paramètres!$A$1:$I$89,5,0)</f>
        <v>304.45349999999974</v>
      </c>
      <c r="AK133" s="13">
        <f t="shared" ref="AK133:AK153" si="143">EXP(-1.0587+0.8836*LN(AJ133)+0.284)</f>
        <v>72.109285925822974</v>
      </c>
      <c r="AL133" s="20">
        <f t="shared" si="112"/>
        <v>655.84685215414117</v>
      </c>
      <c r="AM133" s="59">
        <f t="shared" si="113"/>
        <v>949.18018548747455</v>
      </c>
      <c r="AN133" s="59">
        <f ca="1">AVERAGE(OFFSET($AM$3,0,0,'Données projet'!$E$10+1,1))-AVERAGE(OFFSET($H$3,0,0,'Données projet'!$E$10+1,1))</f>
        <v>483.45320081988984</v>
      </c>
      <c r="AO133" s="59">
        <f t="shared" ref="AO133:AO196" si="144">$AO$3</f>
        <v>238.92443174298893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31.053813131830385</v>
      </c>
      <c r="AV133" s="21">
        <f>EXP(-LN(2)/25)*AV132+(1-EXP(-LN(2)/25))/(LN(2)/25)*Calculateur!AQ133*Calculateur!AS133*VLOOKUP('Données projet'!$B$10,Paramètres!$A$1:$I$89,3,0)*0.475*44/12</f>
        <v>16.058549205489861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47.112362337320249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1.7053025658242404E-13</v>
      </c>
      <c r="BE133" s="13">
        <f>BD133*VLOOKUP('Données projet'!$B$11,Paramètres!$A$1:$I$89,3,0)*VLOOKUP('Données projet'!$B$11,Paramètres!$A$1:$I$89,5,0)</f>
        <v>1.4897523215040567E-13</v>
      </c>
      <c r="BF133" s="13">
        <f t="shared" ref="BF133:BF153" si="145">EXP(-1.0587+0.8836*LN(BE133)+0.284)</f>
        <v>2.136562777003313E-12</v>
      </c>
      <c r="BG133" s="20">
        <f t="shared" si="115"/>
        <v>3.9806453659427267E-12</v>
      </c>
      <c r="BH133" s="59">
        <f t="shared" si="116"/>
        <v>293.33333333333729</v>
      </c>
      <c r="BI133" s="59">
        <f ca="1">AVERAGE(OFFSET($BH$3,0,0,'Données projet'!$E$11+1,1))-AVERAGE(OFFSET($H$3,0,0,'Données projet'!$E$11+1,1))</f>
        <v>310.44153296396854</v>
      </c>
      <c r="BJ133" s="59">
        <f t="shared" ref="BJ133:BJ196" si="146">$BJ$3</f>
        <v>388.05195847800502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24.79609448980354</v>
      </c>
      <c r="BQ133" s="21">
        <f>EXP(-LN(2)/25)*BQ132+(1-EXP(-LN(2)/25))/(LN(2)/25)*Calculateur!BL133*Calculateur!BN133*VLOOKUP('Données projet'!$B$11,Paramètres!$A$1:$I$89,3,0)*0.475*44/12</f>
        <v>1.0050232784795134</v>
      </c>
      <c r="BR133" s="21">
        <f>EXP(-LN(2)/2)*BR132+(1-EXP(-LN(2)/2))/(LN(2)/2)*BL133*BO133*VLOOKUP('Données projet'!$B$11,Paramètres!$A$1:$I$89,3,0)*0.475*44/12</f>
        <v>3.8361743992304779E-8</v>
      </c>
      <c r="BS133" s="22">
        <f t="shared" si="117"/>
        <v>25.801117806644797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-2.2737367544323206E-13</v>
      </c>
      <c r="BZ133" s="13">
        <f>BY133*VLOOKUP('Données projet'!$B$12,Paramètres!$A$1:$I$89,3,0)*VLOOKUP('Données projet'!$B$12,Paramètres!$A$1:$I$89,5,0)</f>
        <v>-1.2710188457276673E-13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443.34220761968419</v>
      </c>
      <c r="CE133" s="59">
        <f t="shared" ref="CE133:CE196" si="148">$CE$3</f>
        <v>546.58234447298014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63.606525841097877</v>
      </c>
      <c r="CL133" s="21">
        <f>EXP(-LN(2)/25)*CL132+(1-EXP(-LN(2)/25))/(LN(2)/25)*Calculateur!CG133*Calculateur!CI133*VLOOKUP('Données projet'!$B$12,Paramètres!$A$1:$I$89,3,0)*0.475*44/12</f>
        <v>8.7063916546304512</v>
      </c>
      <c r="CM133" s="21">
        <f>EXP(-LN(2)/2)*CM132+(1-EXP(-LN(2)/2))/(LN(2)/2)*CG133*CJ133*VLOOKUP('Données projet'!$B$12,Paramètres!$A$1:$I$89,3,0)*0.475*44/12</f>
        <v>1.2569481675494727E-9</v>
      </c>
      <c r="CN133" s="22">
        <f t="shared" si="120"/>
        <v>72.312917496985278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>
        <f>CT133*VLOOKUP('Données projet'!$B$13,Paramètres!$A$1:$I$89,3,0)*VLOOKUP('Données projet'!$B$13,Paramètres!$A$1:$I$89,5,0)</f>
        <v>0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214.22606988805535</v>
      </c>
      <c r="CZ133" s="59">
        <f t="shared" ref="CZ133:CZ196" si="150">$CZ$3</f>
        <v>305.78163836959078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35.689127702848872</v>
      </c>
      <c r="DG133" s="21">
        <f>EXP(-LN(2)/25)*DG132+(1-EXP(-LN(2)/25))/(LN(2)/25)*Calculateur!DB133*Calculateur!DD133*VLOOKUP('Données projet'!$B$13,Paramètres!$A$1:$I$89,3,0)*0.475*44/12</f>
        <v>5.1025344436819413</v>
      </c>
      <c r="DH133" s="21">
        <f>EXP(-LN(2)/2)*DH132+(1-EXP(-LN(2)/2))/(LN(2)/2)*DB133*DE133*VLOOKUP('Données projet'!$B$13,Paramètres!$A$1:$I$89,3,0)*0.475*44/12</f>
        <v>5.4934805382234761E-10</v>
      </c>
      <c r="DI133" s="22">
        <f t="shared" si="123"/>
        <v>40.79166214708016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-1.7053025658242404E-13</v>
      </c>
      <c r="DP133" s="17">
        <f>DO133*VLOOKUP('Données projet'!$B$14,Paramètres!$A$1:$I$89,3,0)*VLOOKUP('Données projet'!$B$14,Paramètres!$A$1:$I$89,5,0)</f>
        <v>-1.383341441396624E-13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304.26232113495314</v>
      </c>
      <c r="DU133" s="59">
        <f t="shared" ref="DU133:DU196" si="152">$DU$3</f>
        <v>297.47246687305056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39.15839491296456</v>
      </c>
      <c r="EB133" s="21">
        <f>EXP(-LN(2)/25)*EB132+(1-EXP(-LN(2)/25))/(LN(2)/25)*Calculateur!DW133*Calculateur!DY133*VLOOKUP('Données projet'!$B$14,Paramètres!$A$1:$I$89,3,0)*0.475*44/12</f>
        <v>0.72276577134799402</v>
      </c>
      <c r="EC133" s="21">
        <f>EXP(-LN(2)/2)*EC132+(1-EXP(-LN(2)/2))/(LN(2)/2)*DW133*DZ133*VLOOKUP('Données projet'!$B$14,Paramètres!$A$1:$I$89,3,0)*0.475*44/12</f>
        <v>1.264484505050892E-6</v>
      </c>
      <c r="ED133" s="22">
        <f t="shared" si="126"/>
        <v>39.881161948797057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-1.7053025658242404E-13</v>
      </c>
      <c r="EK133" s="17">
        <f>EJ133*VLOOKUP('Données projet'!$B$15,Paramètres!$A$1:$I$89,3,0)*VLOOKUP('Données projet'!$B$15,Paramètres!$A$1:$I$89,5,0)</f>
        <v>-1.6493686416652052E-13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355.72173590705142</v>
      </c>
      <c r="EP133" s="59">
        <f t="shared" ref="EP133:EP196" si="154">$EP$3</f>
        <v>346.30980704469363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37.879637459348139</v>
      </c>
      <c r="EW133" s="21">
        <f>EXP(-LN(2)/25)*EW132+(1-EXP(-LN(2)/25))/(LN(2)/25)*Calculateur!ER133*Calculateur!ET133*VLOOKUP('Données projet'!$B$15,Paramètres!$A$1:$I$89,3,0)*0.475*44/12</f>
        <v>0.69916311553474297</v>
      </c>
      <c r="EX133" s="21">
        <f>EXP(-LN(2)/2)*EX132+(1-EXP(-LN(2)/2))/(LN(2)/2)*ER133*EU133*VLOOKUP('Données projet'!$B$15,Paramètres!$A$1:$I$89,3,0)*0.475*44/12</f>
        <v>1.5076546021760584E-6</v>
      </c>
      <c r="EY133" s="22">
        <f t="shared" si="129"/>
        <v>38.578802082537486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-1.7053025658242404E-13</v>
      </c>
      <c r="FF133" s="17">
        <f>FE133*VLOOKUP('Données projet'!$B$16,Paramètres!$A$1:$I$89,3,0)*VLOOKUP('Données projet'!$B$16,Paramètres!$A$1:$I$89,5,0)</f>
        <v>-1.250327841262333E-13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9" t="e">
        <f t="shared" si="131"/>
        <v>#NUM!</v>
      </c>
      <c r="FJ133" s="59">
        <f ca="1">AVERAGE(OFFSET($FI$3,0,0,'Données projet'!$E$16+1,1))-AVERAGE(OFFSET($H$3,0,0,'Données projet'!$E$16+1,1))</f>
        <v>278.45534008146865</v>
      </c>
      <c r="FK133" s="59">
        <f t="shared" ref="FK133:FK196" si="156">$FK$3</f>
        <v>272.97841038165217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28.715209041763927</v>
      </c>
      <c r="FR133" s="21">
        <f>EXP(-LN(2)/25)*FR132+(1-EXP(-LN(2)/25))/(LN(2)/25)*Calculateur!FM133*Calculateur!FO133*VLOOKUP('Données projet'!$B$16,Paramètres!$A$1:$I$89,3,0)*0.475*44/12</f>
        <v>0.5300107488731115</v>
      </c>
      <c r="FS133" s="21">
        <f>EXP(-LN(2)/2)*FS132+(1-EXP(-LN(2)/2))/(LN(2)/2)*FM133*FP133*VLOOKUP('Données projet'!$B$16,Paramètres!$A$1:$I$89,3,0)*0.475*44/12</f>
        <v>1.1428994564883033E-6</v>
      </c>
      <c r="FT133" s="22">
        <f t="shared" si="132"/>
        <v>29.245220933536494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5.75</v>
      </c>
      <c r="N134" s="13">
        <f>IF('Données projet'!$A$36&gt;35,N133+M134-V133,IF(A134&lt;'Données projet'!$A$36,$K$205^A134,IF(A134='Données projet'!$A$36,'Données projet'!$B$36,N133+M134-V133)))</f>
        <v>305.99999999999972</v>
      </c>
      <c r="O134" s="13">
        <f>N134*VLOOKUP('Données projet'!$B$9,Paramètres!$A$1:$I$89,3,0)*VLOOKUP('Données projet'!$B$9,Paramètres!$A$1:$I$89,5,0)</f>
        <v>276.86879999999974</v>
      </c>
      <c r="P134" s="13">
        <f t="shared" si="141"/>
        <v>66.304863836318603</v>
      </c>
      <c r="Q134" s="20">
        <f t="shared" si="108"/>
        <v>597.69413118158775</v>
      </c>
      <c r="R134" s="59">
        <f t="shared" si="109"/>
        <v>891.02746451492112</v>
      </c>
      <c r="S134" s="59">
        <f ca="1">AVERAGE(OFFSET($R$3,0,0,'Données projet'!$E$9+1,1))-AVERAGE(OFFSET($H$3,0,0,'Données projet'!$E$9+1,1))</f>
        <v>436.03161778768742</v>
      </c>
      <c r="T134" s="59">
        <f t="shared" si="142"/>
        <v>217.65884352525285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27.166188834487908</v>
      </c>
      <c r="AA134" s="21">
        <f>EXP(-LN(2)/25)*AA133+(1-EXP(-LN(2)/25))/(LN(2)/25)*Calculateur!V134*Calculateur!X134*VLOOKUP('Données projet'!$B$9,Paramètres!$A$1:$I$89,3,0)*0.475*44/12</f>
        <v>13.937335158662059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41.103523993149963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5.75</v>
      </c>
      <c r="AI134" s="13">
        <f>IF('Données projet'!$A$62&gt;35,AI133+AH134-AQ133,IF(A134&lt;'Données projet'!$A$62,$AF$205^A134,IF(A134='Données projet'!$A$62,'Données projet'!$B$62,AI133+AH134-AQ133)))</f>
        <v>305.99999999999972</v>
      </c>
      <c r="AJ134" s="13">
        <f>AI134*VLOOKUP('Données projet'!$B$10,Paramètres!$A$1:$I$89,3,0)*VLOOKUP('Données projet'!$B$10,Paramètres!$A$1:$I$89,5,0)</f>
        <v>310.28399999999976</v>
      </c>
      <c r="AK134" s="13">
        <f t="shared" si="143"/>
        <v>73.328137514010095</v>
      </c>
      <c r="AL134" s="20">
        <f t="shared" si="112"/>
        <v>668.12447283690051</v>
      </c>
      <c r="AM134" s="59">
        <f t="shared" si="113"/>
        <v>961.45780617023388</v>
      </c>
      <c r="AN134" s="59">
        <f ca="1">AVERAGE(OFFSET($AM$3,0,0,'Données projet'!$E$10+1,1))-AVERAGE(OFFSET($H$3,0,0,'Données projet'!$E$10+1,1))</f>
        <v>483.45320081988984</v>
      </c>
      <c r="AO134" s="59">
        <f t="shared" si="144"/>
        <v>238.92443174298893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30.444866797270937</v>
      </c>
      <c r="AV134" s="21">
        <f>EXP(-LN(2)/25)*AV133+(1-EXP(-LN(2)/25))/(LN(2)/25)*Calculateur!AQ134*Calculateur!AS134*VLOOKUP('Données projet'!$B$10,Paramètres!$A$1:$I$89,3,0)*0.475*44/12</f>
        <v>15.61942733298334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46.064294130254275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1.7053025658242404E-13</v>
      </c>
      <c r="BE134" s="13">
        <f>BD134*VLOOKUP('Données projet'!$B$11,Paramètres!$A$1:$I$89,3,0)*VLOOKUP('Données projet'!$B$11,Paramètres!$A$1:$I$89,5,0)</f>
        <v>1.4897523215040567E-13</v>
      </c>
      <c r="BF134" s="13">
        <f t="shared" si="145"/>
        <v>2.136562777003313E-12</v>
      </c>
      <c r="BG134" s="20">
        <f t="shared" si="115"/>
        <v>3.9806453659427267E-12</v>
      </c>
      <c r="BH134" s="59">
        <f t="shared" si="116"/>
        <v>293.33333333333729</v>
      </c>
      <c r="BI134" s="59">
        <f ca="1">AVERAGE(OFFSET($BH$3,0,0,'Données projet'!$E$11+1,1))-AVERAGE(OFFSET($H$3,0,0,'Données projet'!$E$11+1,1))</f>
        <v>310.44153296396854</v>
      </c>
      <c r="BJ134" s="59">
        <f t="shared" si="146"/>
        <v>388.05195847800502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24.309858200982749</v>
      </c>
      <c r="BQ134" s="21">
        <f>EXP(-LN(2)/25)*BQ133+(1-EXP(-LN(2)/25))/(LN(2)/25)*Calculateur!BL134*Calculateur!BN134*VLOOKUP('Données projet'!$B$11,Paramètres!$A$1:$I$89,3,0)*0.475*44/12</f>
        <v>0.97754086407761398</v>
      </c>
      <c r="BR134" s="21">
        <f>EXP(-LN(2)/2)*BR133+(1-EXP(-LN(2)/2))/(LN(2)/2)*BL134*BO134*VLOOKUP('Données projet'!$B$11,Paramètres!$A$1:$I$89,3,0)*0.475*44/12</f>
        <v>2.712584931510101E-8</v>
      </c>
      <c r="BS134" s="22">
        <f t="shared" si="117"/>
        <v>25.287399092186213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-2.2737367544323206E-13</v>
      </c>
      <c r="BZ134" s="13">
        <f>BY134*VLOOKUP('Données projet'!$B$12,Paramètres!$A$1:$I$89,3,0)*VLOOKUP('Données projet'!$B$12,Paramètres!$A$1:$I$89,5,0)</f>
        <v>-1.2710188457276673E-13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443.34220761968419</v>
      </c>
      <c r="CE134" s="59">
        <f t="shared" si="148"/>
        <v>546.58234447298014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62.359240665503911</v>
      </c>
      <c r="CL134" s="21">
        <f>EXP(-LN(2)/25)*CL133+(1-EXP(-LN(2)/25))/(LN(2)/25)*Calculateur!CG134*Calculateur!CI134*VLOOKUP('Données projet'!$B$12,Paramètres!$A$1:$I$89,3,0)*0.475*44/12</f>
        <v>8.4683149169853422</v>
      </c>
      <c r="CM134" s="21">
        <f>EXP(-LN(2)/2)*CM133+(1-EXP(-LN(2)/2))/(LN(2)/2)*CG134*CJ134*VLOOKUP('Données projet'!$B$12,Paramètres!$A$1:$I$89,3,0)*0.475*44/12</f>
        <v>8.8879657287423694E-10</v>
      </c>
      <c r="CN134" s="22">
        <f t="shared" si="120"/>
        <v>70.827555583378043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>
        <f>CT134*VLOOKUP('Données projet'!$B$13,Paramètres!$A$1:$I$89,3,0)*VLOOKUP('Données projet'!$B$13,Paramètres!$A$1:$I$89,5,0)</f>
        <v>0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214.22606988805535</v>
      </c>
      <c r="CZ134" s="59">
        <f t="shared" si="150"/>
        <v>305.78163836959078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34.989285676814468</v>
      </c>
      <c r="DG134" s="21">
        <f>EXP(-LN(2)/25)*DG133+(1-EXP(-LN(2)/25))/(LN(2)/25)*Calculateur!DB134*Calculateur!DD134*VLOOKUP('Données projet'!$B$13,Paramètres!$A$1:$I$89,3,0)*0.475*44/12</f>
        <v>4.9630053709888342</v>
      </c>
      <c r="DH134" s="21">
        <f>EXP(-LN(2)/2)*DH133+(1-EXP(-LN(2)/2))/(LN(2)/2)*DB134*DE134*VLOOKUP('Données projet'!$B$13,Paramètres!$A$1:$I$89,3,0)*0.475*44/12</f>
        <v>3.8844773408941449E-10</v>
      </c>
      <c r="DI134" s="22">
        <f t="shared" si="123"/>
        <v>39.952291048191746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-1.7053025658242404E-13</v>
      </c>
      <c r="DP134" s="17">
        <f>DO134*VLOOKUP('Données projet'!$B$14,Paramètres!$A$1:$I$89,3,0)*VLOOKUP('Données projet'!$B$14,Paramètres!$A$1:$I$89,5,0)</f>
        <v>-1.383341441396624E-13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304.26232113495314</v>
      </c>
      <c r="DU134" s="59">
        <f t="shared" si="152"/>
        <v>297.47246687305056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38.390522672983849</v>
      </c>
      <c r="EB134" s="21">
        <f>EXP(-LN(2)/25)*EB133+(1-EXP(-LN(2)/25))/(LN(2)/25)*Calculateur!DW134*Calculateur!DY134*VLOOKUP('Données projet'!$B$14,Paramètres!$A$1:$I$89,3,0)*0.475*44/12</f>
        <v>0.70300170332188316</v>
      </c>
      <c r="EC134" s="21">
        <f>EXP(-LN(2)/2)*EC133+(1-EXP(-LN(2)/2))/(LN(2)/2)*DW134*DZ134*VLOOKUP('Données projet'!$B$14,Paramètres!$A$1:$I$89,3,0)*0.475*44/12</f>
        <v>8.9412556822680095E-7</v>
      </c>
      <c r="ED134" s="22">
        <f t="shared" si="126"/>
        <v>39.0935252704313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-1.7053025658242404E-13</v>
      </c>
      <c r="EK134" s="17">
        <f>EJ134*VLOOKUP('Données projet'!$B$15,Paramètres!$A$1:$I$89,3,0)*VLOOKUP('Données projet'!$B$15,Paramètres!$A$1:$I$89,5,0)</f>
        <v>-1.6493686416652052E-13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355.72173590705142</v>
      </c>
      <c r="EP134" s="59">
        <f t="shared" si="154"/>
        <v>346.30980704469363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37.136840873067811</v>
      </c>
      <c r="EW134" s="21">
        <f>EXP(-LN(2)/25)*EW133+(1-EXP(-LN(2)/25))/(LN(2)/25)*Calculateur!ER134*Calculateur!ET134*VLOOKUP('Données projet'!$B$15,Paramètres!$A$1:$I$89,3,0)*0.475*44/12</f>
        <v>0.68004446337305513</v>
      </c>
      <c r="EX134" s="21">
        <f>EXP(-LN(2)/2)*EX133+(1-EXP(-LN(2)/2))/(LN(2)/2)*ER134*EU134*VLOOKUP('Données projet'!$B$15,Paramètres!$A$1:$I$89,3,0)*0.475*44/12</f>
        <v>1.0660727928857974E-6</v>
      </c>
      <c r="EY134" s="22">
        <f t="shared" si="129"/>
        <v>37.81688640251366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-1.7053025658242404E-13</v>
      </c>
      <c r="FF134" s="17">
        <f>FE134*VLOOKUP('Données projet'!$B$16,Paramètres!$A$1:$I$89,3,0)*VLOOKUP('Données projet'!$B$16,Paramètres!$A$1:$I$89,5,0)</f>
        <v>-1.250327841262333E-13</v>
      </c>
      <c r="FG134" s="13" t="e">
        <f t="shared" si="155"/>
        <v>#NUM!</v>
      </c>
      <c r="FH134" s="20" t="e">
        <f t="shared" si="130"/>
        <v>#NUM!</v>
      </c>
      <c r="FI134" s="59" t="e">
        <f t="shared" si="131"/>
        <v>#NUM!</v>
      </c>
      <c r="FJ134" s="59">
        <f ca="1">AVERAGE(OFFSET($FI$3,0,0,'Données projet'!$E$16+1,1))-AVERAGE(OFFSET($H$3,0,0,'Données projet'!$E$16+1,1))</f>
        <v>278.45534008146865</v>
      </c>
      <c r="FK134" s="59">
        <f t="shared" si="156"/>
        <v>272.97841038165217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28.152121307003036</v>
      </c>
      <c r="FR134" s="21">
        <f>EXP(-LN(2)/25)*FR133+(1-EXP(-LN(2)/25))/(LN(2)/25)*Calculateur!FM134*Calculateur!FO134*VLOOKUP('Données projet'!$B$16,Paramètres!$A$1:$I$89,3,0)*0.475*44/12</f>
        <v>0.51551757707312229</v>
      </c>
      <c r="FS134" s="21">
        <f>EXP(-LN(2)/2)*FS133+(1-EXP(-LN(2)/2))/(LN(2)/2)*FM134*FP134*VLOOKUP('Données projet'!$B$16,Paramètres!$A$1:$I$89,3,0)*0.475*44/12</f>
        <v>8.0815195589729879E-7</v>
      </c>
      <c r="FT134" s="22">
        <f t="shared" si="132"/>
        <v>28.667639692228114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5.75</v>
      </c>
      <c r="N135" s="13">
        <f>IF('Données projet'!$A$36&gt;35,N134+M135-V134,IF(A135&lt;'Données projet'!$A$36,$K$205^A135,IF(A135='Données projet'!$A$36,'Données projet'!$B$36,N134+M135-V134)))</f>
        <v>311.74999999999972</v>
      </c>
      <c r="O135" s="13">
        <f>N135*VLOOKUP('Données projet'!$B$9,Paramètres!$A$1:$I$89,3,0)*VLOOKUP('Données projet'!$B$9,Paramètres!$A$1:$I$89,5,0)</f>
        <v>282.07139999999976</v>
      </c>
      <c r="P135" s="13">
        <f t="shared" si="141"/>
        <v>67.404567289644092</v>
      </c>
      <c r="Q135" s="20">
        <f t="shared" si="108"/>
        <v>608.67064302946301</v>
      </c>
      <c r="R135" s="59">
        <f t="shared" si="109"/>
        <v>902.00397636279627</v>
      </c>
      <c r="S135" s="59">
        <f ca="1">AVERAGE(OFFSET($R$3,0,0,'Données projet'!$E$9+1,1))-AVERAGE(OFFSET($H$3,0,0,'Données projet'!$E$9+1,1))</f>
        <v>436.03161778768742</v>
      </c>
      <c r="T135" s="59">
        <f t="shared" si="142"/>
        <v>217.65884352525285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26.633476441182662</v>
      </c>
      <c r="AA135" s="21">
        <f>EXP(-LN(2)/25)*AA134+(1-EXP(-LN(2)/25))/(LN(2)/25)*Calculateur!V135*Calculateur!X135*VLOOKUP('Données projet'!$B$9,Paramètres!$A$1:$I$89,3,0)*0.475*44/12</f>
        <v>13.556217995815842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40.189694436998508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5.75</v>
      </c>
      <c r="AI135" s="13">
        <f>IF('Données projet'!$A$62&gt;35,AI134+AH135-AQ134,IF(A135&lt;'Données projet'!$A$62,$AF$205^A135,IF(A135='Données projet'!$A$62,'Données projet'!$B$62,AI134+AH135-AQ134)))</f>
        <v>311.74999999999972</v>
      </c>
      <c r="AJ135" s="13">
        <f>AI135*VLOOKUP('Données projet'!$B$10,Paramètres!$A$1:$I$89,3,0)*VLOOKUP('Données projet'!$B$10,Paramètres!$A$1:$I$89,5,0)</f>
        <v>316.11449999999974</v>
      </c>
      <c r="AK135" s="13">
        <f t="shared" si="143"/>
        <v>74.544325910824341</v>
      </c>
      <c r="AL135" s="20">
        <f t="shared" si="112"/>
        <v>680.39745512801858</v>
      </c>
      <c r="AM135" s="59">
        <f t="shared" si="113"/>
        <v>973.73078846135195</v>
      </c>
      <c r="AN135" s="59">
        <f ca="1">AVERAGE(OFFSET($AM$3,0,0,'Données projet'!$E$10+1,1))-AVERAGE(OFFSET($H$3,0,0,'Données projet'!$E$10+1,1))</f>
        <v>483.45320081988984</v>
      </c>
      <c r="AO135" s="59">
        <f t="shared" si="144"/>
        <v>238.92443174298893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29.847861528911611</v>
      </c>
      <c r="AV135" s="21">
        <f>EXP(-LN(2)/25)*AV134+(1-EXP(-LN(2)/25))/(LN(2)/25)*Calculateur!AQ135*Calculateur!AS135*VLOOKUP('Données projet'!$B$10,Paramètres!$A$1:$I$89,3,0)*0.475*44/12</f>
        <v>15.192313271172926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45.040174800084536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1.7053025658242404E-13</v>
      </c>
      <c r="BE135" s="13">
        <f>BD135*VLOOKUP('Données projet'!$B$11,Paramètres!$A$1:$I$89,3,0)*VLOOKUP('Données projet'!$B$11,Paramètres!$A$1:$I$89,5,0)</f>
        <v>1.4897523215040567E-13</v>
      </c>
      <c r="BF135" s="13">
        <f t="shared" si="145"/>
        <v>2.136562777003313E-12</v>
      </c>
      <c r="BG135" s="20">
        <f t="shared" si="115"/>
        <v>3.9806453659427267E-12</v>
      </c>
      <c r="BH135" s="59">
        <f t="shared" si="116"/>
        <v>293.33333333333729</v>
      </c>
      <c r="BI135" s="59">
        <f ca="1">AVERAGE(OFFSET($BH$3,0,0,'Données projet'!$E$11+1,1))-AVERAGE(OFFSET($H$3,0,0,'Données projet'!$E$11+1,1))</f>
        <v>310.44153296396854</v>
      </c>
      <c r="BJ135" s="59">
        <f t="shared" si="146"/>
        <v>388.05195847800502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23.833156709210879</v>
      </c>
      <c r="BQ135" s="21">
        <f>EXP(-LN(2)/25)*BQ134+(1-EXP(-LN(2)/25))/(LN(2)/25)*Calculateur!BL135*Calculateur!BN135*VLOOKUP('Données projet'!$B$11,Paramètres!$A$1:$I$89,3,0)*0.475*44/12</f>
        <v>0.95080995774277177</v>
      </c>
      <c r="BR135" s="21">
        <f>EXP(-LN(2)/2)*BR134+(1-EXP(-LN(2)/2))/(LN(2)/2)*BL135*BO135*VLOOKUP('Données projet'!$B$11,Paramètres!$A$1:$I$89,3,0)*0.475*44/12</f>
        <v>1.918087199615239E-8</v>
      </c>
      <c r="BS135" s="22">
        <f t="shared" si="117"/>
        <v>24.783966686134523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-2.2737367544323206E-13</v>
      </c>
      <c r="BZ135" s="13">
        <f>BY135*VLOOKUP('Données projet'!$B$12,Paramètres!$A$1:$I$89,3,0)*VLOOKUP('Données projet'!$B$12,Paramètres!$A$1:$I$89,5,0)</f>
        <v>-1.2710188457276673E-13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443.34220761968419</v>
      </c>
      <c r="CE135" s="59">
        <f t="shared" si="148"/>
        <v>546.58234447298014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61.136413991434502</v>
      </c>
      <c r="CL135" s="21">
        <f>EXP(-LN(2)/25)*CL134+(1-EXP(-LN(2)/25))/(LN(2)/25)*Calculateur!CG135*Calculateur!CI135*VLOOKUP('Données projet'!$B$12,Paramètres!$A$1:$I$89,3,0)*0.475*44/12</f>
        <v>8.2367484002510505</v>
      </c>
      <c r="CM135" s="21">
        <f>EXP(-LN(2)/2)*CM134+(1-EXP(-LN(2)/2))/(LN(2)/2)*CG135*CJ135*VLOOKUP('Données projet'!$B$12,Paramètres!$A$1:$I$89,3,0)*0.475*44/12</f>
        <v>6.2847408377473644E-10</v>
      </c>
      <c r="CN135" s="22">
        <f t="shared" si="120"/>
        <v>69.373162392314029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>
        <f>CT135*VLOOKUP('Données projet'!$B$13,Paramètres!$A$1:$I$89,3,0)*VLOOKUP('Données projet'!$B$13,Paramètres!$A$1:$I$89,5,0)</f>
        <v>0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214.22606988805535</v>
      </c>
      <c r="CZ135" s="59">
        <f t="shared" si="150"/>
        <v>305.78163836959078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34.303167126049118</v>
      </c>
      <c r="DG135" s="21">
        <f>EXP(-LN(2)/25)*DG134+(1-EXP(-LN(2)/25))/(LN(2)/25)*Calculateur!DB135*Calculateur!DD135*VLOOKUP('Données projet'!$B$13,Paramètres!$A$1:$I$89,3,0)*0.475*44/12</f>
        <v>4.8272917281260348</v>
      </c>
      <c r="DH135" s="21">
        <f>EXP(-LN(2)/2)*DH134+(1-EXP(-LN(2)/2))/(LN(2)/2)*DB135*DE135*VLOOKUP('Données projet'!$B$13,Paramètres!$A$1:$I$89,3,0)*0.475*44/12</f>
        <v>2.746740269111738E-10</v>
      </c>
      <c r="DI135" s="22">
        <f t="shared" si="123"/>
        <v>39.130458854449827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-1.7053025658242404E-13</v>
      </c>
      <c r="DP135" s="17">
        <f>DO135*VLOOKUP('Données projet'!$B$14,Paramètres!$A$1:$I$89,3,0)*VLOOKUP('Données projet'!$B$14,Paramètres!$A$1:$I$89,5,0)</f>
        <v>-1.383341441396624E-13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304.26232113495314</v>
      </c>
      <c r="DU135" s="59">
        <f t="shared" si="152"/>
        <v>297.47246687305056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37.637707939273341</v>
      </c>
      <c r="EB135" s="21">
        <f>EXP(-LN(2)/25)*EB134+(1-EXP(-LN(2)/25))/(LN(2)/25)*Calculateur!DW135*Calculateur!DY135*VLOOKUP('Données projet'!$B$14,Paramètres!$A$1:$I$89,3,0)*0.475*44/12</f>
        <v>0.68377808477529345</v>
      </c>
      <c r="EC135" s="21">
        <f>EXP(-LN(2)/2)*EC134+(1-EXP(-LN(2)/2))/(LN(2)/2)*DW135*DZ135*VLOOKUP('Données projet'!$B$14,Paramètres!$A$1:$I$89,3,0)*0.475*44/12</f>
        <v>6.32242252525446E-7</v>
      </c>
      <c r="ED135" s="22">
        <f t="shared" si="126"/>
        <v>38.321486656290887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-1.7053025658242404E-13</v>
      </c>
      <c r="EK135" s="17">
        <f>EJ135*VLOOKUP('Données projet'!$B$15,Paramètres!$A$1:$I$89,3,0)*VLOOKUP('Données projet'!$B$15,Paramètres!$A$1:$I$89,5,0)</f>
        <v>-1.6493686416652052E-13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355.72173590705142</v>
      </c>
      <c r="EP135" s="59">
        <f t="shared" si="154"/>
        <v>346.30980704469363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36.408610074783262</v>
      </c>
      <c r="EW135" s="21">
        <f>EXP(-LN(2)/25)*EW134+(1-EXP(-LN(2)/25))/(LN(2)/25)*Calculateur!ER135*Calculateur!ET135*VLOOKUP('Données projet'!$B$15,Paramètres!$A$1:$I$89,3,0)*0.475*44/12</f>
        <v>0.66144861176013492</v>
      </c>
      <c r="EX135" s="21">
        <f>EXP(-LN(2)/2)*EX134+(1-EXP(-LN(2)/2))/(LN(2)/2)*ER135*EU135*VLOOKUP('Données projet'!$B$15,Paramètres!$A$1:$I$89,3,0)*0.475*44/12</f>
        <v>7.5382730108802919E-7</v>
      </c>
      <c r="EY135" s="22">
        <f t="shared" si="129"/>
        <v>37.070059440370699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-1.7053025658242404E-13</v>
      </c>
      <c r="FF135" s="17">
        <f>FE135*VLOOKUP('Données projet'!$B$16,Paramètres!$A$1:$I$89,3,0)*VLOOKUP('Données projet'!$B$16,Paramètres!$A$1:$I$89,5,0)</f>
        <v>-1.250327841262333E-13</v>
      </c>
      <c r="FG135" s="13" t="e">
        <f t="shared" si="155"/>
        <v>#NUM!</v>
      </c>
      <c r="FH135" s="20" t="e">
        <f t="shared" si="130"/>
        <v>#NUM!</v>
      </c>
      <c r="FI135" s="59" t="e">
        <f t="shared" si="131"/>
        <v>#NUM!</v>
      </c>
      <c r="FJ135" s="59">
        <f ca="1">AVERAGE(OFFSET($FI$3,0,0,'Données projet'!$E$16+1,1))-AVERAGE(OFFSET($H$3,0,0,'Données projet'!$E$16+1,1))</f>
        <v>278.45534008146865</v>
      </c>
      <c r="FK135" s="59">
        <f t="shared" si="156"/>
        <v>272.97841038165217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27.6000753792712</v>
      </c>
      <c r="FR135" s="21">
        <f>EXP(-LN(2)/25)*FR134+(1-EXP(-LN(2)/25))/(LN(2)/25)*Calculateur!FM135*Calculateur!FO135*VLOOKUP('Données projet'!$B$16,Paramètres!$A$1:$I$89,3,0)*0.475*44/12</f>
        <v>0.50142072181816666</v>
      </c>
      <c r="FS135" s="21">
        <f>EXP(-LN(2)/2)*FS134+(1-EXP(-LN(2)/2))/(LN(2)/2)*FM135*FP135*VLOOKUP('Données projet'!$B$16,Paramètres!$A$1:$I$89,3,0)*0.475*44/12</f>
        <v>5.7144972824415165E-7</v>
      </c>
      <c r="FT135" s="22">
        <f t="shared" si="132"/>
        <v>28.101496672539096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5.75</v>
      </c>
      <c r="N136" s="13">
        <f>IF('Données projet'!$A$36&gt;35,N135+M136-V135,IF(A136&lt;'Données projet'!$A$36,$K$205^A136,IF(A136='Données projet'!$A$36,'Données projet'!$B$36,N135+M136-V135)))</f>
        <v>317.49999999999972</v>
      </c>
      <c r="O136" s="13">
        <f>N136*VLOOKUP('Données projet'!$B$9,Paramètres!$A$1:$I$89,3,0)*VLOOKUP('Données projet'!$B$9,Paramètres!$A$1:$I$89,5,0)</f>
        <v>287.27399999999977</v>
      </c>
      <c r="P136" s="13">
        <f t="shared" si="141"/>
        <v>68.501912166991971</v>
      </c>
      <c r="Q136" s="20">
        <f t="shared" si="108"/>
        <v>619.64304702417724</v>
      </c>
      <c r="R136" s="59">
        <f t="shared" si="109"/>
        <v>912.97638035751061</v>
      </c>
      <c r="S136" s="59">
        <f ca="1">AVERAGE(OFFSET($R$3,0,0,'Données projet'!$E$9+1,1))-AVERAGE(OFFSET($H$3,0,0,'Données projet'!$E$9+1,1))</f>
        <v>436.03161778768742</v>
      </c>
      <c r="T136" s="59">
        <f t="shared" si="142"/>
        <v>217.65884352525285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26.111210212987658</v>
      </c>
      <c r="AA136" s="21">
        <f>EXP(-LN(2)/25)*AA135+(1-EXP(-LN(2)/25))/(LN(2)/25)*Calculateur!V136*Calculateur!X136*VLOOKUP('Données projet'!$B$9,Paramètres!$A$1:$I$89,3,0)*0.475*44/12</f>
        <v>13.185522501829738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39.296732714817395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5.75</v>
      </c>
      <c r="AI136" s="13">
        <f>IF('Données projet'!$A$62&gt;35,AI135+AH136-AQ135,IF(A136&lt;'Données projet'!$A$62,$AF$205^A136,IF(A136='Données projet'!$A$62,'Données projet'!$B$62,AI135+AH136-AQ135)))</f>
        <v>317.49999999999972</v>
      </c>
      <c r="AJ136" s="13">
        <f>AI136*VLOOKUP('Données projet'!$B$10,Paramètres!$A$1:$I$89,3,0)*VLOOKUP('Données projet'!$B$10,Paramètres!$A$1:$I$89,5,0)</f>
        <v>321.94499999999977</v>
      </c>
      <c r="AK136" s="13">
        <f t="shared" si="143"/>
        <v>75.757905901955908</v>
      </c>
      <c r="AL136" s="20">
        <f t="shared" si="112"/>
        <v>692.66589444590602</v>
      </c>
      <c r="AM136" s="59">
        <f t="shared" si="113"/>
        <v>985.99922777923939</v>
      </c>
      <c r="AN136" s="59">
        <f ca="1">AVERAGE(OFFSET($AM$3,0,0,'Données projet'!$E$10+1,1))-AVERAGE(OFFSET($H$3,0,0,'Données projet'!$E$10+1,1))</f>
        <v>483.45320081988984</v>
      </c>
      <c r="AO136" s="59">
        <f t="shared" si="144"/>
        <v>238.92443174298893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29.262563169727553</v>
      </c>
      <c r="AV136" s="21">
        <f>EXP(-LN(2)/25)*AV135+(1-EXP(-LN(2)/25))/(LN(2)/25)*Calculateur!AQ136*Calculateur!AS136*VLOOKUP('Données projet'!$B$10,Paramètres!$A$1:$I$89,3,0)*0.475*44/12</f>
        <v>14.77687866584367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44.039441835571225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1.7053025658242404E-13</v>
      </c>
      <c r="BE136" s="13">
        <f>BD136*VLOOKUP('Données projet'!$B$11,Paramètres!$A$1:$I$89,3,0)*VLOOKUP('Données projet'!$B$11,Paramètres!$A$1:$I$89,5,0)</f>
        <v>1.4897523215040567E-13</v>
      </c>
      <c r="BF136" s="13">
        <f t="shared" si="145"/>
        <v>2.136562777003313E-12</v>
      </c>
      <c r="BG136" s="20">
        <f t="shared" si="115"/>
        <v>3.9806453659427267E-12</v>
      </c>
      <c r="BH136" s="59">
        <f t="shared" si="116"/>
        <v>293.33333333333729</v>
      </c>
      <c r="BI136" s="59">
        <f ca="1">AVERAGE(OFFSET($BH$3,0,0,'Données projet'!$E$11+1,1))-AVERAGE(OFFSET($H$3,0,0,'Données projet'!$E$11+1,1))</f>
        <v>310.44153296396854</v>
      </c>
      <c r="BJ136" s="59">
        <f t="shared" si="146"/>
        <v>388.05195847800502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23.365803042933457</v>
      </c>
      <c r="BQ136" s="21">
        <f>EXP(-LN(2)/25)*BQ135+(1-EXP(-LN(2)/25))/(LN(2)/25)*Calculateur!BL136*Calculateur!BN136*VLOOKUP('Données projet'!$B$11,Paramètres!$A$1:$I$89,3,0)*0.475*44/12</f>
        <v>0.92481000944737313</v>
      </c>
      <c r="BR136" s="21">
        <f>EXP(-LN(2)/2)*BR135+(1-EXP(-LN(2)/2))/(LN(2)/2)*BL136*BO136*VLOOKUP('Données projet'!$B$11,Paramètres!$A$1:$I$89,3,0)*0.475*44/12</f>
        <v>1.3562924657550505E-8</v>
      </c>
      <c r="BS136" s="22">
        <f t="shared" si="117"/>
        <v>24.290613065943756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-2.2737367544323206E-13</v>
      </c>
      <c r="BZ136" s="13">
        <f>BY136*VLOOKUP('Données projet'!$B$12,Paramètres!$A$1:$I$89,3,0)*VLOOKUP('Données projet'!$B$12,Paramètres!$A$1:$I$89,5,0)</f>
        <v>-1.2710188457276673E-13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443.34220761968419</v>
      </c>
      <c r="CE136" s="59">
        <f t="shared" si="148"/>
        <v>546.58234447298014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59.937566202592969</v>
      </c>
      <c r="CL136" s="21">
        <f>EXP(-LN(2)/25)*CL135+(1-EXP(-LN(2)/25))/(LN(2)/25)*Calculateur!CG136*Calculateur!CI136*VLOOKUP('Données projet'!$B$12,Paramètres!$A$1:$I$89,3,0)*0.475*44/12</f>
        <v>8.0115140820944131</v>
      </c>
      <c r="CM136" s="21">
        <f>EXP(-LN(2)/2)*CM135+(1-EXP(-LN(2)/2))/(LN(2)/2)*CG136*CJ136*VLOOKUP('Données projet'!$B$12,Paramètres!$A$1:$I$89,3,0)*0.475*44/12</f>
        <v>4.4439828643711852E-10</v>
      </c>
      <c r="CN136" s="22">
        <f t="shared" si="120"/>
        <v>67.949080285131785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>
        <f>CT136*VLOOKUP('Données projet'!$B$13,Paramètres!$A$1:$I$89,3,0)*VLOOKUP('Données projet'!$B$13,Paramètres!$A$1:$I$89,5,0)</f>
        <v>0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214.22606988805535</v>
      </c>
      <c r="CZ136" s="59">
        <f t="shared" si="150"/>
        <v>305.78163836959078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33.630502941573283</v>
      </c>
      <c r="DG136" s="21">
        <f>EXP(-LN(2)/25)*DG135+(1-EXP(-LN(2)/25))/(LN(2)/25)*Calculateur!DB136*Calculateur!DD136*VLOOKUP('Données projet'!$B$13,Paramètres!$A$1:$I$89,3,0)*0.475*44/12</f>
        <v>4.6952891819641893</v>
      </c>
      <c r="DH136" s="21">
        <f>EXP(-LN(2)/2)*DH135+(1-EXP(-LN(2)/2))/(LN(2)/2)*DB136*DE136*VLOOKUP('Données projet'!$B$13,Paramètres!$A$1:$I$89,3,0)*0.475*44/12</f>
        <v>1.9422386704470724E-10</v>
      </c>
      <c r="DI136" s="22">
        <f t="shared" si="123"/>
        <v>38.325792123731702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-1.7053025658242404E-13</v>
      </c>
      <c r="DP136" s="17">
        <f>DO136*VLOOKUP('Données projet'!$B$14,Paramètres!$A$1:$I$89,3,0)*VLOOKUP('Données projet'!$B$14,Paramètres!$A$1:$I$89,5,0)</f>
        <v>-1.383341441396624E-13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304.26232113495314</v>
      </c>
      <c r="DU136" s="59">
        <f t="shared" si="152"/>
        <v>297.47246687305056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36.899655443319247</v>
      </c>
      <c r="EB136" s="21">
        <f>EXP(-LN(2)/25)*EB135+(1-EXP(-LN(2)/25))/(LN(2)/25)*Calculateur!DW136*Calculateur!DY136*VLOOKUP('Données projet'!$B$14,Paramètres!$A$1:$I$89,3,0)*0.475*44/12</f>
        <v>0.66508013708878633</v>
      </c>
      <c r="EC136" s="21">
        <f>EXP(-LN(2)/2)*EC135+(1-EXP(-LN(2)/2))/(LN(2)/2)*DW136*DZ136*VLOOKUP('Données projet'!$B$14,Paramètres!$A$1:$I$89,3,0)*0.475*44/12</f>
        <v>4.4706278411340047E-7</v>
      </c>
      <c r="ED136" s="22">
        <f t="shared" si="126"/>
        <v>37.564736027470815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-1.7053025658242404E-13</v>
      </c>
      <c r="EK136" s="17">
        <f>EJ136*VLOOKUP('Données projet'!$B$15,Paramètres!$A$1:$I$89,3,0)*VLOOKUP('Données projet'!$B$15,Paramètres!$A$1:$I$89,5,0)</f>
        <v>-1.6493686416652052E-13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355.72173590705142</v>
      </c>
      <c r="EP136" s="59">
        <f t="shared" si="154"/>
        <v>346.30980704469363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35.69465943827614</v>
      </c>
      <c r="EW136" s="21">
        <f>EXP(-LN(2)/25)*EW135+(1-EXP(-LN(2)/25))/(LN(2)/25)*Calculateur!ER136*Calculateur!ET136*VLOOKUP('Données projet'!$B$15,Paramètres!$A$1:$I$89,3,0)*0.475*44/12</f>
        <v>0.64336126468748334</v>
      </c>
      <c r="EX136" s="21">
        <f>EXP(-LN(2)/2)*EX135+(1-EXP(-LN(2)/2))/(LN(2)/2)*ER136*EU136*VLOOKUP('Données projet'!$B$15,Paramètres!$A$1:$I$89,3,0)*0.475*44/12</f>
        <v>5.3303639644289872E-7</v>
      </c>
      <c r="EY136" s="22">
        <f t="shared" si="129"/>
        <v>36.338021236000024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-1.7053025658242404E-13</v>
      </c>
      <c r="FF136" s="17">
        <f>FE136*VLOOKUP('Données projet'!$B$16,Paramètres!$A$1:$I$89,3,0)*VLOOKUP('Données projet'!$B$16,Paramètres!$A$1:$I$89,5,0)</f>
        <v>-1.250327841262333E-13</v>
      </c>
      <c r="FG136" s="13" t="e">
        <f t="shared" si="155"/>
        <v>#NUM!</v>
      </c>
      <c r="FH136" s="20" t="e">
        <f t="shared" si="130"/>
        <v>#NUM!</v>
      </c>
      <c r="FI136" s="59" t="e">
        <f t="shared" si="131"/>
        <v>#NUM!</v>
      </c>
      <c r="FJ136" s="59">
        <f ca="1">AVERAGE(OFFSET($FI$3,0,0,'Données projet'!$E$16+1,1))-AVERAGE(OFFSET($H$3,0,0,'Données projet'!$E$16+1,1))</f>
        <v>278.45534008146865</v>
      </c>
      <c r="FK136" s="59">
        <f t="shared" si="156"/>
        <v>272.97841038165217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27.058854735467417</v>
      </c>
      <c r="FR136" s="21">
        <f>EXP(-LN(2)/25)*FR135+(1-EXP(-LN(2)/25))/(LN(2)/25)*Calculateur!FM136*Calculateur!FO136*VLOOKUP('Données projet'!$B$16,Paramètres!$A$1:$I$89,3,0)*0.475*44/12</f>
        <v>0.48770934581147912</v>
      </c>
      <c r="FS136" s="21">
        <f>EXP(-LN(2)/2)*FS135+(1-EXP(-LN(2)/2))/(LN(2)/2)*FM136*FP136*VLOOKUP('Données projet'!$B$16,Paramètres!$A$1:$I$89,3,0)*0.475*44/12</f>
        <v>4.0407597794864939E-7</v>
      </c>
      <c r="FT136" s="22">
        <f t="shared" si="132"/>
        <v>27.546564485354871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5.75</v>
      </c>
      <c r="N137" s="13">
        <f>IF('Données projet'!$A$36&gt;35,N136+M137-V136,IF(A137&lt;'Données projet'!$A$36,$K$205^A137,IF(A137='Données projet'!$A$36,'Données projet'!$B$36,N136+M137-V136)))</f>
        <v>323.24999999999972</v>
      </c>
      <c r="O137" s="13">
        <f>N137*VLOOKUP('Données projet'!$B$9,Paramètres!$A$1:$I$89,3,0)*VLOOKUP('Données projet'!$B$9,Paramètres!$A$1:$I$89,5,0)</f>
        <v>292.47659999999973</v>
      </c>
      <c r="P137" s="13">
        <f t="shared" si="141"/>
        <v>69.596946109707375</v>
      </c>
      <c r="Q137" s="20">
        <f t="shared" si="108"/>
        <v>630.61142614107314</v>
      </c>
      <c r="R137" s="59">
        <f t="shared" si="109"/>
        <v>923.94475947440651</v>
      </c>
      <c r="S137" s="59">
        <f ca="1">AVERAGE(OFFSET($R$3,0,0,'Données projet'!$E$9+1,1))-AVERAGE(OFFSET($H$3,0,0,'Données projet'!$E$9+1,1))</f>
        <v>436.03161778768742</v>
      </c>
      <c r="T137" s="59">
        <f t="shared" si="142"/>
        <v>217.65884352525285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25.599185306976612</v>
      </c>
      <c r="AA137" s="21">
        <f>EXP(-LN(2)/25)*AA136+(1-EXP(-LN(2)/25))/(LN(2)/25)*Calculateur!V137*Calculateur!X137*VLOOKUP('Données projet'!$B$9,Paramètres!$A$1:$I$89,3,0)*0.475*44/12</f>
        <v>12.824963695620712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38.424149002597325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5.75</v>
      </c>
      <c r="AI137" s="13">
        <f>IF('Données projet'!$A$62&gt;35,AI136+AH137-AQ136,IF(A137&lt;'Données projet'!$A$62,$AF$205^A137,IF(A137='Données projet'!$A$62,'Données projet'!$B$62,AI136+AH137-AQ136)))</f>
        <v>323.24999999999972</v>
      </c>
      <c r="AJ137" s="13">
        <f>AI137*VLOOKUP('Données projet'!$B$10,Paramètres!$A$1:$I$89,3,0)*VLOOKUP('Données projet'!$B$10,Paramètres!$A$1:$I$89,5,0)</f>
        <v>327.77549999999974</v>
      </c>
      <c r="AK137" s="13">
        <f t="shared" si="143"/>
        <v>76.968930175109847</v>
      </c>
      <c r="AL137" s="20">
        <f t="shared" si="112"/>
        <v>704.92988255498256</v>
      </c>
      <c r="AM137" s="59">
        <f t="shared" si="113"/>
        <v>998.26321588831593</v>
      </c>
      <c r="AN137" s="59">
        <f ca="1">AVERAGE(OFFSET($AM$3,0,0,'Données projet'!$E$10+1,1))-AVERAGE(OFFSET($H$3,0,0,'Données projet'!$E$10+1,1))</f>
        <v>483.45320081988984</v>
      </c>
      <c r="AO137" s="59">
        <f t="shared" si="144"/>
        <v>238.92443174298893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28.688742154370345</v>
      </c>
      <c r="AV137" s="21">
        <f>EXP(-LN(2)/25)*AV136+(1-EXP(-LN(2)/25))/(LN(2)/25)*Calculateur!AQ137*Calculateur!AS137*VLOOKUP('Données projet'!$B$10,Paramètres!$A$1:$I$89,3,0)*0.475*44/12</f>
        <v>14.372804141643899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43.061546296014242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1.7053025658242404E-13</v>
      </c>
      <c r="BE137" s="13">
        <f>BD137*VLOOKUP('Données projet'!$B$11,Paramètres!$A$1:$I$89,3,0)*VLOOKUP('Données projet'!$B$11,Paramètres!$A$1:$I$89,5,0)</f>
        <v>1.4897523215040567E-13</v>
      </c>
      <c r="BF137" s="13">
        <f t="shared" si="145"/>
        <v>2.136562777003313E-12</v>
      </c>
      <c r="BG137" s="20">
        <f t="shared" si="115"/>
        <v>3.9806453659427267E-12</v>
      </c>
      <c r="BH137" s="59">
        <f t="shared" si="116"/>
        <v>293.33333333333729</v>
      </c>
      <c r="BI137" s="59">
        <f ca="1">AVERAGE(OFFSET($BH$3,0,0,'Données projet'!$E$11+1,1))-AVERAGE(OFFSET($H$3,0,0,'Données projet'!$E$11+1,1))</f>
        <v>310.44153296396854</v>
      </c>
      <c r="BJ137" s="59">
        <f t="shared" si="146"/>
        <v>388.05195847800502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22.907613896994146</v>
      </c>
      <c r="BQ137" s="21">
        <f>EXP(-LN(2)/25)*BQ136+(1-EXP(-LN(2)/25))/(LN(2)/25)*Calculateur!BL137*Calculateur!BN137*VLOOKUP('Données projet'!$B$11,Paramètres!$A$1:$I$89,3,0)*0.475*44/12</f>
        <v>0.89952103110538995</v>
      </c>
      <c r="BR137" s="21">
        <f>EXP(-LN(2)/2)*BR136+(1-EXP(-LN(2)/2))/(LN(2)/2)*BL137*BO137*VLOOKUP('Données projet'!$B$11,Paramètres!$A$1:$I$89,3,0)*0.475*44/12</f>
        <v>9.5904359980761948E-9</v>
      </c>
      <c r="BS137" s="22">
        <f t="shared" si="117"/>
        <v>23.807134937689973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-2.2737367544323206E-13</v>
      </c>
      <c r="BZ137" s="13">
        <f>BY137*VLOOKUP('Données projet'!$B$12,Paramètres!$A$1:$I$89,3,0)*VLOOKUP('Données projet'!$B$12,Paramètres!$A$1:$I$89,5,0)</f>
        <v>-1.2710188457276673E-13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443.34220761968419</v>
      </c>
      <c r="CE137" s="59">
        <f t="shared" si="148"/>
        <v>546.58234447298014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58.762227087665671</v>
      </c>
      <c r="CL137" s="21">
        <f>EXP(-LN(2)/25)*CL136+(1-EXP(-LN(2)/25))/(LN(2)/25)*Calculateur!CG137*Calculateur!CI137*VLOOKUP('Données projet'!$B$12,Paramètres!$A$1:$I$89,3,0)*0.475*44/12</f>
        <v>7.7924388082123262</v>
      </c>
      <c r="CM137" s="21">
        <f>EXP(-LN(2)/2)*CM136+(1-EXP(-LN(2)/2))/(LN(2)/2)*CG137*CJ137*VLOOKUP('Données projet'!$B$12,Paramètres!$A$1:$I$89,3,0)*0.475*44/12</f>
        <v>3.1423704188736827E-10</v>
      </c>
      <c r="CN137" s="22">
        <f t="shared" si="120"/>
        <v>66.554665896192233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>
        <f>CT137*VLOOKUP('Données projet'!$B$13,Paramètres!$A$1:$I$89,3,0)*VLOOKUP('Données projet'!$B$13,Paramètres!$A$1:$I$89,5,0)</f>
        <v>0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214.22606988805535</v>
      </c>
      <c r="CZ137" s="59">
        <f t="shared" si="150"/>
        <v>305.78163836959078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32.971029291470373</v>
      </c>
      <c r="DG137" s="21">
        <f>EXP(-LN(2)/25)*DG136+(1-EXP(-LN(2)/25))/(LN(2)/25)*Calculateur!DB137*Calculateur!DD137*VLOOKUP('Données projet'!$B$13,Paramètres!$A$1:$I$89,3,0)*0.475*44/12</f>
        <v>4.5668962523688519</v>
      </c>
      <c r="DH137" s="21">
        <f>EXP(-LN(2)/2)*DH136+(1-EXP(-LN(2)/2))/(LN(2)/2)*DB137*DE137*VLOOKUP('Données projet'!$B$13,Paramètres!$A$1:$I$89,3,0)*0.475*44/12</f>
        <v>1.373370134555869E-10</v>
      </c>
      <c r="DI137" s="22">
        <f t="shared" si="123"/>
        <v>37.537925543976556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-1.7053025658242404E-13</v>
      </c>
      <c r="DP137" s="17">
        <f>DO137*VLOOKUP('Données projet'!$B$14,Paramètres!$A$1:$I$89,3,0)*VLOOKUP('Données projet'!$B$14,Paramètres!$A$1:$I$89,5,0)</f>
        <v>-1.383341441396624E-13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304.26232113495314</v>
      </c>
      <c r="DU137" s="59">
        <f t="shared" si="152"/>
        <v>297.47246687305056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36.176075706643239</v>
      </c>
      <c r="EB137" s="21">
        <f>EXP(-LN(2)/25)*EB136+(1-EXP(-LN(2)/25))/(LN(2)/25)*Calculateur!DW137*Calculateur!DY137*VLOOKUP('Données projet'!$B$14,Paramètres!$A$1:$I$89,3,0)*0.475*44/12</f>
        <v>0.64689348576504913</v>
      </c>
      <c r="EC137" s="21">
        <f>EXP(-LN(2)/2)*EC136+(1-EXP(-LN(2)/2))/(LN(2)/2)*DW137*DZ137*VLOOKUP('Données projet'!$B$14,Paramètres!$A$1:$I$89,3,0)*0.475*44/12</f>
        <v>3.16121126262723E-7</v>
      </c>
      <c r="ED137" s="22">
        <f t="shared" si="126"/>
        <v>36.822969508529411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-1.7053025658242404E-13</v>
      </c>
      <c r="EK137" s="17">
        <f>EJ137*VLOOKUP('Données projet'!$B$15,Paramètres!$A$1:$I$89,3,0)*VLOOKUP('Données projet'!$B$15,Paramètres!$A$1:$I$89,5,0)</f>
        <v>-1.6493686416652052E-13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355.72173590705142</v>
      </c>
      <c r="EP137" s="59">
        <f t="shared" si="154"/>
        <v>346.30980704469363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34.994708938284035</v>
      </c>
      <c r="EW137" s="21">
        <f>EXP(-LN(2)/25)*EW136+(1-EXP(-LN(2)/25))/(LN(2)/25)*Calculateur!ER137*Calculateur!ET137*VLOOKUP('Données projet'!$B$15,Paramètres!$A$1:$I$89,3,0)*0.475*44/12</f>
        <v>0.62576851707170567</v>
      </c>
      <c r="EX137" s="21">
        <f>EXP(-LN(2)/2)*EX136+(1-EXP(-LN(2)/2))/(LN(2)/2)*ER137*EU137*VLOOKUP('Données projet'!$B$15,Paramètres!$A$1:$I$89,3,0)*0.475*44/12</f>
        <v>3.769136505440146E-7</v>
      </c>
      <c r="EY137" s="22">
        <f t="shared" si="129"/>
        <v>35.620477832269394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-1.7053025658242404E-13</v>
      </c>
      <c r="FF137" s="17">
        <f>FE137*VLOOKUP('Données projet'!$B$16,Paramètres!$A$1:$I$89,3,0)*VLOOKUP('Données projet'!$B$16,Paramètres!$A$1:$I$89,5,0)</f>
        <v>-1.250327841262333E-13</v>
      </c>
      <c r="FG137" s="13" t="e">
        <f t="shared" si="155"/>
        <v>#NUM!</v>
      </c>
      <c r="FH137" s="20" t="e">
        <f t="shared" si="130"/>
        <v>#NUM!</v>
      </c>
      <c r="FI137" s="59" t="e">
        <f t="shared" si="131"/>
        <v>#NUM!</v>
      </c>
      <c r="FJ137" s="59">
        <f ca="1">AVERAGE(OFFSET($FI$3,0,0,'Données projet'!$E$16+1,1))-AVERAGE(OFFSET($H$3,0,0,'Données projet'!$E$16+1,1))</f>
        <v>278.45534008146865</v>
      </c>
      <c r="FK137" s="59">
        <f t="shared" si="156"/>
        <v>272.97841038165217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26.528247098376628</v>
      </c>
      <c r="FR137" s="21">
        <f>EXP(-LN(2)/25)*FR136+(1-EXP(-LN(2)/25))/(LN(2)/25)*Calculateur!FM137*Calculateur!FO137*VLOOKUP('Données projet'!$B$16,Paramètres!$A$1:$I$89,3,0)*0.475*44/12</f>
        <v>0.47437290810274441</v>
      </c>
      <c r="FS137" s="21">
        <f>EXP(-LN(2)/2)*FS136+(1-EXP(-LN(2)/2))/(LN(2)/2)*FM137*FP137*VLOOKUP('Données projet'!$B$16,Paramètres!$A$1:$I$89,3,0)*0.475*44/12</f>
        <v>2.8572486412207583E-7</v>
      </c>
      <c r="FT137" s="22">
        <f t="shared" si="132"/>
        <v>27.002620292204234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>
        <f>VLOOKUP(A138,'Données projet'!$A$35:$I$55,2,0)</f>
        <v>329</v>
      </c>
      <c r="L138" s="12">
        <f>VLOOKUP(A138,'Données projet'!$A$35:$I$55,9,0)</f>
        <v>5.75</v>
      </c>
      <c r="M138" s="12">
        <f t="array" ref="M138">INDEX(L:L,MIN(IF(ISNUMBER(L138:L334),ROW(L138:L334),"")))</f>
        <v>5.75</v>
      </c>
      <c r="N138" s="13">
        <f>IF('Données projet'!$A$36&gt;35,N137+M138-V137,IF(A138&lt;'Données projet'!$A$36,$K$205^A138,IF(A138='Données projet'!$A$36,'Données projet'!$B$36,N137+M138-V137)))</f>
        <v>328.99999999999972</v>
      </c>
      <c r="O138" s="13">
        <f>N138*VLOOKUP('Données projet'!$B$9,Paramètres!$A$1:$I$89,3,0)*VLOOKUP('Données projet'!$B$9,Paramètres!$A$1:$I$89,5,0)</f>
        <v>297.67919999999975</v>
      </c>
      <c r="P138" s="13">
        <f t="shared" si="141"/>
        <v>70.689714967168072</v>
      </c>
      <c r="Q138" s="20">
        <f t="shared" si="108"/>
        <v>641.57586023448391</v>
      </c>
      <c r="R138" s="59">
        <f t="shared" si="109"/>
        <v>934.90919356781728</v>
      </c>
      <c r="S138" s="59">
        <f ca="1">AVERAGE(OFFSET($R$3,0,0,'Données projet'!$E$9+1,1))-AVERAGE(OFFSET($H$3,0,0,'Données projet'!$E$9+1,1))</f>
        <v>436.03161778768742</v>
      </c>
      <c r="T138" s="59">
        <f t="shared" si="142"/>
        <v>217.65884352525285</v>
      </c>
      <c r="U138" s="15">
        <f>IF(ISNA(VLOOKUP(A138,'Données projet'!$A$35:$I$55,3,0)),0,VLOOKUP(A138,'Données projet'!$A$35:$I$55,3,0))</f>
        <v>11</v>
      </c>
      <c r="V138" s="15">
        <f>IF(ISNA(VLOOKUP(A138,'Données projet'!$A$35:$I$55,4,0)),0,VLOOKUP(A138,'Données projet'!$A$35:$I$55,4,0))</f>
        <v>48</v>
      </c>
      <c r="W138" s="16">
        <f>IF(ISNA(VLOOKUP(A138,'Données projet'!$A$35:$I$55,5,0)),0%,VLOOKUP(A138,'Données projet'!$A$35:$I$55,5,0)*VLOOKUP('Données projet'!$B$9,Paramètres!$A$1:$I$89,7,0))</f>
        <v>0.30099999999999999</v>
      </c>
      <c r="X138" s="16">
        <f>IF(ISNA(VLOOKUP(A138,'Données projet'!$A$35:$I$55,6,0)),0%,VLOOKUP(A138,'Données projet'!$A$35:$I$55,6,0)*VLOOKUP('Données projet'!$B$9,Paramètres!$A$1:$I$89,7,0))</f>
        <v>4.3000000000000003E-2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39.548518149219703</v>
      </c>
      <c r="AA138" s="21">
        <f>EXP(-LN(2)/25)*AA137+(1-EXP(-LN(2)/25))/(LN(2)/25)*Calculateur!V138*Calculateur!X138*VLOOKUP('Données projet'!$B$9,Paramètres!$A$1:$I$89,3,0)*0.475*44/12</f>
        <v>14.530609661749338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54.079127810969041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>
        <f>VLOOKUP(A138,'Données projet'!$A$61:$I$81,2,0)</f>
        <v>329</v>
      </c>
      <c r="AG138" s="12">
        <f>VLOOKUP(A138,'Données projet'!$A$61:$I$81,9,0)</f>
        <v>5.75</v>
      </c>
      <c r="AH138" s="12">
        <f t="array" ref="AH138">INDEX(AG:AG,MIN(IF(ISNUMBER(AG138:AG334),ROW(AG138:AG334),"")))</f>
        <v>5.75</v>
      </c>
      <c r="AI138" s="13">
        <f>IF('Données projet'!$A$62&gt;35,AI137+AH138-AQ137,IF(A138&lt;'Données projet'!$A$62,$AF$205^A138,IF(A138='Données projet'!$A$62,'Données projet'!$B$62,AI137+AH138-AQ137)))</f>
        <v>328.99999999999972</v>
      </c>
      <c r="AJ138" s="13">
        <f>AI138*VLOOKUP('Données projet'!$B$10,Paramètres!$A$1:$I$89,3,0)*VLOOKUP('Données projet'!$B$10,Paramètres!$A$1:$I$89,5,0)</f>
        <v>333.60599999999971</v>
      </c>
      <c r="AK138" s="13">
        <f t="shared" si="143"/>
        <v>78.177449436211305</v>
      </c>
      <c r="AL138" s="20">
        <f t="shared" si="112"/>
        <v>717.18950776806741</v>
      </c>
      <c r="AM138" s="59">
        <f t="shared" si="113"/>
        <v>1010.5228411014007</v>
      </c>
      <c r="AN138" s="59">
        <f ca="1">AVERAGE(OFFSET($AM$3,0,0,'Données projet'!$E$10+1,1))-AVERAGE(OFFSET($H$3,0,0,'Données projet'!$E$10+1,1))</f>
        <v>483.45320081988984</v>
      </c>
      <c r="AO138" s="59">
        <f t="shared" si="144"/>
        <v>238.92443174298893</v>
      </c>
      <c r="AP138" s="15">
        <f>IF(ISNA(VLOOKUP(A138,'Données projet'!$A$61:$I$81,3,0)),0,VLOOKUP(A138,'Données projet'!$A$61:$I$81,3,0))</f>
        <v>11</v>
      </c>
      <c r="AQ138" s="15">
        <f>IF(ISNA(VLOOKUP(A138,'Données projet'!$A$61:$I$81,4,0)),0,VLOOKUP(A138,'Données projet'!$A$61:$I$81,4,0))</f>
        <v>48</v>
      </c>
      <c r="AR138" s="16">
        <f>IF(ISNA(VLOOKUP(A138,'Données projet'!$A$61:$I$81,5,0)),0%,VLOOKUP(A138,'Données projet'!$A$61:$I$81,5,0)*VLOOKUP('Données projet'!$B$10,Paramètres!$A$1:$I$89,7,0))</f>
        <v>0.30099999999999999</v>
      </c>
      <c r="AS138" s="16">
        <f>IF(ISNA(VLOOKUP(A138,'Données projet'!$A$61:$I$81,6,0)),0%,VLOOKUP(A138,'Données projet'!$A$61:$I$81,6,0)*VLOOKUP('Données projet'!$B$10,Paramètres!$A$1:$I$89,7,0))</f>
        <v>4.3000000000000003E-2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44.321615167228991</v>
      </c>
      <c r="AV138" s="21">
        <f>EXP(-LN(2)/25)*AV137+(1-EXP(-LN(2)/25))/(LN(2)/25)*Calculateur!AQ138*Calculateur!AS138*VLOOKUP('Données projet'!$B$10,Paramètres!$A$1:$I$89,3,0)*0.475*44/12</f>
        <v>16.284303931270809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60.605919098499797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1.7053025658242404E-13</v>
      </c>
      <c r="BE138" s="13">
        <f>BD138*VLOOKUP('Données projet'!$B$11,Paramètres!$A$1:$I$89,3,0)*VLOOKUP('Données projet'!$B$11,Paramètres!$A$1:$I$89,5,0)</f>
        <v>1.4897523215040567E-13</v>
      </c>
      <c r="BF138" s="13">
        <f t="shared" si="145"/>
        <v>2.136562777003313E-12</v>
      </c>
      <c r="BG138" s="20">
        <f t="shared" si="115"/>
        <v>3.9806453659427267E-12</v>
      </c>
      <c r="BH138" s="59">
        <f t="shared" si="116"/>
        <v>293.33333333333729</v>
      </c>
      <c r="BI138" s="59">
        <f ca="1">AVERAGE(OFFSET($BH$3,0,0,'Données projet'!$E$11+1,1))-AVERAGE(OFFSET($H$3,0,0,'Données projet'!$E$11+1,1))</f>
        <v>310.44153296396854</v>
      </c>
      <c r="BJ138" s="59">
        <f t="shared" si="146"/>
        <v>388.05195847800502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22.458409560738922</v>
      </c>
      <c r="BQ138" s="21">
        <f>EXP(-LN(2)/25)*BQ137+(1-EXP(-LN(2)/25))/(LN(2)/25)*Calculateur!BL138*Calculateur!BN138*VLOOKUP('Données projet'!$B$11,Paramètres!$A$1:$I$89,3,0)*0.475*44/12</f>
        <v>0.87492358120605795</v>
      </c>
      <c r="BR138" s="21">
        <f>EXP(-LN(2)/2)*BR137+(1-EXP(-LN(2)/2))/(LN(2)/2)*BL138*BO138*VLOOKUP('Données projet'!$B$11,Paramètres!$A$1:$I$89,3,0)*0.475*44/12</f>
        <v>6.7814623287752525E-9</v>
      </c>
      <c r="BS138" s="22">
        <f t="shared" si="117"/>
        <v>23.333333148726442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-2.2737367544323206E-13</v>
      </c>
      <c r="BZ138" s="13">
        <f>BY138*VLOOKUP('Données projet'!$B$12,Paramètres!$A$1:$I$89,3,0)*VLOOKUP('Données projet'!$B$12,Paramètres!$A$1:$I$89,5,0)</f>
        <v>-1.2710188457276673E-13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443.34220761968419</v>
      </c>
      <c r="CE138" s="59">
        <f t="shared" si="148"/>
        <v>546.58234447298014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57.609935655896024</v>
      </c>
      <c r="CL138" s="21">
        <f>EXP(-LN(2)/25)*CL137+(1-EXP(-LN(2)/25))/(LN(2)/25)*Calculateur!CG138*Calculateur!CI138*VLOOKUP('Données projet'!$B$12,Paramètres!$A$1:$I$89,3,0)*0.475*44/12</f>
        <v>7.5793541592152129</v>
      </c>
      <c r="CM138" s="21">
        <f>EXP(-LN(2)/2)*CM137+(1-EXP(-LN(2)/2))/(LN(2)/2)*CG138*CJ138*VLOOKUP('Données projet'!$B$12,Paramètres!$A$1:$I$89,3,0)*0.475*44/12</f>
        <v>2.2219914321855931E-10</v>
      </c>
      <c r="CN138" s="22">
        <f t="shared" si="120"/>
        <v>65.189289815333439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>
        <f>CT138*VLOOKUP('Données projet'!$B$13,Paramètres!$A$1:$I$89,3,0)*VLOOKUP('Données projet'!$B$13,Paramètres!$A$1:$I$89,5,0)</f>
        <v>0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214.22606988805535</v>
      </c>
      <c r="CZ138" s="59">
        <f t="shared" si="150"/>
        <v>305.78163836959078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32.324487517406773</v>
      </c>
      <c r="DG138" s="21">
        <f>EXP(-LN(2)/25)*DG137+(1-EXP(-LN(2)/25))/(LN(2)/25)*Calculateur!DB138*Calculateur!DD138*VLOOKUP('Données projet'!$B$13,Paramètres!$A$1:$I$89,3,0)*0.475*44/12</f>
        <v>4.4420142341851898</v>
      </c>
      <c r="DH138" s="21">
        <f>EXP(-LN(2)/2)*DH137+(1-EXP(-LN(2)/2))/(LN(2)/2)*DB138*DE138*VLOOKUP('Données projet'!$B$13,Paramètres!$A$1:$I$89,3,0)*0.475*44/12</f>
        <v>9.7111933522353622E-11</v>
      </c>
      <c r="DI138" s="22">
        <f t="shared" si="123"/>
        <v>36.76650175168907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-1.7053025658242404E-13</v>
      </c>
      <c r="DP138" s="17">
        <f>DO138*VLOOKUP('Données projet'!$B$14,Paramètres!$A$1:$I$89,3,0)*VLOOKUP('Données projet'!$B$14,Paramètres!$A$1:$I$89,5,0)</f>
        <v>-1.383341441396624E-13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304.26232113495314</v>
      </c>
      <c r="DU138" s="59">
        <f t="shared" si="152"/>
        <v>297.47246687305056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35.466684927263387</v>
      </c>
      <c r="EB138" s="21">
        <f>EXP(-LN(2)/25)*EB137+(1-EXP(-LN(2)/25))/(LN(2)/25)*Calculateur!DW138*Calculateur!DY138*VLOOKUP('Données projet'!$B$14,Paramètres!$A$1:$I$89,3,0)*0.475*44/12</f>
        <v>0.62920414937815394</v>
      </c>
      <c r="EC138" s="21">
        <f>EXP(-LN(2)/2)*EC137+(1-EXP(-LN(2)/2))/(LN(2)/2)*DW138*DZ138*VLOOKUP('Données projet'!$B$14,Paramètres!$A$1:$I$89,3,0)*0.475*44/12</f>
        <v>2.2353139205670024E-7</v>
      </c>
      <c r="ED138" s="22">
        <f t="shared" si="126"/>
        <v>36.095889300172935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-1.7053025658242404E-13</v>
      </c>
      <c r="EK138" s="17">
        <f>EJ138*VLOOKUP('Données projet'!$B$15,Paramètres!$A$1:$I$89,3,0)*VLOOKUP('Données projet'!$B$15,Paramètres!$A$1:$I$89,5,0)</f>
        <v>-1.6493686416652052E-13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355.72173590705142</v>
      </c>
      <c r="EP138" s="59">
        <f t="shared" si="154"/>
        <v>346.30980704469363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34.308484040669128</v>
      </c>
      <c r="EW138" s="21">
        <f>EXP(-LN(2)/25)*EW137+(1-EXP(-LN(2)/25))/(LN(2)/25)*Calculateur!ER138*Calculateur!ET138*VLOOKUP('Données projet'!$B$15,Paramètres!$A$1:$I$89,3,0)*0.475*44/12</f>
        <v>0.60865684406464382</v>
      </c>
      <c r="EX138" s="21">
        <f>EXP(-LN(2)/2)*EX137+(1-EXP(-LN(2)/2))/(LN(2)/2)*ER138*EU138*VLOOKUP('Données projet'!$B$15,Paramètres!$A$1:$I$89,3,0)*0.475*44/12</f>
        <v>2.6651819822144936E-7</v>
      </c>
      <c r="EY138" s="22">
        <f t="shared" si="129"/>
        <v>34.917141151251968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-1.7053025658242404E-13</v>
      </c>
      <c r="FF138" s="17">
        <f>FE138*VLOOKUP('Données projet'!$B$16,Paramètres!$A$1:$I$89,3,0)*VLOOKUP('Données projet'!$B$16,Paramètres!$A$1:$I$89,5,0)</f>
        <v>-1.250327841262333E-13</v>
      </c>
      <c r="FG138" s="13" t="e">
        <f t="shared" si="155"/>
        <v>#NUM!</v>
      </c>
      <c r="FH138" s="20" t="e">
        <f t="shared" si="130"/>
        <v>#NUM!</v>
      </c>
      <c r="FI138" s="59" t="e">
        <f t="shared" si="131"/>
        <v>#NUM!</v>
      </c>
      <c r="FJ138" s="59">
        <f ca="1">AVERAGE(OFFSET($FI$3,0,0,'Données projet'!$E$16+1,1))-AVERAGE(OFFSET($H$3,0,0,'Données projet'!$E$16+1,1))</f>
        <v>278.45534008146865</v>
      </c>
      <c r="FK138" s="59">
        <f t="shared" si="156"/>
        <v>272.97841038165217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26.008044353410487</v>
      </c>
      <c r="FR138" s="21">
        <f>EXP(-LN(2)/25)*FR137+(1-EXP(-LN(2)/25))/(LN(2)/25)*Calculateur!FM138*Calculateur!FO138*VLOOKUP('Données projet'!$B$16,Paramètres!$A$1:$I$89,3,0)*0.475*44/12</f>
        <v>0.46140115598448783</v>
      </c>
      <c r="FS138" s="21">
        <f>EXP(-LN(2)/2)*FS137+(1-EXP(-LN(2)/2))/(LN(2)/2)*FM138*FP138*VLOOKUP('Données projet'!$B$16,Paramètres!$A$1:$I$89,3,0)*0.475*44/12</f>
        <v>2.020379889743247E-7</v>
      </c>
      <c r="FT138" s="22">
        <f t="shared" si="132"/>
        <v>26.469445711432961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5.833333333333333</v>
      </c>
      <c r="N139" s="13">
        <f>IF('Données projet'!$A$36&gt;35,N138+M139-V138,IF(A139&lt;'Données projet'!$A$36,$K$205^A139,IF(A139='Données projet'!$A$36,'Données projet'!$B$36,N138+M139-V138)))</f>
        <v>286.83333333333303</v>
      </c>
      <c r="O139" s="13">
        <f>N139*VLOOKUP('Données projet'!$B$9,Paramètres!$A$1:$I$89,3,0)*VLOOKUP('Données projet'!$B$9,Paramètres!$A$1:$I$89,5,0)</f>
        <v>259.5267999999997</v>
      </c>
      <c r="P139" s="13">
        <f t="shared" si="141"/>
        <v>62.621500147115839</v>
      </c>
      <c r="Q139" s="20">
        <f t="shared" si="108"/>
        <v>561.07495608955958</v>
      </c>
      <c r="R139" s="59">
        <f t="shared" si="109"/>
        <v>854.40828942289295</v>
      </c>
      <c r="S139" s="59">
        <f ca="1">AVERAGE(OFFSET($R$3,0,0,'Données projet'!$E$9+1,1))-AVERAGE(OFFSET($H$3,0,0,'Données projet'!$E$9+1,1))</f>
        <v>436.03161778768742</v>
      </c>
      <c r="T139" s="59">
        <f t="shared" si="142"/>
        <v>217.65884352525285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38.772995830527705</v>
      </c>
      <c r="AA139" s="21">
        <f>EXP(-LN(2)/25)*AA138+(1-EXP(-LN(2)/25))/(LN(2)/25)*Calculateur!V139*Calculateur!X139*VLOOKUP('Données projet'!$B$9,Paramètres!$A$1:$I$89,3,0)*0.475*44/12</f>
        <v>14.13326937641725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52.906265206944951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5.833333333333333</v>
      </c>
      <c r="AI139" s="13">
        <f>IF('Données projet'!$A$62&gt;35,AI138+AH139-AQ138,IF(A139&lt;'Données projet'!$A$62,$AF$205^A139,IF(A139='Données projet'!$A$62,'Données projet'!$B$62,AI138+AH139-AQ138)))</f>
        <v>286.83333333333303</v>
      </c>
      <c r="AJ139" s="13">
        <f>AI139*VLOOKUP('Données projet'!$B$10,Paramètres!$A$1:$I$89,3,0)*VLOOKUP('Données projet'!$B$10,Paramètres!$A$1:$I$89,5,0)</f>
        <v>290.84899999999971</v>
      </c>
      <c r="AK139" s="13">
        <f t="shared" si="143"/>
        <v>69.254617360454972</v>
      </c>
      <c r="AL139" s="20">
        <f t="shared" si="112"/>
        <v>627.18046690279186</v>
      </c>
      <c r="AM139" s="59">
        <f t="shared" si="113"/>
        <v>920.51380023612523</v>
      </c>
      <c r="AN139" s="59">
        <f ca="1">AVERAGE(OFFSET($AM$3,0,0,'Données projet'!$E$10+1,1))-AVERAGE(OFFSET($H$3,0,0,'Données projet'!$E$10+1,1))</f>
        <v>483.45320081988984</v>
      </c>
      <c r="AO139" s="59">
        <f t="shared" si="144"/>
        <v>238.92443174298893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43.452495327315546</v>
      </c>
      <c r="AV139" s="21">
        <f>EXP(-LN(2)/25)*AV138+(1-EXP(-LN(2)/25))/(LN(2)/25)*Calculateur!AQ139*Calculateur!AS139*VLOOKUP('Données projet'!$B$10,Paramètres!$A$1:$I$89,3,0)*0.475*44/12</f>
        <v>15.839008783915883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59.291504111231433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1.7053025658242404E-13</v>
      </c>
      <c r="BE139" s="13">
        <f>BD139*VLOOKUP('Données projet'!$B$11,Paramètres!$A$1:$I$89,3,0)*VLOOKUP('Données projet'!$B$11,Paramètres!$A$1:$I$89,5,0)</f>
        <v>1.4897523215040567E-13</v>
      </c>
      <c r="BF139" s="13">
        <f t="shared" si="145"/>
        <v>2.136562777003313E-12</v>
      </c>
      <c r="BG139" s="20">
        <f t="shared" si="115"/>
        <v>3.9806453659427267E-12</v>
      </c>
      <c r="BH139" s="59">
        <f t="shared" si="116"/>
        <v>293.33333333333729</v>
      </c>
      <c r="BI139" s="59">
        <f ca="1">AVERAGE(OFFSET($BH$3,0,0,'Données projet'!$E$11+1,1))-AVERAGE(OFFSET($H$3,0,0,'Données projet'!$E$11+1,1))</f>
        <v>310.44153296396854</v>
      </c>
      <c r="BJ139" s="59">
        <f t="shared" si="146"/>
        <v>388.05195847800502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22.018013847530071</v>
      </c>
      <c r="BQ139" s="21">
        <f>EXP(-LN(2)/25)*BQ138+(1-EXP(-LN(2)/25))/(LN(2)/25)*Calculateur!BL139*Calculateur!BN139*VLOOKUP('Données projet'!$B$11,Paramètres!$A$1:$I$89,3,0)*0.475*44/12</f>
        <v>0.85099874986774682</v>
      </c>
      <c r="BR139" s="21">
        <f>EXP(-LN(2)/2)*BR138+(1-EXP(-LN(2)/2))/(LN(2)/2)*BL139*BO139*VLOOKUP('Données projet'!$B$11,Paramètres!$A$1:$I$89,3,0)*0.475*44/12</f>
        <v>4.7952179990380974E-9</v>
      </c>
      <c r="BS139" s="22">
        <f t="shared" si="117"/>
        <v>22.869012602193035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-2.2737367544323206E-13</v>
      </c>
      <c r="BZ139" s="13">
        <f>BY139*VLOOKUP('Données projet'!$B$12,Paramètres!$A$1:$I$89,3,0)*VLOOKUP('Données projet'!$B$12,Paramètres!$A$1:$I$89,5,0)</f>
        <v>-1.2710188457276673E-13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443.34220761968419</v>
      </c>
      <c r="CE139" s="59">
        <f t="shared" si="148"/>
        <v>546.58234447298014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56.480239956275007</v>
      </c>
      <c r="CL139" s="21">
        <f>EXP(-LN(2)/25)*CL138+(1-EXP(-LN(2)/25))/(LN(2)/25)*Calculateur!CG139*Calculateur!CI139*VLOOKUP('Données projet'!$B$12,Paramètres!$A$1:$I$89,3,0)*0.475*44/12</f>
        <v>7.3720963211505603</v>
      </c>
      <c r="CM139" s="21">
        <f>EXP(-LN(2)/2)*CM138+(1-EXP(-LN(2)/2))/(LN(2)/2)*CG139*CJ139*VLOOKUP('Données projet'!$B$12,Paramètres!$A$1:$I$89,3,0)*0.475*44/12</f>
        <v>1.5711852094368416E-10</v>
      </c>
      <c r="CN139" s="22">
        <f t="shared" si="120"/>
        <v>63.85233627758268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>
        <f>CT139*VLOOKUP('Données projet'!$B$13,Paramètres!$A$1:$I$89,3,0)*VLOOKUP('Données projet'!$B$13,Paramètres!$A$1:$I$89,5,0)</f>
        <v>0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214.22606988805535</v>
      </c>
      <c r="CZ139" s="59">
        <f t="shared" si="150"/>
        <v>305.78163836959078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31.69062403318102</v>
      </c>
      <c r="DG139" s="21">
        <f>EXP(-LN(2)/25)*DG138+(1-EXP(-LN(2)/25))/(LN(2)/25)*Calculateur!DB139*Calculateur!DD139*VLOOKUP('Données projet'!$B$13,Paramètres!$A$1:$I$89,3,0)*0.475*44/12</f>
        <v>4.3205471213560198</v>
      </c>
      <c r="DH139" s="21">
        <f>EXP(-LN(2)/2)*DH138+(1-EXP(-LN(2)/2))/(LN(2)/2)*DB139*DE139*VLOOKUP('Données projet'!$B$13,Paramètres!$A$1:$I$89,3,0)*0.475*44/12</f>
        <v>6.8668506727793451E-11</v>
      </c>
      <c r="DI139" s="22">
        <f t="shared" si="123"/>
        <v>36.011171154605705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-1.7053025658242404E-13</v>
      </c>
      <c r="DP139" s="17">
        <f>DO139*VLOOKUP('Données projet'!$B$14,Paramètres!$A$1:$I$89,3,0)*VLOOKUP('Données projet'!$B$14,Paramètres!$A$1:$I$89,5,0)</f>
        <v>-1.383341441396624E-13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304.26232113495314</v>
      </c>
      <c r="DU139" s="59">
        <f t="shared" si="152"/>
        <v>297.47246687305056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34.771204868381524</v>
      </c>
      <c r="EB139" s="21">
        <f>EXP(-LN(2)/25)*EB138+(1-EXP(-LN(2)/25))/(LN(2)/25)*Calculateur!DW139*Calculateur!DY139*VLOOKUP('Données projet'!$B$14,Paramètres!$A$1:$I$89,3,0)*0.475*44/12</f>
        <v>0.61199852882500017</v>
      </c>
      <c r="EC139" s="21">
        <f>EXP(-LN(2)/2)*EC138+(1-EXP(-LN(2)/2))/(LN(2)/2)*DW139*DZ139*VLOOKUP('Données projet'!$B$14,Paramètres!$A$1:$I$89,3,0)*0.475*44/12</f>
        <v>1.580605631313615E-7</v>
      </c>
      <c r="ED139" s="22">
        <f t="shared" si="126"/>
        <v>35.383203555267087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-1.7053025658242404E-13</v>
      </c>
      <c r="EK139" s="17">
        <f>EJ139*VLOOKUP('Données projet'!$B$15,Paramètres!$A$1:$I$89,3,0)*VLOOKUP('Données projet'!$B$15,Paramètres!$A$1:$I$89,5,0)</f>
        <v>-1.6493686416652052E-13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355.72173590705142</v>
      </c>
      <c r="EP139" s="59">
        <f t="shared" si="154"/>
        <v>346.30980704469363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33.635715594740589</v>
      </c>
      <c r="EW139" s="21">
        <f>EXP(-LN(2)/25)*EW138+(1-EXP(-LN(2)/25))/(LN(2)/25)*Calculateur!ER139*Calculateur!ET139*VLOOKUP('Données projet'!$B$15,Paramètres!$A$1:$I$89,3,0)*0.475*44/12</f>
        <v>0.59201309065582386</v>
      </c>
      <c r="EX139" s="21">
        <f>EXP(-LN(2)/2)*EX138+(1-EXP(-LN(2)/2))/(LN(2)/2)*ER139*EU139*VLOOKUP('Données projet'!$B$15,Paramètres!$A$1:$I$89,3,0)*0.475*44/12</f>
        <v>1.884568252720073E-7</v>
      </c>
      <c r="EY139" s="22">
        <f t="shared" si="129"/>
        <v>34.227728873853238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-1.7053025658242404E-13</v>
      </c>
      <c r="FF139" s="17">
        <f>FE139*VLOOKUP('Données projet'!$B$16,Paramètres!$A$1:$I$89,3,0)*VLOOKUP('Données projet'!$B$16,Paramètres!$A$1:$I$89,5,0)</f>
        <v>-1.250327841262333E-13</v>
      </c>
      <c r="FG139" s="13" t="e">
        <f t="shared" si="155"/>
        <v>#NUM!</v>
      </c>
      <c r="FH139" s="20" t="e">
        <f t="shared" si="130"/>
        <v>#NUM!</v>
      </c>
      <c r="FI139" s="59" t="e">
        <f t="shared" si="131"/>
        <v>#NUM!</v>
      </c>
      <c r="FJ139" s="59">
        <f ca="1">AVERAGE(OFFSET($FI$3,0,0,'Données projet'!$E$16+1,1))-AVERAGE(OFFSET($H$3,0,0,'Données projet'!$E$16+1,1))</f>
        <v>278.45534008146865</v>
      </c>
      <c r="FK139" s="59">
        <f t="shared" si="156"/>
        <v>272.97841038165217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25.498042466980788</v>
      </c>
      <c r="FR139" s="21">
        <f>EXP(-LN(2)/25)*FR138+(1-EXP(-LN(2)/25))/(LN(2)/25)*Calculateur!FM139*Calculateur!FO139*VLOOKUP('Données projet'!$B$16,Paramètres!$A$1:$I$89,3,0)*0.475*44/12</f>
        <v>0.44878411711005978</v>
      </c>
      <c r="FS139" s="21">
        <f>EXP(-LN(2)/2)*FS138+(1-EXP(-LN(2)/2))/(LN(2)/2)*FM139*FP139*VLOOKUP('Données projet'!$B$16,Paramètres!$A$1:$I$89,3,0)*0.475*44/12</f>
        <v>1.4286243206103791E-7</v>
      </c>
      <c r="FT139" s="22">
        <f t="shared" si="132"/>
        <v>25.94682672695328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5.833333333333333</v>
      </c>
      <c r="N140" s="13">
        <f>IF('Données projet'!$A$36&gt;35,N139+M140-V139,IF(A140&lt;'Données projet'!$A$36,$K$205^A140,IF(A140='Données projet'!$A$36,'Données projet'!$B$36,N139+M140-V139)))</f>
        <v>292.66666666666634</v>
      </c>
      <c r="O140" s="13">
        <f>N140*VLOOKUP('Données projet'!$B$9,Paramètres!$A$1:$I$89,3,0)*VLOOKUP('Données projet'!$B$9,Paramètres!$A$1:$I$89,5,0)</f>
        <v>264.80479999999972</v>
      </c>
      <c r="P140" s="13">
        <f t="shared" si="141"/>
        <v>63.745473099622942</v>
      </c>
      <c r="Q140" s="20">
        <f t="shared" si="108"/>
        <v>572.22505898184272</v>
      </c>
      <c r="R140" s="59">
        <f t="shared" si="109"/>
        <v>865.55839231517598</v>
      </c>
      <c r="S140" s="59">
        <f ca="1">AVERAGE(OFFSET($R$3,0,0,'Données projet'!$E$9+1,1))-AVERAGE(OFFSET($H$3,0,0,'Données projet'!$E$9+1,1))</f>
        <v>436.03161778768742</v>
      </c>
      <c r="T140" s="59">
        <f t="shared" si="142"/>
        <v>217.65884352525285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38.012681031483346</v>
      </c>
      <c r="AA140" s="21">
        <f>EXP(-LN(2)/25)*AA139+(1-EXP(-LN(2)/25))/(LN(2)/25)*Calculateur!V140*Calculateur!X140*VLOOKUP('Données projet'!$B$9,Paramètres!$A$1:$I$89,3,0)*0.475*44/12</f>
        <v>13.746794382082786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51.759475413566136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5.833333333333333</v>
      </c>
      <c r="AI140" s="13">
        <f>IF('Données projet'!$A$62&gt;35,AI139+AH140-AQ139,IF(A140&lt;'Données projet'!$A$62,$AF$205^A140,IF(A140='Données projet'!$A$62,'Données projet'!$B$62,AI139+AH140-AQ139)))</f>
        <v>292.66666666666634</v>
      </c>
      <c r="AJ140" s="13">
        <f>AI140*VLOOKUP('Données projet'!$B$10,Paramètres!$A$1:$I$89,3,0)*VLOOKUP('Données projet'!$B$10,Paramètres!$A$1:$I$89,5,0)</f>
        <v>296.76399999999967</v>
      </c>
      <c r="AK140" s="13">
        <f t="shared" si="143"/>
        <v>70.497645977886805</v>
      </c>
      <c r="AL140" s="20">
        <f t="shared" si="112"/>
        <v>639.6473667448189</v>
      </c>
      <c r="AM140" s="59">
        <f t="shared" si="113"/>
        <v>932.98070007815227</v>
      </c>
      <c r="AN140" s="59">
        <f ca="1">AVERAGE(OFFSET($AM$3,0,0,'Données projet'!$E$10+1,1))-AVERAGE(OFFSET($H$3,0,0,'Données projet'!$E$10+1,1))</f>
        <v>483.45320081988984</v>
      </c>
      <c r="AO140" s="59">
        <f t="shared" si="144"/>
        <v>238.92443174298893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42.600418397352044</v>
      </c>
      <c r="AV140" s="21">
        <f>EXP(-LN(2)/25)*AV139+(1-EXP(-LN(2)/25))/(LN(2)/25)*Calculateur!AQ140*Calculateur!AS140*VLOOKUP('Données projet'!$B$10,Paramètres!$A$1:$I$89,3,0)*0.475*44/12</f>
        <v>15.405890255782431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58.006308653134475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1.7053025658242404E-13</v>
      </c>
      <c r="BE140" s="13">
        <f>BD140*VLOOKUP('Données projet'!$B$11,Paramètres!$A$1:$I$89,3,0)*VLOOKUP('Données projet'!$B$11,Paramètres!$A$1:$I$89,5,0)</f>
        <v>1.4897523215040567E-13</v>
      </c>
      <c r="BF140" s="13">
        <f t="shared" si="145"/>
        <v>2.136562777003313E-12</v>
      </c>
      <c r="BG140" s="20">
        <f t="shared" si="115"/>
        <v>3.9806453659427267E-12</v>
      </c>
      <c r="BH140" s="59">
        <f t="shared" si="116"/>
        <v>293.33333333333729</v>
      </c>
      <c r="BI140" s="59">
        <f ca="1">AVERAGE(OFFSET($BH$3,0,0,'Données projet'!$E$11+1,1))-AVERAGE(OFFSET($H$3,0,0,'Données projet'!$E$11+1,1))</f>
        <v>310.44153296396854</v>
      </c>
      <c r="BJ140" s="59">
        <f t="shared" si="146"/>
        <v>388.05195847800502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21.586254025642383</v>
      </c>
      <c r="BQ140" s="21">
        <f>EXP(-LN(2)/25)*BQ139+(1-EXP(-LN(2)/25))/(LN(2)/25)*Calculateur!BL140*Calculateur!BN140*VLOOKUP('Données projet'!$B$11,Paramètres!$A$1:$I$89,3,0)*0.475*44/12</f>
        <v>0.82772814430053399</v>
      </c>
      <c r="BR140" s="21">
        <f>EXP(-LN(2)/2)*BR139+(1-EXP(-LN(2)/2))/(LN(2)/2)*BL140*BO140*VLOOKUP('Données projet'!$B$11,Paramètres!$A$1:$I$89,3,0)*0.475*44/12</f>
        <v>3.3907311643876263E-9</v>
      </c>
      <c r="BS140" s="22">
        <f t="shared" si="117"/>
        <v>22.413982173333647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-2.2737367544323206E-13</v>
      </c>
      <c r="BZ140" s="13">
        <f>BY140*VLOOKUP('Données projet'!$B$12,Paramètres!$A$1:$I$89,3,0)*VLOOKUP('Données projet'!$B$12,Paramètres!$A$1:$I$89,5,0)</f>
        <v>-1.2710188457276673E-13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443.34220761968419</v>
      </c>
      <c r="CE140" s="59">
        <f t="shared" si="148"/>
        <v>546.58234447298014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55.372696900277219</v>
      </c>
      <c r="CL140" s="21">
        <f>EXP(-LN(2)/25)*CL139+(1-EXP(-LN(2)/25))/(LN(2)/25)*Calculateur!CG140*Calculateur!CI140*VLOOKUP('Données projet'!$B$12,Paramètres!$A$1:$I$89,3,0)*0.475*44/12</f>
        <v>7.1705059595670022</v>
      </c>
      <c r="CM140" s="21">
        <f>EXP(-LN(2)/2)*CM139+(1-EXP(-LN(2)/2))/(LN(2)/2)*CG140*CJ140*VLOOKUP('Données projet'!$B$12,Paramètres!$A$1:$I$89,3,0)*0.475*44/12</f>
        <v>1.1109957160927967E-10</v>
      </c>
      <c r="CN140" s="22">
        <f t="shared" si="120"/>
        <v>62.543202859955322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>
        <f>CT140*VLOOKUP('Données projet'!$B$13,Paramètres!$A$1:$I$89,3,0)*VLOOKUP('Données projet'!$B$13,Paramètres!$A$1:$I$89,5,0)</f>
        <v>0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214.22606988805535</v>
      </c>
      <c r="CZ140" s="59">
        <f t="shared" si="150"/>
        <v>305.78163836959078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31.069190225262385</v>
      </c>
      <c r="DG140" s="21">
        <f>EXP(-LN(2)/25)*DG139+(1-EXP(-LN(2)/25))/(LN(2)/25)*Calculateur!DB140*Calculateur!DD140*VLOOKUP('Données projet'!$B$13,Paramètres!$A$1:$I$89,3,0)*0.475*44/12</f>
        <v>4.2024015331148412</v>
      </c>
      <c r="DH140" s="21">
        <f>EXP(-LN(2)/2)*DH139+(1-EXP(-LN(2)/2))/(LN(2)/2)*DB140*DE140*VLOOKUP('Données projet'!$B$13,Paramètres!$A$1:$I$89,3,0)*0.475*44/12</f>
        <v>4.8555966761176811E-11</v>
      </c>
      <c r="DI140" s="22">
        <f t="shared" si="123"/>
        <v>35.271591758425785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-1.7053025658242404E-13</v>
      </c>
      <c r="DP140" s="17">
        <f>DO140*VLOOKUP('Données projet'!$B$14,Paramètres!$A$1:$I$89,3,0)*VLOOKUP('Données projet'!$B$14,Paramètres!$A$1:$I$89,5,0)</f>
        <v>-1.383341441396624E-13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304.26232113495314</v>
      </c>
      <c r="DU140" s="59">
        <f t="shared" si="152"/>
        <v>297.47246687305056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34.089362749253382</v>
      </c>
      <c r="EB140" s="21">
        <f>EXP(-LN(2)/25)*EB139+(1-EXP(-LN(2)/25))/(LN(2)/25)*Calculateur!DW140*Calculateur!DY140*VLOOKUP('Données projet'!$B$14,Paramètres!$A$1:$I$89,3,0)*0.475*44/12</f>
        <v>0.59526339687067664</v>
      </c>
      <c r="EC140" s="21">
        <f>EXP(-LN(2)/2)*EC139+(1-EXP(-LN(2)/2))/(LN(2)/2)*DW140*DZ140*VLOOKUP('Données projet'!$B$14,Paramètres!$A$1:$I$89,3,0)*0.475*44/12</f>
        <v>1.1176569602835012E-7</v>
      </c>
      <c r="ED140" s="22">
        <f t="shared" si="126"/>
        <v>34.684626257889754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-1.7053025658242404E-13</v>
      </c>
      <c r="EK140" s="17">
        <f>EJ140*VLOOKUP('Données projet'!$B$15,Paramètres!$A$1:$I$89,3,0)*VLOOKUP('Données projet'!$B$15,Paramètres!$A$1:$I$89,5,0)</f>
        <v>-1.6493686416652052E-13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355.72173590705142</v>
      </c>
      <c r="EP140" s="59">
        <f t="shared" si="154"/>
        <v>346.30980704469363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32.976139727688476</v>
      </c>
      <c r="EW140" s="21">
        <f>EXP(-LN(2)/25)*EW139+(1-EXP(-LN(2)/25))/(LN(2)/25)*Calculateur!ER140*Calculateur!ET140*VLOOKUP('Données projet'!$B$15,Paramètres!$A$1:$I$89,3,0)*0.475*44/12</f>
        <v>0.57582446155922495</v>
      </c>
      <c r="EX140" s="21">
        <f>EXP(-LN(2)/2)*EX139+(1-EXP(-LN(2)/2))/(LN(2)/2)*ER140*EU140*VLOOKUP('Données projet'!$B$15,Paramètres!$A$1:$I$89,3,0)*0.475*44/12</f>
        <v>1.3325909911072468E-7</v>
      </c>
      <c r="EY140" s="22">
        <f t="shared" si="129"/>
        <v>33.551964322506798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-1.7053025658242404E-13</v>
      </c>
      <c r="FF140" s="17">
        <f>FE140*VLOOKUP('Données projet'!$B$16,Paramètres!$A$1:$I$89,3,0)*VLOOKUP('Données projet'!$B$16,Paramètres!$A$1:$I$89,5,0)</f>
        <v>-1.250327841262333E-13</v>
      </c>
      <c r="FG140" s="13" t="e">
        <f t="shared" si="155"/>
        <v>#NUM!</v>
      </c>
      <c r="FH140" s="20" t="e">
        <f t="shared" si="130"/>
        <v>#NUM!</v>
      </c>
      <c r="FI140" s="59" t="e">
        <f t="shared" si="131"/>
        <v>#NUM!</v>
      </c>
      <c r="FJ140" s="59">
        <f ca="1">AVERAGE(OFFSET($FI$3,0,0,'Données projet'!$E$16+1,1))-AVERAGE(OFFSET($H$3,0,0,'Données projet'!$E$16+1,1))</f>
        <v>278.45534008146865</v>
      </c>
      <c r="FK140" s="59">
        <f t="shared" si="156"/>
        <v>272.97841038165217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24.99804140647354</v>
      </c>
      <c r="FR140" s="21">
        <f>EXP(-LN(2)/25)*FR139+(1-EXP(-LN(2)/25))/(LN(2)/25)*Calculateur!FM140*Calculateur!FO140*VLOOKUP('Données projet'!$B$16,Paramètres!$A$1:$I$89,3,0)*0.475*44/12</f>
        <v>0.43651209182715417</v>
      </c>
      <c r="FS140" s="21">
        <f>EXP(-LN(2)/2)*FS139+(1-EXP(-LN(2)/2))/(LN(2)/2)*FM140*FP140*VLOOKUP('Données projet'!$B$16,Paramètres!$A$1:$I$89,3,0)*0.475*44/12</f>
        <v>1.0101899448716235E-7</v>
      </c>
      <c r="FT140" s="22">
        <f t="shared" si="132"/>
        <v>25.434553599319688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5.833333333333333</v>
      </c>
      <c r="N141" s="13">
        <f>IF('Données projet'!$A$36&gt;35,N140+M141-V140,IF(A141&lt;'Données projet'!$A$36,$K$205^A141,IF(A141='Données projet'!$A$36,'Données projet'!$B$36,N140+M141-V140)))</f>
        <v>298.49999999999966</v>
      </c>
      <c r="O141" s="13">
        <f>N141*VLOOKUP('Données projet'!$B$9,Paramètres!$A$1:$I$89,3,0)*VLOOKUP('Données projet'!$B$9,Paramètres!$A$1:$I$89,5,0)</f>
        <v>270.08279999999968</v>
      </c>
      <c r="P141" s="13">
        <f t="shared" si="141"/>
        <v>64.866841223976678</v>
      </c>
      <c r="Q141" s="20">
        <f t="shared" si="108"/>
        <v>583.37062513175886</v>
      </c>
      <c r="R141" s="59">
        <f t="shared" si="109"/>
        <v>876.70395846509223</v>
      </c>
      <c r="S141" s="59">
        <f ca="1">AVERAGE(OFFSET($R$3,0,0,'Données projet'!$E$9+1,1))-AVERAGE(OFFSET($H$3,0,0,'Données projet'!$E$9+1,1))</f>
        <v>436.03161778768742</v>
      </c>
      <c r="T141" s="59">
        <f t="shared" si="142"/>
        <v>217.65884352525285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37.267275541902016</v>
      </c>
      <c r="AA141" s="21">
        <f>EXP(-LN(2)/25)*AA140+(1-EXP(-LN(2)/25))/(LN(2)/25)*Calculateur!V141*Calculateur!X141*VLOOKUP('Données projet'!$B$9,Paramètres!$A$1:$I$89,3,0)*0.475*44/12</f>
        <v>13.370887566792234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50.638163108694251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5.833333333333333</v>
      </c>
      <c r="AI141" s="13">
        <f>IF('Données projet'!$A$62&gt;35,AI140+AH141-AQ140,IF(A141&lt;'Données projet'!$A$62,$AF$205^A141,IF(A141='Données projet'!$A$62,'Données projet'!$B$62,AI140+AH141-AQ140)))</f>
        <v>298.49999999999966</v>
      </c>
      <c r="AJ141" s="13">
        <f>AI141*VLOOKUP('Données projet'!$B$10,Paramètres!$A$1:$I$89,3,0)*VLOOKUP('Données projet'!$B$10,Paramètres!$A$1:$I$89,5,0)</f>
        <v>302.67899999999969</v>
      </c>
      <c r="AK141" s="13">
        <f t="shared" si="143"/>
        <v>71.737793853454903</v>
      </c>
      <c r="AL141" s="20">
        <f t="shared" si="112"/>
        <v>652.10924929476664</v>
      </c>
      <c r="AM141" s="59">
        <f t="shared" si="113"/>
        <v>945.4425826280999</v>
      </c>
      <c r="AN141" s="59">
        <f ca="1">AVERAGE(OFFSET($AM$3,0,0,'Données projet'!$E$10+1,1))-AVERAGE(OFFSET($H$3,0,0,'Données projet'!$E$10+1,1))</f>
        <v>483.45320081988984</v>
      </c>
      <c r="AO141" s="59">
        <f t="shared" si="144"/>
        <v>238.92443174298893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41.765050176269519</v>
      </c>
      <c r="AV141" s="21">
        <f>EXP(-LN(2)/25)*AV140+(1-EXP(-LN(2)/25))/(LN(2)/25)*Calculateur!AQ141*Calculateur!AS141*VLOOKUP('Données projet'!$B$10,Paramètres!$A$1:$I$89,3,0)*0.475*44/12</f>
        <v>14.984615376577503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56.74966555284702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1.7053025658242404E-13</v>
      </c>
      <c r="BE141" s="13">
        <f>BD141*VLOOKUP('Données projet'!$B$11,Paramètres!$A$1:$I$89,3,0)*VLOOKUP('Données projet'!$B$11,Paramètres!$A$1:$I$89,5,0)</f>
        <v>1.4897523215040567E-13</v>
      </c>
      <c r="BF141" s="13">
        <f t="shared" si="145"/>
        <v>2.136562777003313E-12</v>
      </c>
      <c r="BG141" s="20">
        <f t="shared" si="115"/>
        <v>3.9806453659427267E-12</v>
      </c>
      <c r="BH141" s="59">
        <f t="shared" si="116"/>
        <v>293.33333333333729</v>
      </c>
      <c r="BI141" s="59">
        <f ca="1">AVERAGE(OFFSET($BH$3,0,0,'Données projet'!$E$11+1,1))-AVERAGE(OFFSET($H$3,0,0,'Données projet'!$E$11+1,1))</f>
        <v>310.44153296396854</v>
      </c>
      <c r="BJ141" s="59">
        <f t="shared" si="146"/>
        <v>388.05195847800502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21.162960750514426</v>
      </c>
      <c r="BQ141" s="21">
        <f>EXP(-LN(2)/25)*BQ140+(1-EXP(-LN(2)/25))/(LN(2)/25)*Calculateur!BL141*Calculateur!BN141*VLOOKUP('Données projet'!$B$11,Paramètres!$A$1:$I$89,3,0)*0.475*44/12</f>
        <v>0.80509387466630455</v>
      </c>
      <c r="BR141" s="21">
        <f>EXP(-LN(2)/2)*BR140+(1-EXP(-LN(2)/2))/(LN(2)/2)*BL141*BO141*VLOOKUP('Données projet'!$B$11,Paramètres!$A$1:$I$89,3,0)*0.475*44/12</f>
        <v>2.3976089995190487E-9</v>
      </c>
      <c r="BS141" s="22">
        <f t="shared" si="117"/>
        <v>21.96805462757834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-2.2737367544323206E-13</v>
      </c>
      <c r="BZ141" s="13">
        <f>BY141*VLOOKUP('Données projet'!$B$12,Paramètres!$A$1:$I$89,3,0)*VLOOKUP('Données projet'!$B$12,Paramètres!$A$1:$I$89,5,0)</f>
        <v>-1.2710188457276673E-13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443.34220761968419</v>
      </c>
      <c r="CE141" s="59">
        <f t="shared" si="148"/>
        <v>546.58234447298014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54.286872088072982</v>
      </c>
      <c r="CL141" s="21">
        <f>EXP(-LN(2)/25)*CL140+(1-EXP(-LN(2)/25))/(LN(2)/25)*Calculateur!CG141*Calculateur!CI141*VLOOKUP('Données projet'!$B$12,Paramètres!$A$1:$I$89,3,0)*0.475*44/12</f>
        <v>6.9744280970221224</v>
      </c>
      <c r="CM141" s="21">
        <f>EXP(-LN(2)/2)*CM140+(1-EXP(-LN(2)/2))/(LN(2)/2)*CG141*CJ141*VLOOKUP('Données projet'!$B$12,Paramètres!$A$1:$I$89,3,0)*0.475*44/12</f>
        <v>7.8559260471842094E-11</v>
      </c>
      <c r="CN141" s="22">
        <f t="shared" si="120"/>
        <v>61.26130018517366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>
        <f>CT141*VLOOKUP('Données projet'!$B$13,Paramètres!$A$1:$I$89,3,0)*VLOOKUP('Données projet'!$B$13,Paramètres!$A$1:$I$89,5,0)</f>
        <v>0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214.22606988805535</v>
      </c>
      <c r="CZ141" s="59">
        <f t="shared" si="150"/>
        <v>305.78163836959078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30.459942355279836</v>
      </c>
      <c r="DG141" s="21">
        <f>EXP(-LN(2)/25)*DG140+(1-EXP(-LN(2)/25))/(LN(2)/25)*Calculateur!DB141*Calculateur!DD141*VLOOKUP('Données projet'!$B$13,Paramètres!$A$1:$I$89,3,0)*0.475*44/12</f>
        <v>4.0874866421971241</v>
      </c>
      <c r="DH141" s="21">
        <f>EXP(-LN(2)/2)*DH140+(1-EXP(-LN(2)/2))/(LN(2)/2)*DB141*DE141*VLOOKUP('Données projet'!$B$13,Paramètres!$A$1:$I$89,3,0)*0.475*44/12</f>
        <v>3.4334253363896725E-11</v>
      </c>
      <c r="DI141" s="22">
        <f t="shared" si="123"/>
        <v>34.54742899751129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-1.7053025658242404E-13</v>
      </c>
      <c r="DP141" s="17">
        <f>DO141*VLOOKUP('Données projet'!$B$14,Paramètres!$A$1:$I$89,3,0)*VLOOKUP('Données projet'!$B$14,Paramètres!$A$1:$I$89,5,0)</f>
        <v>-1.383341441396624E-13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304.26232113495314</v>
      </c>
      <c r="DU141" s="59">
        <f t="shared" si="152"/>
        <v>297.47246687305056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33.420891138198719</v>
      </c>
      <c r="EB141" s="21">
        <f>EXP(-LN(2)/25)*EB140+(1-EXP(-LN(2)/25))/(LN(2)/25)*Calculateur!DW141*Calculateur!DY141*VLOOKUP('Données projet'!$B$14,Paramètres!$A$1:$I$89,3,0)*0.475*44/12</f>
        <v>0.5789858879797064</v>
      </c>
      <c r="EC141" s="21">
        <f>EXP(-LN(2)/2)*EC140+(1-EXP(-LN(2)/2))/(LN(2)/2)*DW141*DZ141*VLOOKUP('Données projet'!$B$14,Paramètres!$A$1:$I$89,3,0)*0.475*44/12</f>
        <v>7.903028156568075E-8</v>
      </c>
      <c r="ED141" s="22">
        <f t="shared" si="126"/>
        <v>33.999877105208704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-1.7053025658242404E-13</v>
      </c>
      <c r="EK141" s="17">
        <f>EJ141*VLOOKUP('Données projet'!$B$15,Paramètres!$A$1:$I$89,3,0)*VLOOKUP('Données projet'!$B$15,Paramètres!$A$1:$I$89,5,0)</f>
        <v>-1.6493686416652052E-13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355.72173590705142</v>
      </c>
      <c r="EP141" s="59">
        <f t="shared" si="154"/>
        <v>346.30980704469363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32.3294977410877</v>
      </c>
      <c r="EW141" s="21">
        <f>EXP(-LN(2)/25)*EW140+(1-EXP(-LN(2)/25))/(LN(2)/25)*Calculateur!ER141*Calculateur!ET141*VLOOKUP('Données projet'!$B$15,Paramètres!$A$1:$I$89,3,0)*0.475*44/12</f>
        <v>0.56007851137659559</v>
      </c>
      <c r="EX141" s="21">
        <f>EXP(-LN(2)/2)*EX140+(1-EXP(-LN(2)/2))/(LN(2)/2)*ER141*EU141*VLOOKUP('Données projet'!$B$15,Paramètres!$A$1:$I$89,3,0)*0.475*44/12</f>
        <v>9.4228412636003649E-8</v>
      </c>
      <c r="EY141" s="22">
        <f t="shared" si="129"/>
        <v>32.889576346692706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-1.7053025658242404E-13</v>
      </c>
      <c r="FF141" s="17">
        <f>FE141*VLOOKUP('Données projet'!$B$16,Paramètres!$A$1:$I$89,3,0)*VLOOKUP('Données projet'!$B$16,Paramètres!$A$1:$I$89,5,0)</f>
        <v>-1.250327841262333E-13</v>
      </c>
      <c r="FG141" s="13" t="e">
        <f t="shared" si="155"/>
        <v>#NUM!</v>
      </c>
      <c r="FH141" s="20" t="e">
        <f t="shared" si="130"/>
        <v>#NUM!</v>
      </c>
      <c r="FI141" s="59" t="e">
        <f t="shared" si="131"/>
        <v>#NUM!</v>
      </c>
      <c r="FJ141" s="59">
        <f ca="1">AVERAGE(OFFSET($FI$3,0,0,'Données projet'!$E$16+1,1))-AVERAGE(OFFSET($H$3,0,0,'Données projet'!$E$16+1,1))</f>
        <v>278.45534008146865</v>
      </c>
      <c r="FK141" s="59">
        <f t="shared" si="156"/>
        <v>272.97841038165217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24.507845061792306</v>
      </c>
      <c r="FR141" s="21">
        <f>EXP(-LN(2)/25)*FR140+(1-EXP(-LN(2)/25))/(LN(2)/25)*Calculateur!FM141*Calculateur!FO141*VLOOKUP('Données projet'!$B$16,Paramètres!$A$1:$I$89,3,0)*0.475*44/12</f>
        <v>0.4245756457209674</v>
      </c>
      <c r="FS141" s="21">
        <f>EXP(-LN(2)/2)*FS140+(1-EXP(-LN(2)/2))/(LN(2)/2)*FM141*FP141*VLOOKUP('Données projet'!$B$16,Paramètres!$A$1:$I$89,3,0)*0.475*44/12</f>
        <v>7.1431216030518957E-8</v>
      </c>
      <c r="FT141" s="22">
        <f t="shared" si="132"/>
        <v>24.93242077894449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5.833333333333333</v>
      </c>
      <c r="N142" s="13">
        <f>IF('Données projet'!$A$36&gt;35,N141+M142-V141,IF(A142&lt;'Données projet'!$A$36,$K$205^A142,IF(A142='Données projet'!$A$36,'Données projet'!$B$36,N141+M142-V141)))</f>
        <v>304.33333333333297</v>
      </c>
      <c r="O142" s="13">
        <f>N142*VLOOKUP('Données projet'!$B$9,Paramètres!$A$1:$I$89,3,0)*VLOOKUP('Données projet'!$B$9,Paramètres!$A$1:$I$89,5,0)</f>
        <v>275.3607999999997</v>
      </c>
      <c r="P142" s="13">
        <f t="shared" si="141"/>
        <v>65.985661292059262</v>
      </c>
      <c r="Q142" s="20">
        <f t="shared" si="108"/>
        <v>594.51175341700264</v>
      </c>
      <c r="R142" s="59">
        <f t="shared" si="109"/>
        <v>887.84508675033589</v>
      </c>
      <c r="S142" s="59">
        <f ca="1">AVERAGE(OFFSET($R$3,0,0,'Données projet'!$E$9+1,1))-AVERAGE(OFFSET($H$3,0,0,'Données projet'!$E$9+1,1))</f>
        <v>436.03161778768742</v>
      </c>
      <c r="T142" s="59">
        <f t="shared" si="142"/>
        <v>217.65884352525285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36.536486999318917</v>
      </c>
      <c r="AA142" s="21">
        <f>EXP(-LN(2)/25)*AA141+(1-EXP(-LN(2)/25))/(LN(2)/25)*Calculateur!V142*Calculateur!X142*VLOOKUP('Données projet'!$B$9,Paramètres!$A$1:$I$89,3,0)*0.475*44/12</f>
        <v>13.005259943133883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49.541746942452804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5.833333333333333</v>
      </c>
      <c r="AI142" s="13">
        <f>IF('Données projet'!$A$62&gt;35,AI141+AH142-AQ141,IF(A142&lt;'Données projet'!$A$62,$AF$205^A142,IF(A142='Données projet'!$A$62,'Données projet'!$B$62,AI141+AH142-AQ141)))</f>
        <v>304.33333333333297</v>
      </c>
      <c r="AJ142" s="13">
        <f>AI142*VLOOKUP('Données projet'!$B$10,Paramètres!$A$1:$I$89,3,0)*VLOOKUP('Données projet'!$B$10,Paramètres!$A$1:$I$89,5,0)</f>
        <v>308.59399999999965</v>
      </c>
      <c r="AK142" s="13">
        <f t="shared" si="143"/>
        <v>72.975123772543753</v>
      </c>
      <c r="AL142" s="20">
        <f t="shared" si="112"/>
        <v>664.56622390384643</v>
      </c>
      <c r="AM142" s="59">
        <f t="shared" si="113"/>
        <v>957.89955723717981</v>
      </c>
      <c r="AN142" s="59">
        <f ca="1">AVERAGE(OFFSET($AM$3,0,0,'Données projet'!$E$10+1,1))-AVERAGE(OFFSET($H$3,0,0,'Données projet'!$E$10+1,1))</f>
        <v>483.45320081988984</v>
      </c>
      <c r="AO142" s="59">
        <f t="shared" si="144"/>
        <v>238.92443174298893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40.946063016478114</v>
      </c>
      <c r="AV142" s="21">
        <f>EXP(-LN(2)/25)*AV141+(1-EXP(-LN(2)/25))/(LN(2)/25)*Calculateur!AQ142*Calculateur!AS142*VLOOKUP('Données projet'!$B$10,Paramètres!$A$1:$I$89,3,0)*0.475*44/12</f>
        <v>14.574860281098317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55.520923297576431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1.7053025658242404E-13</v>
      </c>
      <c r="BE142" s="13">
        <f>BD142*VLOOKUP('Données projet'!$B$11,Paramètres!$A$1:$I$89,3,0)*VLOOKUP('Données projet'!$B$11,Paramètres!$A$1:$I$89,5,0)</f>
        <v>1.4897523215040567E-13</v>
      </c>
      <c r="BF142" s="13">
        <f t="shared" si="145"/>
        <v>2.136562777003313E-12</v>
      </c>
      <c r="BG142" s="20">
        <f t="shared" si="115"/>
        <v>3.9806453659427267E-12</v>
      </c>
      <c r="BH142" s="59">
        <f t="shared" si="116"/>
        <v>293.33333333333729</v>
      </c>
      <c r="BI142" s="59">
        <f ca="1">AVERAGE(OFFSET($BH$3,0,0,'Données projet'!$E$11+1,1))-AVERAGE(OFFSET($H$3,0,0,'Données projet'!$E$11+1,1))</f>
        <v>310.44153296396854</v>
      </c>
      <c r="BJ142" s="59">
        <f t="shared" si="146"/>
        <v>388.05195847800502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20.747967998328324</v>
      </c>
      <c r="BQ142" s="21">
        <f>EXP(-LN(2)/25)*BQ141+(1-EXP(-LN(2)/25))/(LN(2)/25)*Calculateur!BL142*Calculateur!BN142*VLOOKUP('Données projet'!$B$11,Paramètres!$A$1:$I$89,3,0)*0.475*44/12</f>
        <v>0.78307854032550761</v>
      </c>
      <c r="BR142" s="21">
        <f>EXP(-LN(2)/2)*BR141+(1-EXP(-LN(2)/2))/(LN(2)/2)*BL142*BO142*VLOOKUP('Données projet'!$B$11,Paramètres!$A$1:$I$89,3,0)*0.475*44/12</f>
        <v>1.6953655821938131E-9</v>
      </c>
      <c r="BS142" s="22">
        <f t="shared" si="117"/>
        <v>21.531046540349198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-2.2737367544323206E-13</v>
      </c>
      <c r="BZ142" s="13">
        <f>BY142*VLOOKUP('Données projet'!$B$12,Paramètres!$A$1:$I$89,3,0)*VLOOKUP('Données projet'!$B$12,Paramètres!$A$1:$I$89,5,0)</f>
        <v>-1.2710188457276673E-13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443.34220761968419</v>
      </c>
      <c r="CE142" s="59">
        <f t="shared" si="148"/>
        <v>546.58234447298014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53.222339638148334</v>
      </c>
      <c r="CL142" s="21">
        <f>EXP(-LN(2)/25)*CL141+(1-EXP(-LN(2)/25))/(LN(2)/25)*Calculateur!CG142*Calculateur!CI142*VLOOKUP('Données projet'!$B$12,Paramètres!$A$1:$I$89,3,0)*0.475*44/12</f>
        <v>6.7837119939398187</v>
      </c>
      <c r="CM142" s="21">
        <f>EXP(-LN(2)/2)*CM141+(1-EXP(-LN(2)/2))/(LN(2)/2)*CG142*CJ142*VLOOKUP('Données projet'!$B$12,Paramètres!$A$1:$I$89,3,0)*0.475*44/12</f>
        <v>5.5549785804639841E-11</v>
      </c>
      <c r="CN142" s="22">
        <f t="shared" si="120"/>
        <v>60.006051632143702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>
        <f>CT142*VLOOKUP('Données projet'!$B$13,Paramètres!$A$1:$I$89,3,0)*VLOOKUP('Données projet'!$B$13,Paramètres!$A$1:$I$89,5,0)</f>
        <v>0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214.22606988805535</v>
      </c>
      <c r="CZ142" s="59">
        <f t="shared" si="150"/>
        <v>305.78163836959078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29.862641464423138</v>
      </c>
      <c r="DG142" s="21">
        <f>EXP(-LN(2)/25)*DG141+(1-EXP(-LN(2)/25))/(LN(2)/25)*Calculateur!DB142*Calculateur!DD142*VLOOKUP('Données projet'!$B$13,Paramètres!$A$1:$I$89,3,0)*0.475*44/12</f>
        <v>3.9757141050146632</v>
      </c>
      <c r="DH142" s="21">
        <f>EXP(-LN(2)/2)*DH141+(1-EXP(-LN(2)/2))/(LN(2)/2)*DB142*DE142*VLOOKUP('Données projet'!$B$13,Paramètres!$A$1:$I$89,3,0)*0.475*44/12</f>
        <v>2.4277983380588405E-11</v>
      </c>
      <c r="DI142" s="22">
        <f t="shared" si="123"/>
        <v>33.838355569462081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-1.7053025658242404E-13</v>
      </c>
      <c r="DP142" s="17">
        <f>DO142*VLOOKUP('Données projet'!$B$14,Paramètres!$A$1:$I$89,3,0)*VLOOKUP('Données projet'!$B$14,Paramètres!$A$1:$I$89,5,0)</f>
        <v>-1.383341441396624E-13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304.26232113495314</v>
      </c>
      <c r="DU142" s="59">
        <f t="shared" si="152"/>
        <v>297.47246687305056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32.765527847709414</v>
      </c>
      <c r="EB142" s="21">
        <f>EXP(-LN(2)/25)*EB141+(1-EXP(-LN(2)/25))/(LN(2)/25)*Calculateur!DW142*Calculateur!DY142*VLOOKUP('Données projet'!$B$14,Paramètres!$A$1:$I$89,3,0)*0.475*44/12</f>
        <v>0.56315348842535673</v>
      </c>
      <c r="EC142" s="21">
        <f>EXP(-LN(2)/2)*EC141+(1-EXP(-LN(2)/2))/(LN(2)/2)*DW142*DZ142*VLOOKUP('Données projet'!$B$14,Paramètres!$A$1:$I$89,3,0)*0.475*44/12</f>
        <v>5.5882848014175059E-8</v>
      </c>
      <c r="ED142" s="22">
        <f t="shared" si="126"/>
        <v>33.328681392017621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-1.7053025658242404E-13</v>
      </c>
      <c r="EK142" s="17">
        <f>EJ142*VLOOKUP('Données projet'!$B$15,Paramètres!$A$1:$I$89,3,0)*VLOOKUP('Données projet'!$B$15,Paramètres!$A$1:$I$89,5,0)</f>
        <v>-1.6493686416652052E-13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355.72173590705142</v>
      </c>
      <c r="EP142" s="59">
        <f t="shared" si="154"/>
        <v>346.30980704469363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31.695536009431496</v>
      </c>
      <c r="EW142" s="21">
        <f>EXP(-LN(2)/25)*EW141+(1-EXP(-LN(2)/25))/(LN(2)/25)*Calculateur!ER142*Calculateur!ET142*VLOOKUP('Données projet'!$B$15,Paramètres!$A$1:$I$89,3,0)*0.475*44/12</f>
        <v>0.54476313502975371</v>
      </c>
      <c r="EX142" s="21">
        <f>EXP(-LN(2)/2)*EX141+(1-EXP(-LN(2)/2))/(LN(2)/2)*ER142*EU142*VLOOKUP('Données projet'!$B$15,Paramètres!$A$1:$I$89,3,0)*0.475*44/12</f>
        <v>6.662954955536234E-8</v>
      </c>
      <c r="EY142" s="22">
        <f t="shared" si="129"/>
        <v>32.240299211090793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-1.7053025658242404E-13</v>
      </c>
      <c r="FF142" s="17">
        <f>FE142*VLOOKUP('Données projet'!$B$16,Paramètres!$A$1:$I$89,3,0)*VLOOKUP('Données projet'!$B$16,Paramètres!$A$1:$I$89,5,0)</f>
        <v>-1.250327841262333E-13</v>
      </c>
      <c r="FG142" s="13" t="e">
        <f t="shared" si="155"/>
        <v>#NUM!</v>
      </c>
      <c r="FH142" s="20" t="e">
        <f t="shared" si="130"/>
        <v>#NUM!</v>
      </c>
      <c r="FI142" s="59" t="e">
        <f t="shared" si="131"/>
        <v>#NUM!</v>
      </c>
      <c r="FJ142" s="59">
        <f ca="1">AVERAGE(OFFSET($FI$3,0,0,'Données projet'!$E$16+1,1))-AVERAGE(OFFSET($H$3,0,0,'Données projet'!$E$16+1,1))</f>
        <v>278.45534008146865</v>
      </c>
      <c r="FK142" s="59">
        <f t="shared" si="156"/>
        <v>272.97841038165217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24.027261168440024</v>
      </c>
      <c r="FR142" s="21">
        <f>EXP(-LN(2)/25)*FR141+(1-EXP(-LN(2)/25))/(LN(2)/25)*Calculateur!FM142*Calculateur!FO142*VLOOKUP('Données projet'!$B$16,Paramètres!$A$1:$I$89,3,0)*0.475*44/12</f>
        <v>0.41296560236126473</v>
      </c>
      <c r="FS142" s="21">
        <f>EXP(-LN(2)/2)*FS141+(1-EXP(-LN(2)/2))/(LN(2)/2)*FM142*FP142*VLOOKUP('Données projet'!$B$16,Paramètres!$A$1:$I$89,3,0)*0.475*44/12</f>
        <v>5.0509497243581174E-8</v>
      </c>
      <c r="FT142" s="22">
        <f t="shared" si="132"/>
        <v>24.440226821310787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5.833333333333333</v>
      </c>
      <c r="N143" s="13">
        <f>IF('Données projet'!$A$36&gt;35,N142+M143-V142,IF(A143&lt;'Données projet'!$A$36,$K$205^A143,IF(A143='Données projet'!$A$36,'Données projet'!$B$36,N142+M143-V142)))</f>
        <v>310.16666666666629</v>
      </c>
      <c r="O143" s="13">
        <f>N143*VLOOKUP('Données projet'!$B$9,Paramètres!$A$1:$I$89,3,0)*VLOOKUP('Données projet'!$B$9,Paramètres!$A$1:$I$89,5,0)</f>
        <v>280.63879999999966</v>
      </c>
      <c r="P143" s="13">
        <f t="shared" si="141"/>
        <v>67.101987774874374</v>
      </c>
      <c r="Q143" s="20">
        <f t="shared" si="108"/>
        <v>605.64853870790557</v>
      </c>
      <c r="R143" s="59">
        <f t="shared" si="109"/>
        <v>898.98187204123883</v>
      </c>
      <c r="S143" s="59">
        <f ca="1">AVERAGE(OFFSET($R$3,0,0,'Données projet'!$E$9+1,1))-AVERAGE(OFFSET($H$3,0,0,'Données projet'!$E$9+1,1))</f>
        <v>436.03161778768742</v>
      </c>
      <c r="T143" s="59">
        <f t="shared" si="142"/>
        <v>217.65884352525285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35.820028774318878</v>
      </c>
      <c r="AA143" s="21">
        <f>EXP(-LN(2)/25)*AA142+(1-EXP(-LN(2)/25))/(LN(2)/25)*Calculateur!V143*Calculateur!X143*VLOOKUP('Données projet'!$B$9,Paramètres!$A$1:$I$89,3,0)*0.475*44/12</f>
        <v>12.64963042607199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48.469659200390865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5.833333333333333</v>
      </c>
      <c r="AI143" s="13">
        <f>IF('Données projet'!$A$62&gt;35,AI142+AH143-AQ142,IF(A143&lt;'Données projet'!$A$62,$AF$205^A143,IF(A143='Données projet'!$A$62,'Données projet'!$B$62,AI142+AH143-AQ142)))</f>
        <v>310.16666666666629</v>
      </c>
      <c r="AJ143" s="13">
        <f>AI143*VLOOKUP('Données projet'!$B$10,Paramètres!$A$1:$I$89,3,0)*VLOOKUP('Données projet'!$B$10,Paramètres!$A$1:$I$89,5,0)</f>
        <v>314.50899999999962</v>
      </c>
      <c r="AK143" s="13">
        <f t="shared" si="143"/>
        <v>74.209695975941599</v>
      </c>
      <c r="AL143" s="20">
        <f t="shared" si="112"/>
        <v>677.01839549143097</v>
      </c>
      <c r="AM143" s="59">
        <f t="shared" si="113"/>
        <v>970.35172882476422</v>
      </c>
      <c r="AN143" s="59">
        <f ca="1">AVERAGE(OFFSET($AM$3,0,0,'Données projet'!$E$10+1,1))-AVERAGE(OFFSET($H$3,0,0,'Données projet'!$E$10+1,1))</f>
        <v>483.45320081988984</v>
      </c>
      <c r="AO143" s="59">
        <f t="shared" si="144"/>
        <v>238.92443174298893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40.14313569535738</v>
      </c>
      <c r="AV143" s="21">
        <f>EXP(-LN(2)/25)*AV142+(1-EXP(-LN(2)/25))/(LN(2)/25)*Calculateur!AQ143*Calculateur!AS143*VLOOKUP('Données projet'!$B$10,Paramètres!$A$1:$I$89,3,0)*0.475*44/12</f>
        <v>14.176309960253093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54.319445655610473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1.7053025658242404E-13</v>
      </c>
      <c r="BE143" s="13">
        <f>BD143*VLOOKUP('Données projet'!$B$11,Paramètres!$A$1:$I$89,3,0)*VLOOKUP('Données projet'!$B$11,Paramètres!$A$1:$I$89,5,0)</f>
        <v>1.4897523215040567E-13</v>
      </c>
      <c r="BF143" s="13">
        <f t="shared" si="145"/>
        <v>2.136562777003313E-12</v>
      </c>
      <c r="BG143" s="20">
        <f t="shared" si="115"/>
        <v>3.9806453659427267E-12</v>
      </c>
      <c r="BH143" s="59">
        <f t="shared" si="116"/>
        <v>293.33333333333729</v>
      </c>
      <c r="BI143" s="59">
        <f ca="1">AVERAGE(OFFSET($BH$3,0,0,'Données projet'!$E$11+1,1))-AVERAGE(OFFSET($H$3,0,0,'Données projet'!$E$11+1,1))</f>
        <v>310.44153296396854</v>
      </c>
      <c r="BJ143" s="59">
        <f t="shared" si="146"/>
        <v>388.05195847800502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20.341113000892005</v>
      </c>
      <c r="BQ143" s="21">
        <f>EXP(-LN(2)/25)*BQ142+(1-EXP(-LN(2)/25))/(LN(2)/25)*Calculateur!BL143*Calculateur!BN143*VLOOKUP('Données projet'!$B$11,Paramètres!$A$1:$I$89,3,0)*0.475*44/12</f>
        <v>0.76166521645999596</v>
      </c>
      <c r="BR143" s="21">
        <f>EXP(-LN(2)/2)*BR142+(1-EXP(-LN(2)/2))/(LN(2)/2)*BL143*BO143*VLOOKUP('Données projet'!$B$11,Paramètres!$A$1:$I$89,3,0)*0.475*44/12</f>
        <v>1.1988044997595244E-9</v>
      </c>
      <c r="BS143" s="22">
        <f t="shared" si="117"/>
        <v>21.102778218550803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-2.2737367544323206E-13</v>
      </c>
      <c r="BZ143" s="13">
        <f>BY143*VLOOKUP('Données projet'!$B$12,Paramètres!$A$1:$I$89,3,0)*VLOOKUP('Données projet'!$B$12,Paramètres!$A$1:$I$89,5,0)</f>
        <v>-1.2710188457276673E-13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443.34220761968419</v>
      </c>
      <c r="CE143" s="59">
        <f t="shared" si="148"/>
        <v>546.58234447298014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52.178682020266024</v>
      </c>
      <c r="CL143" s="21">
        <f>EXP(-LN(2)/25)*CL142+(1-EXP(-LN(2)/25))/(LN(2)/25)*Calculateur!CG143*Calculateur!CI143*VLOOKUP('Données projet'!$B$12,Paramètres!$A$1:$I$89,3,0)*0.475*44/12</f>
        <v>6.5982110327256249</v>
      </c>
      <c r="CM143" s="21">
        <f>EXP(-LN(2)/2)*CM142+(1-EXP(-LN(2)/2))/(LN(2)/2)*CG143*CJ143*VLOOKUP('Données projet'!$B$12,Paramètres!$A$1:$I$89,3,0)*0.475*44/12</f>
        <v>3.9279630235921047E-11</v>
      </c>
      <c r="CN143" s="22">
        <f t="shared" si="120"/>
        <v>58.776893053030925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>
        <f>CT143*VLOOKUP('Données projet'!$B$13,Paramètres!$A$1:$I$89,3,0)*VLOOKUP('Données projet'!$B$13,Paramètres!$A$1:$I$89,5,0)</f>
        <v>0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214.22606988805535</v>
      </c>
      <c r="CZ143" s="59">
        <f t="shared" si="150"/>
        <v>305.78163836959078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29.277053279718569</v>
      </c>
      <c r="DG143" s="21">
        <f>EXP(-LN(2)/25)*DG142+(1-EXP(-LN(2)/25))/(LN(2)/25)*Calculateur!DB143*Calculateur!DD143*VLOOKUP('Données projet'!$B$13,Paramètres!$A$1:$I$89,3,0)*0.475*44/12</f>
        <v>3.8669979937393189</v>
      </c>
      <c r="DH143" s="21">
        <f>EXP(-LN(2)/2)*DH142+(1-EXP(-LN(2)/2))/(LN(2)/2)*DB143*DE143*VLOOKUP('Données projet'!$B$13,Paramètres!$A$1:$I$89,3,0)*0.475*44/12</f>
        <v>1.7167126681948363E-11</v>
      </c>
      <c r="DI143" s="22">
        <f t="shared" si="123"/>
        <v>33.144051273475057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-1.7053025658242404E-13</v>
      </c>
      <c r="DP143" s="17">
        <f>DO143*VLOOKUP('Données projet'!$B$14,Paramètres!$A$1:$I$89,3,0)*VLOOKUP('Données projet'!$B$14,Paramètres!$A$1:$I$89,5,0)</f>
        <v>-1.383341441396624E-13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304.26232113495314</v>
      </c>
      <c r="DU143" s="59">
        <f t="shared" si="152"/>
        <v>297.47246687305056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32.123015831614467</v>
      </c>
      <c r="EB143" s="21">
        <f>EXP(-LN(2)/25)*EB142+(1-EXP(-LN(2)/25))/(LN(2)/25)*Calculateur!DW143*Calculateur!DY143*VLOOKUP('Données projet'!$B$14,Paramètres!$A$1:$I$89,3,0)*0.475*44/12</f>
        <v>0.54775402666941053</v>
      </c>
      <c r="EC143" s="21">
        <f>EXP(-LN(2)/2)*EC142+(1-EXP(-LN(2)/2))/(LN(2)/2)*DW143*DZ143*VLOOKUP('Données projet'!$B$14,Paramètres!$A$1:$I$89,3,0)*0.475*44/12</f>
        <v>3.9515140782840375E-8</v>
      </c>
      <c r="ED143" s="22">
        <f t="shared" si="126"/>
        <v>32.670769897799019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-1.7053025658242404E-13</v>
      </c>
      <c r="EK143" s="17">
        <f>EJ143*VLOOKUP('Données projet'!$B$15,Paramètres!$A$1:$I$89,3,0)*VLOOKUP('Données projet'!$B$15,Paramètres!$A$1:$I$89,5,0)</f>
        <v>-1.6493686416652052E-13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355.72173590705142</v>
      </c>
      <c r="EP143" s="59">
        <f t="shared" si="154"/>
        <v>346.30980704469363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31.074005880654596</v>
      </c>
      <c r="EW143" s="21">
        <f>EXP(-LN(2)/25)*EW142+(1-EXP(-LN(2)/25))/(LN(2)/25)*Calculateur!ER143*Calculateur!ET143*VLOOKUP('Données projet'!$B$15,Paramètres!$A$1:$I$89,3,0)*0.475*44/12</f>
        <v>0.52986655845451691</v>
      </c>
      <c r="EX143" s="21">
        <f>EXP(-LN(2)/2)*EX142+(1-EXP(-LN(2)/2))/(LN(2)/2)*ER143*EU143*VLOOKUP('Données projet'!$B$15,Paramètres!$A$1:$I$89,3,0)*0.475*44/12</f>
        <v>4.7114206318001825E-8</v>
      </c>
      <c r="EY143" s="22">
        <f t="shared" si="129"/>
        <v>31.60387248622332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-1.7053025658242404E-13</v>
      </c>
      <c r="FF143" s="17">
        <f>FE143*VLOOKUP('Données projet'!$B$16,Paramètres!$A$1:$I$89,3,0)*VLOOKUP('Données projet'!$B$16,Paramètres!$A$1:$I$89,5,0)</f>
        <v>-1.250327841262333E-13</v>
      </c>
      <c r="FG143" s="13" t="e">
        <f t="shared" si="155"/>
        <v>#NUM!</v>
      </c>
      <c r="FH143" s="20" t="e">
        <f t="shared" si="130"/>
        <v>#NUM!</v>
      </c>
      <c r="FI143" s="59" t="e">
        <f t="shared" si="131"/>
        <v>#NUM!</v>
      </c>
      <c r="FJ143" s="59">
        <f ca="1">AVERAGE(OFFSET($FI$3,0,0,'Données projet'!$E$16+1,1))-AVERAGE(OFFSET($H$3,0,0,'Données projet'!$E$16+1,1))</f>
        <v>278.45534008146865</v>
      </c>
      <c r="FK143" s="59">
        <f t="shared" si="156"/>
        <v>272.97841038165217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23.55610123210915</v>
      </c>
      <c r="FR143" s="21">
        <f>EXP(-LN(2)/25)*FR142+(1-EXP(-LN(2)/25))/(LN(2)/25)*Calculateur!FM143*Calculateur!FO143*VLOOKUP('Données projet'!$B$16,Paramètres!$A$1:$I$89,3,0)*0.475*44/12</f>
        <v>0.40167303624777878</v>
      </c>
      <c r="FS143" s="21">
        <f>EXP(-LN(2)/2)*FS142+(1-EXP(-LN(2)/2))/(LN(2)/2)*FM143*FP143*VLOOKUP('Données projet'!$B$16,Paramètres!$A$1:$I$89,3,0)*0.475*44/12</f>
        <v>3.5715608015259478E-8</v>
      </c>
      <c r="FT143" s="22">
        <f t="shared" si="132"/>
        <v>23.957774304072537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5.833333333333333</v>
      </c>
      <c r="N144" s="13">
        <f>IF('Données projet'!$A$36&gt;35,N143+M144-V143,IF(A144&lt;'Données projet'!$A$36,$K$205^A144,IF(A144='Données projet'!$A$36,'Données projet'!$B$36,N143+M144-V143)))</f>
        <v>315.9999999999996</v>
      </c>
      <c r="O144" s="13">
        <f>N144*VLOOKUP('Données projet'!$B$9,Paramètres!$A$1:$I$89,3,0)*VLOOKUP('Données projet'!$B$9,Paramètres!$A$1:$I$89,5,0)</f>
        <v>285.91679999999963</v>
      </c>
      <c r="P144" s="13">
        <f t="shared" si="141"/>
        <v>68.215872977287475</v>
      </c>
      <c r="Q144" s="20">
        <f t="shared" si="108"/>
        <v>616.78107210210828</v>
      </c>
      <c r="R144" s="59">
        <f t="shared" si="109"/>
        <v>910.11440543544154</v>
      </c>
      <c r="S144" s="59">
        <f ca="1">AVERAGE(OFFSET($R$3,0,0,'Données projet'!$E$9+1,1))-AVERAGE(OFFSET($H$3,0,0,'Données projet'!$E$9+1,1))</f>
        <v>436.03161778768742</v>
      </c>
      <c r="T144" s="59">
        <f t="shared" si="142"/>
        <v>217.65884352525285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35.117619858114722</v>
      </c>
      <c r="AA144" s="21">
        <f>EXP(-LN(2)/25)*AA143+(1-EXP(-LN(2)/25))/(LN(2)/25)*Calculateur!V144*Calculateur!X144*VLOOKUP('Données projet'!$B$9,Paramètres!$A$1:$I$89,3,0)*0.475*44/12</f>
        <v>12.303725616855898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47.421345474970622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5.833333333333333</v>
      </c>
      <c r="AI144" s="13">
        <f>IF('Données projet'!$A$62&gt;35,AI143+AH144-AQ143,IF(A144&lt;'Données projet'!$A$62,$AF$205^A144,IF(A144='Données projet'!$A$62,'Données projet'!$B$62,AI143+AH144-AQ143)))</f>
        <v>315.9999999999996</v>
      </c>
      <c r="AJ144" s="13">
        <f>AI144*VLOOKUP('Données projet'!$B$10,Paramètres!$A$1:$I$89,3,0)*VLOOKUP('Données projet'!$B$10,Paramètres!$A$1:$I$89,5,0)</f>
        <v>320.42399999999964</v>
      </c>
      <c r="AK144" s="13">
        <f t="shared" si="143"/>
        <v>75.441568308852254</v>
      </c>
      <c r="AL144" s="20">
        <f t="shared" si="112"/>
        <v>689.4658648045837</v>
      </c>
      <c r="AM144" s="59">
        <f t="shared" si="113"/>
        <v>982.79919813791707</v>
      </c>
      <c r="AN144" s="59">
        <f ca="1">AVERAGE(OFFSET($AM$3,0,0,'Données projet'!$E$10+1,1))-AVERAGE(OFFSET($H$3,0,0,'Données projet'!$E$10+1,1))</f>
        <v>483.45320081988984</v>
      </c>
      <c r="AO144" s="59">
        <f t="shared" si="144"/>
        <v>238.92443174298893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39.355953289266516</v>
      </c>
      <c r="AV144" s="21">
        <f>EXP(-LN(2)/25)*AV143+(1-EXP(-LN(2)/25))/(LN(2)/25)*Calculateur!AQ144*Calculateur!AS144*VLOOKUP('Données projet'!$B$10,Paramètres!$A$1:$I$89,3,0)*0.475*44/12</f>
        <v>13.788658018890231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53.144611308156747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1.7053025658242404E-13</v>
      </c>
      <c r="BE144" s="13">
        <f>BD144*VLOOKUP('Données projet'!$B$11,Paramètres!$A$1:$I$89,3,0)*VLOOKUP('Données projet'!$B$11,Paramètres!$A$1:$I$89,5,0)</f>
        <v>1.4897523215040567E-13</v>
      </c>
      <c r="BF144" s="13">
        <f t="shared" si="145"/>
        <v>2.136562777003313E-12</v>
      </c>
      <c r="BG144" s="20">
        <f t="shared" si="115"/>
        <v>3.9806453659427267E-12</v>
      </c>
      <c r="BH144" s="59">
        <f t="shared" si="116"/>
        <v>293.33333333333729</v>
      </c>
      <c r="BI144" s="59">
        <f ca="1">AVERAGE(OFFSET($BH$3,0,0,'Données projet'!$E$11+1,1))-AVERAGE(OFFSET($H$3,0,0,'Données projet'!$E$11+1,1))</f>
        <v>310.44153296396854</v>
      </c>
      <c r="BJ144" s="59">
        <f t="shared" si="146"/>
        <v>388.05195847800502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19.942236181798368</v>
      </c>
      <c r="BQ144" s="21">
        <f>EXP(-LN(2)/25)*BQ143+(1-EXP(-LN(2)/25))/(LN(2)/25)*Calculateur!BL144*Calculateur!BN144*VLOOKUP('Données projet'!$B$11,Paramètres!$A$1:$I$89,3,0)*0.475*44/12</f>
        <v>0.74083744106166449</v>
      </c>
      <c r="BR144" s="21">
        <f>EXP(-LN(2)/2)*BR143+(1-EXP(-LN(2)/2))/(LN(2)/2)*BL144*BO144*VLOOKUP('Données projet'!$B$11,Paramètres!$A$1:$I$89,3,0)*0.475*44/12</f>
        <v>8.4768279109690656E-10</v>
      </c>
      <c r="BS144" s="22">
        <f t="shared" si="117"/>
        <v>20.683073623707713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-2.2737367544323206E-13</v>
      </c>
      <c r="BZ144" s="13">
        <f>BY144*VLOOKUP('Données projet'!$B$12,Paramètres!$A$1:$I$89,3,0)*VLOOKUP('Données projet'!$B$12,Paramètres!$A$1:$I$89,5,0)</f>
        <v>-1.2710188457276673E-13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443.34220761968419</v>
      </c>
      <c r="CE144" s="59">
        <f t="shared" si="148"/>
        <v>546.58234447298014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51.155489891702096</v>
      </c>
      <c r="CL144" s="21">
        <f>EXP(-LN(2)/25)*CL143+(1-EXP(-LN(2)/25))/(LN(2)/25)*Calculateur!CG144*Calculateur!CI144*VLOOKUP('Données projet'!$B$12,Paramètres!$A$1:$I$89,3,0)*0.475*44/12</f>
        <v>6.4177826050509053</v>
      </c>
      <c r="CM144" s="21">
        <f>EXP(-LN(2)/2)*CM143+(1-EXP(-LN(2)/2))/(LN(2)/2)*CG144*CJ144*VLOOKUP('Données projet'!$B$12,Paramètres!$A$1:$I$89,3,0)*0.475*44/12</f>
        <v>2.777489290231992E-11</v>
      </c>
      <c r="CN144" s="22">
        <f t="shared" si="120"/>
        <v>57.573272496780774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>
        <f>CT144*VLOOKUP('Données projet'!$B$13,Paramètres!$A$1:$I$89,3,0)*VLOOKUP('Données projet'!$B$13,Paramètres!$A$1:$I$89,5,0)</f>
        <v>0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214.22606988805535</v>
      </c>
      <c r="CZ144" s="59">
        <f t="shared" si="150"/>
        <v>305.78163836959078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28.702948122142534</v>
      </c>
      <c r="DG144" s="21">
        <f>EXP(-LN(2)/25)*DG143+(1-EXP(-LN(2)/25))/(LN(2)/25)*Calculateur!DB144*Calculateur!DD144*VLOOKUP('Données projet'!$B$13,Paramètres!$A$1:$I$89,3,0)*0.475*44/12</f>
        <v>3.7612547302439308</v>
      </c>
      <c r="DH144" s="21">
        <f>EXP(-LN(2)/2)*DH143+(1-EXP(-LN(2)/2))/(LN(2)/2)*DB144*DE144*VLOOKUP('Données projet'!$B$13,Paramètres!$A$1:$I$89,3,0)*0.475*44/12</f>
        <v>1.2138991690294203E-11</v>
      </c>
      <c r="DI144" s="22">
        <f t="shared" si="123"/>
        <v>32.4642028523986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-1.7053025658242404E-13</v>
      </c>
      <c r="DP144" s="17">
        <f>DO144*VLOOKUP('Données projet'!$B$14,Paramètres!$A$1:$I$89,3,0)*VLOOKUP('Données projet'!$B$14,Paramètres!$A$1:$I$89,5,0)</f>
        <v>-1.383341441396624E-13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304.26232113495314</v>
      </c>
      <c r="DU144" s="59">
        <f t="shared" si="152"/>
        <v>297.47246687305056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31.493103084261506</v>
      </c>
      <c r="EB144" s="21">
        <f>EXP(-LN(2)/25)*EB143+(1-EXP(-LN(2)/25))/(LN(2)/25)*Calculateur!DW144*Calculateur!DY144*VLOOKUP('Données projet'!$B$14,Paramètres!$A$1:$I$89,3,0)*0.475*44/12</f>
        <v>0.5327756640050032</v>
      </c>
      <c r="EC144" s="21">
        <f>EXP(-LN(2)/2)*EC143+(1-EXP(-LN(2)/2))/(LN(2)/2)*DW144*DZ144*VLOOKUP('Données projet'!$B$14,Paramètres!$A$1:$I$89,3,0)*0.475*44/12</f>
        <v>2.794142400708753E-8</v>
      </c>
      <c r="ED144" s="22">
        <f t="shared" si="126"/>
        <v>32.025878776207932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-1.7053025658242404E-13</v>
      </c>
      <c r="EK144" s="17">
        <f>EJ144*VLOOKUP('Données projet'!$B$15,Paramètres!$A$1:$I$89,3,0)*VLOOKUP('Données projet'!$B$15,Paramètres!$A$1:$I$89,5,0)</f>
        <v>-1.6493686416652052E-13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355.72173590705142</v>
      </c>
      <c r="EP144" s="59">
        <f t="shared" si="154"/>
        <v>346.30980704469363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30.464663578607066</v>
      </c>
      <c r="EW144" s="21">
        <f>EXP(-LN(2)/25)*EW143+(1-EXP(-LN(2)/25))/(LN(2)/25)*Calculateur!ER144*Calculateur!ET144*VLOOKUP('Données projet'!$B$15,Paramètres!$A$1:$I$89,3,0)*0.475*44/12</f>
        <v>0.51537732954910687</v>
      </c>
      <c r="EX144" s="21">
        <f>EXP(-LN(2)/2)*EX143+(1-EXP(-LN(2)/2))/(LN(2)/2)*ER144*EU144*VLOOKUP('Données projet'!$B$15,Paramètres!$A$1:$I$89,3,0)*0.475*44/12</f>
        <v>3.331477477768117E-8</v>
      </c>
      <c r="EY144" s="22">
        <f t="shared" si="129"/>
        <v>30.980040941470946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-1.7053025658242404E-13</v>
      </c>
      <c r="FF144" s="17">
        <f>FE144*VLOOKUP('Données projet'!$B$16,Paramètres!$A$1:$I$89,3,0)*VLOOKUP('Données projet'!$B$16,Paramètres!$A$1:$I$89,5,0)</f>
        <v>-1.250327841262333E-13</v>
      </c>
      <c r="FG144" s="13" t="e">
        <f t="shared" si="155"/>
        <v>#NUM!</v>
      </c>
      <c r="FH144" s="20" t="e">
        <f t="shared" si="130"/>
        <v>#NUM!</v>
      </c>
      <c r="FI144" s="59" t="e">
        <f t="shared" si="131"/>
        <v>#NUM!</v>
      </c>
      <c r="FJ144" s="59">
        <f ca="1">AVERAGE(OFFSET($FI$3,0,0,'Données projet'!$E$16+1,1))-AVERAGE(OFFSET($H$3,0,0,'Données projet'!$E$16+1,1))</f>
        <v>278.45534008146865</v>
      </c>
      <c r="FK144" s="59">
        <f t="shared" si="156"/>
        <v>272.97841038165217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23.094180454750539</v>
      </c>
      <c r="FR144" s="21">
        <f>EXP(-LN(2)/25)*FR143+(1-EXP(-LN(2)/25))/(LN(2)/25)*Calculateur!FM144*Calculateur!FO144*VLOOKUP('Données projet'!$B$16,Paramètres!$A$1:$I$89,3,0)*0.475*44/12</f>
        <v>0.39068926594851633</v>
      </c>
      <c r="FS144" s="21">
        <f>EXP(-LN(2)/2)*FS143+(1-EXP(-LN(2)/2))/(LN(2)/2)*FM144*FP144*VLOOKUP('Données projet'!$B$16,Paramètres!$A$1:$I$89,3,0)*0.475*44/12</f>
        <v>2.5254748621790587E-8</v>
      </c>
      <c r="FT144" s="22">
        <f t="shared" si="132"/>
        <v>23.484869745953805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5.833333333333333</v>
      </c>
      <c r="N145" s="13">
        <f>IF('Données projet'!$A$36&gt;35,N144+M145-V144,IF(A145&lt;'Données projet'!$A$36,$K$205^A145,IF(A145='Données projet'!$A$36,'Données projet'!$B$36,N144+M145-V144)))</f>
        <v>321.83333333333292</v>
      </c>
      <c r="O145" s="13">
        <f>N145*VLOOKUP('Données projet'!$B$9,Paramètres!$A$1:$I$89,3,0)*VLOOKUP('Données projet'!$B$9,Paramètres!$A$1:$I$89,5,0)</f>
        <v>291.19479999999959</v>
      </c>
      <c r="P145" s="13">
        <f t="shared" si="141"/>
        <v>69.327367162534287</v>
      </c>
      <c r="Q145" s="20">
        <f t="shared" si="108"/>
        <v>627.90944114141314</v>
      </c>
      <c r="R145" s="59">
        <f t="shared" si="109"/>
        <v>921.24277447474651</v>
      </c>
      <c r="S145" s="59">
        <f ca="1">AVERAGE(OFFSET($R$3,0,0,'Données projet'!$E$9+1,1))-AVERAGE(OFFSET($H$3,0,0,'Données projet'!$E$9+1,1))</f>
        <v>436.03161778768742</v>
      </c>
      <c r="T145" s="59">
        <f t="shared" si="142"/>
        <v>217.65884352525285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34.428984752330194</v>
      </c>
      <c r="AA145" s="21">
        <f>EXP(-LN(2)/25)*AA144+(1-EXP(-LN(2)/25))/(LN(2)/25)*Calculateur!V145*Calculateur!X145*VLOOKUP('Données projet'!$B$9,Paramètres!$A$1:$I$89,3,0)*0.475*44/12</f>
        <v>11.967279592838164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46.396264345168362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5.833333333333333</v>
      </c>
      <c r="AI145" s="13">
        <f>IF('Données projet'!$A$62&gt;35,AI144+AH145-AQ144,IF(A145&lt;'Données projet'!$A$62,$AF$205^A145,IF(A145='Données projet'!$A$62,'Données projet'!$B$62,AI144+AH145-AQ144)))</f>
        <v>321.83333333333292</v>
      </c>
      <c r="AJ145" s="13">
        <f>AI145*VLOOKUP('Données projet'!$B$10,Paramètres!$A$1:$I$89,3,0)*VLOOKUP('Données projet'!$B$10,Paramètres!$A$1:$I$89,5,0)</f>
        <v>326.3389999999996</v>
      </c>
      <c r="AK145" s="13">
        <f t="shared" si="143"/>
        <v>76.670796358592341</v>
      </c>
      <c r="AL145" s="20">
        <f t="shared" si="112"/>
        <v>701.90872865788094</v>
      </c>
      <c r="AM145" s="59">
        <f t="shared" si="113"/>
        <v>995.24206199121431</v>
      </c>
      <c r="AN145" s="59">
        <f ca="1">AVERAGE(OFFSET($AM$3,0,0,'Données projet'!$E$10+1,1))-AVERAGE(OFFSET($H$3,0,0,'Données projet'!$E$10+1,1))</f>
        <v>483.45320081988984</v>
      </c>
      <c r="AO145" s="59">
        <f t="shared" si="144"/>
        <v>238.92443174298893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38.584207050025235</v>
      </c>
      <c r="AV145" s="21">
        <f>EXP(-LN(2)/25)*AV144+(1-EXP(-LN(2)/25))/(LN(2)/25)*Calculateur!AQ145*Calculateur!AS145*VLOOKUP('Données projet'!$B$10,Paramètres!$A$1:$I$89,3,0)*0.475*44/12</f>
        <v>13.411606440249667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51.995813490274898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1.7053025658242404E-13</v>
      </c>
      <c r="BE145" s="13">
        <f>BD145*VLOOKUP('Données projet'!$B$11,Paramètres!$A$1:$I$89,3,0)*VLOOKUP('Données projet'!$B$11,Paramètres!$A$1:$I$89,5,0)</f>
        <v>1.4897523215040567E-13</v>
      </c>
      <c r="BF145" s="13">
        <f t="shared" si="145"/>
        <v>2.136562777003313E-12</v>
      </c>
      <c r="BG145" s="20">
        <f t="shared" si="115"/>
        <v>3.9806453659427267E-12</v>
      </c>
      <c r="BH145" s="59">
        <f t="shared" si="116"/>
        <v>293.33333333333729</v>
      </c>
      <c r="BI145" s="59">
        <f ca="1">AVERAGE(OFFSET($BH$3,0,0,'Données projet'!$E$11+1,1))-AVERAGE(OFFSET($H$3,0,0,'Données projet'!$E$11+1,1))</f>
        <v>310.44153296396854</v>
      </c>
      <c r="BJ145" s="59">
        <f t="shared" si="146"/>
        <v>388.05195847800502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19.55118109383632</v>
      </c>
      <c r="BQ145" s="21">
        <f>EXP(-LN(2)/25)*BQ144+(1-EXP(-LN(2)/25))/(LN(2)/25)*Calculateur!BL145*Calculateur!BN145*VLOOKUP('Données projet'!$B$11,Paramètres!$A$1:$I$89,3,0)*0.475*44/12</f>
        <v>0.72057920227688543</v>
      </c>
      <c r="BR145" s="21">
        <f>EXP(-LN(2)/2)*BR144+(1-EXP(-LN(2)/2))/(LN(2)/2)*BL145*BO145*VLOOKUP('Données projet'!$B$11,Paramètres!$A$1:$I$89,3,0)*0.475*44/12</f>
        <v>5.9940224987976218E-10</v>
      </c>
      <c r="BS145" s="22">
        <f t="shared" si="117"/>
        <v>20.271760296712607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-2.2737367544323206E-13</v>
      </c>
      <c r="BZ145" s="13">
        <f>BY145*VLOOKUP('Données projet'!$B$12,Paramètres!$A$1:$I$89,3,0)*VLOOKUP('Données projet'!$B$12,Paramètres!$A$1:$I$89,5,0)</f>
        <v>-1.2710188457276673E-13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443.34220761968419</v>
      </c>
      <c r="CE145" s="59">
        <f t="shared" si="148"/>
        <v>546.58234447298014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50.152361936693737</v>
      </c>
      <c r="CL145" s="21">
        <f>EXP(-LN(2)/25)*CL144+(1-EXP(-LN(2)/25))/(LN(2)/25)*Calculateur!CG145*Calculateur!CI145*VLOOKUP('Données projet'!$B$12,Paramètres!$A$1:$I$89,3,0)*0.475*44/12</f>
        <v>6.2422880022192695</v>
      </c>
      <c r="CM145" s="21">
        <f>EXP(-LN(2)/2)*CM144+(1-EXP(-LN(2)/2))/(LN(2)/2)*CG145*CJ145*VLOOKUP('Données projet'!$B$12,Paramètres!$A$1:$I$89,3,0)*0.475*44/12</f>
        <v>1.9639815117960524E-11</v>
      </c>
      <c r="CN145" s="22">
        <f t="shared" si="120"/>
        <v>56.394649938932645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>
        <f>CT145*VLOOKUP('Données projet'!$B$13,Paramètres!$A$1:$I$89,3,0)*VLOOKUP('Données projet'!$B$13,Paramètres!$A$1:$I$89,5,0)</f>
        <v>0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214.22606988805535</v>
      </c>
      <c r="CZ145" s="59">
        <f t="shared" si="150"/>
        <v>305.78163836959078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28.140100816536993</v>
      </c>
      <c r="DG145" s="21">
        <f>EXP(-LN(2)/25)*DG144+(1-EXP(-LN(2)/25))/(LN(2)/25)*Calculateur!DB145*Calculateur!DD145*VLOOKUP('Données projet'!$B$13,Paramètres!$A$1:$I$89,3,0)*0.475*44/12</f>
        <v>3.6584030218496206</v>
      </c>
      <c r="DH145" s="21">
        <f>EXP(-LN(2)/2)*DH144+(1-EXP(-LN(2)/2))/(LN(2)/2)*DB145*DE145*VLOOKUP('Données projet'!$B$13,Paramètres!$A$1:$I$89,3,0)*0.475*44/12</f>
        <v>8.5835633409741813E-12</v>
      </c>
      <c r="DI145" s="22">
        <f t="shared" si="123"/>
        <v>31.798503838395199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-1.7053025658242404E-13</v>
      </c>
      <c r="DP145" s="17">
        <f>DO145*VLOOKUP('Données projet'!$B$14,Paramètres!$A$1:$I$89,3,0)*VLOOKUP('Données projet'!$B$14,Paramètres!$A$1:$I$89,5,0)</f>
        <v>-1.383341441396624E-13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304.26232113495314</v>
      </c>
      <c r="DU145" s="59">
        <f t="shared" si="152"/>
        <v>297.47246687305056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30.875542541675298</v>
      </c>
      <c r="EB145" s="21">
        <f>EXP(-LN(2)/25)*EB144+(1-EXP(-LN(2)/25))/(LN(2)/25)*Calculateur!DW145*Calculateur!DY145*VLOOKUP('Données projet'!$B$14,Paramètres!$A$1:$I$89,3,0)*0.475*44/12</f>
        <v>0.51820688545533189</v>
      </c>
      <c r="EC145" s="21">
        <f>EXP(-LN(2)/2)*EC144+(1-EXP(-LN(2)/2))/(LN(2)/2)*DW145*DZ145*VLOOKUP('Données projet'!$B$14,Paramètres!$A$1:$I$89,3,0)*0.475*44/12</f>
        <v>1.9757570391420188E-8</v>
      </c>
      <c r="ED145" s="22">
        <f t="shared" si="126"/>
        <v>31.393749446888201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-1.7053025658242404E-13</v>
      </c>
      <c r="EK145" s="17">
        <f>EJ145*VLOOKUP('Données projet'!$B$15,Paramètres!$A$1:$I$89,3,0)*VLOOKUP('Données projet'!$B$15,Paramètres!$A$1:$I$89,5,0)</f>
        <v>-1.6493686416652052E-13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355.72173590705142</v>
      </c>
      <c r="EP145" s="59">
        <f t="shared" si="154"/>
        <v>346.30980704469363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29.867270107440582</v>
      </c>
      <c r="EW145" s="21">
        <f>EXP(-LN(2)/25)*EW144+(1-EXP(-LN(2)/25))/(LN(2)/25)*Calculateur!ER145*Calculateur!ET145*VLOOKUP('Données projet'!$B$15,Paramètres!$A$1:$I$89,3,0)*0.475*44/12</f>
        <v>0.50128430937007074</v>
      </c>
      <c r="EX145" s="21">
        <f>EXP(-LN(2)/2)*EX144+(1-EXP(-LN(2)/2))/(LN(2)/2)*ER145*EU145*VLOOKUP('Données projet'!$B$15,Paramètres!$A$1:$I$89,3,0)*0.475*44/12</f>
        <v>2.3557103159000912E-8</v>
      </c>
      <c r="EY145" s="22">
        <f t="shared" si="129"/>
        <v>30.368554440367756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-1.7053025658242404E-13</v>
      </c>
      <c r="FF145" s="17">
        <f>FE145*VLOOKUP('Données projet'!$B$16,Paramètres!$A$1:$I$89,3,0)*VLOOKUP('Données projet'!$B$16,Paramètres!$A$1:$I$89,5,0)</f>
        <v>-1.250327841262333E-13</v>
      </c>
      <c r="FG145" s="13" t="e">
        <f t="shared" si="155"/>
        <v>#NUM!</v>
      </c>
      <c r="FH145" s="20" t="e">
        <f t="shared" si="130"/>
        <v>#NUM!</v>
      </c>
      <c r="FI145" s="59" t="e">
        <f t="shared" si="131"/>
        <v>#NUM!</v>
      </c>
      <c r="FJ145" s="59">
        <f ca="1">AVERAGE(OFFSET($FI$3,0,0,'Données projet'!$E$16+1,1))-AVERAGE(OFFSET($H$3,0,0,'Données projet'!$E$16+1,1))</f>
        <v>278.45534008146865</v>
      </c>
      <c r="FK145" s="59">
        <f t="shared" si="156"/>
        <v>272.97841038165217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22.641317662092074</v>
      </c>
      <c r="FR145" s="21">
        <f>EXP(-LN(2)/25)*FR144+(1-EXP(-LN(2)/25))/(LN(2)/25)*Calculateur!FM145*Calculateur!FO145*VLOOKUP('Données projet'!$B$16,Paramètres!$A$1:$I$89,3,0)*0.475*44/12</f>
        <v>0.3800058474256986</v>
      </c>
      <c r="FS145" s="21">
        <f>EXP(-LN(2)/2)*FS144+(1-EXP(-LN(2)/2))/(LN(2)/2)*FM145*FP145*VLOOKUP('Données projet'!$B$16,Paramètres!$A$1:$I$89,3,0)*0.475*44/12</f>
        <v>1.7857804007629739E-8</v>
      </c>
      <c r="FT145" s="22">
        <f t="shared" si="132"/>
        <v>23.021323527375579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5.833333333333333</v>
      </c>
      <c r="N146" s="13">
        <f>IF('Données projet'!$A$36&gt;35,N145+M146-V145,IF(A146&lt;'Données projet'!$A$36,$K$205^A146,IF(A146='Données projet'!$A$36,'Données projet'!$B$36,N145+M146-V145)))</f>
        <v>327.66666666666623</v>
      </c>
      <c r="O146" s="13">
        <f>N146*VLOOKUP('Données projet'!$B$9,Paramètres!$A$1:$I$89,3,0)*VLOOKUP('Données projet'!$B$9,Paramètres!$A$1:$I$89,5,0)</f>
        <v>296.47279999999961</v>
      </c>
      <c r="P146" s="13">
        <f t="shared" si="141"/>
        <v>70.436518667447842</v>
      </c>
      <c r="Q146" s="20">
        <f t="shared" si="108"/>
        <v>639.03373001247098</v>
      </c>
      <c r="R146" s="59">
        <f t="shared" si="109"/>
        <v>932.36706334580435</v>
      </c>
      <c r="S146" s="59">
        <f ca="1">AVERAGE(OFFSET($R$3,0,0,'Données projet'!$E$9+1,1))-AVERAGE(OFFSET($H$3,0,0,'Données projet'!$E$9+1,1))</f>
        <v>436.03161778768742</v>
      </c>
      <c r="T146" s="59">
        <f t="shared" si="142"/>
        <v>217.65884352525285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33.753853360944156</v>
      </c>
      <c r="AA146" s="21">
        <f>EXP(-LN(2)/25)*AA145+(1-EXP(-LN(2)/25))/(LN(2)/25)*Calculateur!V146*Calculateur!X146*VLOOKUP('Données projet'!$B$9,Paramètres!$A$1:$I$89,3,0)*0.475*44/12</f>
        <v>11.640033703040123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45.39388706398428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5.833333333333333</v>
      </c>
      <c r="AI146" s="13">
        <f>IF('Données projet'!$A$62&gt;35,AI145+AH146-AQ145,IF(A146&lt;'Données projet'!$A$62,$AF$205^A146,IF(A146='Données projet'!$A$62,'Données projet'!$B$62,AI145+AH146-AQ145)))</f>
        <v>327.66666666666623</v>
      </c>
      <c r="AJ146" s="13">
        <f>AI146*VLOOKUP('Données projet'!$B$10,Paramètres!$A$1:$I$89,3,0)*VLOOKUP('Données projet'!$B$10,Paramètres!$A$1:$I$89,5,0)</f>
        <v>332.25399999999956</v>
      </c>
      <c r="AK146" s="13">
        <f t="shared" si="143"/>
        <v>77.897433582023652</v>
      </c>
      <c r="AL146" s="20">
        <f t="shared" si="112"/>
        <v>714.34708015535705</v>
      </c>
      <c r="AM146" s="59">
        <f t="shared" si="113"/>
        <v>1007.6804134886904</v>
      </c>
      <c r="AN146" s="59">
        <f ca="1">AVERAGE(OFFSET($AM$3,0,0,'Données projet'!$E$10+1,1))-AVERAGE(OFFSET($H$3,0,0,'Données projet'!$E$10+1,1))</f>
        <v>483.45320081988984</v>
      </c>
      <c r="AO146" s="59">
        <f t="shared" si="144"/>
        <v>238.92443174298893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37.827594283816744</v>
      </c>
      <c r="AV146" s="21">
        <f>EXP(-LN(2)/25)*AV145+(1-EXP(-LN(2)/25))/(LN(2)/25)*Calculateur!AQ146*Calculateur!AS146*VLOOKUP('Données projet'!$B$10,Paramètres!$A$1:$I$89,3,0)*0.475*44/12</f>
        <v>13.044865356855309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50.872459640672055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1.7053025658242404E-13</v>
      </c>
      <c r="BE146" s="13">
        <f>BD146*VLOOKUP('Données projet'!$B$11,Paramètres!$A$1:$I$89,3,0)*VLOOKUP('Données projet'!$B$11,Paramètres!$A$1:$I$89,5,0)</f>
        <v>1.4897523215040567E-13</v>
      </c>
      <c r="BF146" s="13">
        <f t="shared" si="145"/>
        <v>2.136562777003313E-12</v>
      </c>
      <c r="BG146" s="20">
        <f t="shared" si="115"/>
        <v>3.9806453659427267E-12</v>
      </c>
      <c r="BH146" s="59">
        <f t="shared" si="116"/>
        <v>293.33333333333729</v>
      </c>
      <c r="BI146" s="59">
        <f ca="1">AVERAGE(OFFSET($BH$3,0,0,'Données projet'!$E$11+1,1))-AVERAGE(OFFSET($H$3,0,0,'Données projet'!$E$11+1,1))</f>
        <v>310.44153296396854</v>
      </c>
      <c r="BJ146" s="59">
        <f t="shared" si="146"/>
        <v>388.05195847800502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19.167794357629155</v>
      </c>
      <c r="BQ146" s="21">
        <f>EXP(-LN(2)/25)*BQ145+(1-EXP(-LN(2)/25))/(LN(2)/25)*Calculateur!BL146*Calculateur!BN146*VLOOKUP('Données projet'!$B$11,Paramètres!$A$1:$I$89,3,0)*0.475*44/12</f>
        <v>0.70087492609701063</v>
      </c>
      <c r="BR146" s="21">
        <f>EXP(-LN(2)/2)*BR145+(1-EXP(-LN(2)/2))/(LN(2)/2)*BL146*BO146*VLOOKUP('Données projet'!$B$11,Paramètres!$A$1:$I$89,3,0)*0.475*44/12</f>
        <v>4.2384139554845328E-10</v>
      </c>
      <c r="BS146" s="22">
        <f t="shared" si="117"/>
        <v>19.868669284150009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-2.2737367544323206E-13</v>
      </c>
      <c r="BZ146" s="13">
        <f>BY146*VLOOKUP('Données projet'!$B$12,Paramètres!$A$1:$I$89,3,0)*VLOOKUP('Données projet'!$B$12,Paramètres!$A$1:$I$89,5,0)</f>
        <v>-1.2710188457276673E-13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443.34220761968419</v>
      </c>
      <c r="CE146" s="59">
        <f t="shared" si="148"/>
        <v>546.58234447298014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49.168904709035452</v>
      </c>
      <c r="CL146" s="21">
        <f>EXP(-LN(2)/25)*CL145+(1-EXP(-LN(2)/25))/(LN(2)/25)*Calculateur!CG146*Calculateur!CI146*VLOOKUP('Données projet'!$B$12,Paramètres!$A$1:$I$89,3,0)*0.475*44/12</f>
        <v>6.0715923085309242</v>
      </c>
      <c r="CM146" s="21">
        <f>EXP(-LN(2)/2)*CM145+(1-EXP(-LN(2)/2))/(LN(2)/2)*CG146*CJ146*VLOOKUP('Données projet'!$B$12,Paramètres!$A$1:$I$89,3,0)*0.475*44/12</f>
        <v>1.388744645115996E-11</v>
      </c>
      <c r="CN146" s="22">
        <f t="shared" si="120"/>
        <v>55.24049701758026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>
        <f>CT146*VLOOKUP('Données projet'!$B$13,Paramètres!$A$1:$I$89,3,0)*VLOOKUP('Données projet'!$B$13,Paramètres!$A$1:$I$89,5,0)</f>
        <v>0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214.22606988805535</v>
      </c>
      <c r="CZ146" s="59">
        <f t="shared" si="150"/>
        <v>305.78163836959078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27.588290603291419</v>
      </c>
      <c r="DG146" s="21">
        <f>EXP(-LN(2)/25)*DG145+(1-EXP(-LN(2)/25))/(LN(2)/25)*Calculateur!DB146*Calculateur!DD146*VLOOKUP('Données projet'!$B$13,Paramètres!$A$1:$I$89,3,0)*0.475*44/12</f>
        <v>3.5583637988300891</v>
      </c>
      <c r="DH146" s="21">
        <f>EXP(-LN(2)/2)*DH145+(1-EXP(-LN(2)/2))/(LN(2)/2)*DB146*DE146*VLOOKUP('Données projet'!$B$13,Paramètres!$A$1:$I$89,3,0)*0.475*44/12</f>
        <v>6.0694958451471014E-12</v>
      </c>
      <c r="DI146" s="22">
        <f t="shared" si="123"/>
        <v>31.146654402127577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-1.7053025658242404E-13</v>
      </c>
      <c r="DP146" s="17">
        <f>DO146*VLOOKUP('Données projet'!$B$14,Paramètres!$A$1:$I$89,3,0)*VLOOKUP('Données projet'!$B$14,Paramètres!$A$1:$I$89,5,0)</f>
        <v>-1.383341441396624E-13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304.26232113495314</v>
      </c>
      <c r="DU146" s="59">
        <f t="shared" si="152"/>
        <v>297.47246687305056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30.270091984654467</v>
      </c>
      <c r="EB146" s="21">
        <f>EXP(-LN(2)/25)*EB145+(1-EXP(-LN(2)/25))/(LN(2)/25)*Calculateur!DW146*Calculateur!DY146*VLOOKUP('Données projet'!$B$14,Paramètres!$A$1:$I$89,3,0)*0.475*44/12</f>
        <v>0.50403649092124014</v>
      </c>
      <c r="EC146" s="21">
        <f>EXP(-LN(2)/2)*EC145+(1-EXP(-LN(2)/2))/(LN(2)/2)*DW146*DZ146*VLOOKUP('Données projet'!$B$14,Paramètres!$A$1:$I$89,3,0)*0.475*44/12</f>
        <v>1.3970712003543765E-8</v>
      </c>
      <c r="ED146" s="22">
        <f t="shared" si="126"/>
        <v>30.77412848954642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-1.7053025658242404E-13</v>
      </c>
      <c r="EK146" s="17">
        <f>EJ146*VLOOKUP('Données projet'!$B$15,Paramètres!$A$1:$I$89,3,0)*VLOOKUP('Données projet'!$B$15,Paramètres!$A$1:$I$89,5,0)</f>
        <v>-1.6493686416652052E-13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355.72173590705142</v>
      </c>
      <c r="EP146" s="59">
        <f t="shared" si="154"/>
        <v>346.30980704469363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29.281591157869634</v>
      </c>
      <c r="EW146" s="21">
        <f>EXP(-LN(2)/25)*EW145+(1-EXP(-LN(2)/25))/(LN(2)/25)*Calculateur!ER146*Calculateur!ET146*VLOOKUP('Données projet'!$B$15,Paramètres!$A$1:$I$89,3,0)*0.475*44/12</f>
        <v>0.48757666356895002</v>
      </c>
      <c r="EX146" s="21">
        <f>EXP(-LN(2)/2)*EX145+(1-EXP(-LN(2)/2))/(LN(2)/2)*ER146*EU146*VLOOKUP('Données projet'!$B$15,Paramètres!$A$1:$I$89,3,0)*0.475*44/12</f>
        <v>1.6657387388840585E-8</v>
      </c>
      <c r="EY146" s="22">
        <f t="shared" si="129"/>
        <v>29.769167838095974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-1.7053025658242404E-13</v>
      </c>
      <c r="FF146" s="17">
        <f>FE146*VLOOKUP('Données projet'!$B$16,Paramètres!$A$1:$I$89,3,0)*VLOOKUP('Données projet'!$B$16,Paramètres!$A$1:$I$89,5,0)</f>
        <v>-1.250327841262333E-13</v>
      </c>
      <c r="FG146" s="13" t="e">
        <f t="shared" si="155"/>
        <v>#NUM!</v>
      </c>
      <c r="FH146" s="20" t="e">
        <f t="shared" si="130"/>
        <v>#NUM!</v>
      </c>
      <c r="FI146" s="59" t="e">
        <f t="shared" si="131"/>
        <v>#NUM!</v>
      </c>
      <c r="FJ146" s="59">
        <f ca="1">AVERAGE(OFFSET($FI$3,0,0,'Données projet'!$E$16+1,1))-AVERAGE(OFFSET($H$3,0,0,'Données projet'!$E$16+1,1))</f>
        <v>278.45534008146865</v>
      </c>
      <c r="FK146" s="59">
        <f t="shared" si="156"/>
        <v>272.97841038165217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22.197335232578613</v>
      </c>
      <c r="FR146" s="21">
        <f>EXP(-LN(2)/25)*FR145+(1-EXP(-LN(2)/25))/(LN(2)/25)*Calculateur!FM146*Calculateur!FO146*VLOOKUP('Données projet'!$B$16,Paramètres!$A$1:$I$89,3,0)*0.475*44/12</f>
        <v>0.36961456754420385</v>
      </c>
      <c r="FS146" s="21">
        <f>EXP(-LN(2)/2)*FS145+(1-EXP(-LN(2)/2))/(LN(2)/2)*FM146*FP146*VLOOKUP('Données projet'!$B$16,Paramètres!$A$1:$I$89,3,0)*0.475*44/12</f>
        <v>1.2627374310895294E-8</v>
      </c>
      <c r="FT146" s="22">
        <f t="shared" si="132"/>
        <v>22.566949812750192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5.833333333333333</v>
      </c>
      <c r="N147" s="13">
        <f>IF('Données projet'!$A$36&gt;35,N146+M147-V146,IF(A147&lt;'Données projet'!$A$36,$K$205^A147,IF(A147='Données projet'!$A$36,'Données projet'!$B$36,N146+M147-V146)))</f>
        <v>333.49999999999955</v>
      </c>
      <c r="O147" s="13">
        <f>N147*VLOOKUP('Données projet'!$B$9,Paramètres!$A$1:$I$89,3,0)*VLOOKUP('Données projet'!$B$9,Paramètres!$A$1:$I$89,5,0)</f>
        <v>301.75079999999957</v>
      </c>
      <c r="P147" s="13">
        <f t="shared" si="141"/>
        <v>71.543374009247273</v>
      </c>
      <c r="Q147" s="20">
        <f t="shared" si="108"/>
        <v>650.15401973277153</v>
      </c>
      <c r="R147" s="59">
        <f t="shared" si="109"/>
        <v>943.48735306610479</v>
      </c>
      <c r="S147" s="59">
        <f ca="1">AVERAGE(OFFSET($R$3,0,0,'Données projet'!$E$9+1,1))-AVERAGE(OFFSET($H$3,0,0,'Données projet'!$E$9+1,1))</f>
        <v>436.03161778768742</v>
      </c>
      <c r="T147" s="59">
        <f t="shared" si="142"/>
        <v>217.65884352525285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33.091960884353711</v>
      </c>
      <c r="AA147" s="21">
        <f>EXP(-LN(2)/25)*AA146+(1-EXP(-LN(2)/25))/(LN(2)/25)*Calculateur!V147*Calculateur!X147*VLOOKUP('Données projet'!$B$9,Paramètres!$A$1:$I$89,3,0)*0.475*44/12</f>
        <v>11.321736369307722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44.413697253661432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5.833333333333333</v>
      </c>
      <c r="AI147" s="13">
        <f>IF('Données projet'!$A$62&gt;35,AI146+AH147-AQ146,IF(A147&lt;'Données projet'!$A$62,$AF$205^A147,IF(A147='Données projet'!$A$62,'Données projet'!$B$62,AI146+AH147-AQ146)))</f>
        <v>333.49999999999955</v>
      </c>
      <c r="AJ147" s="13">
        <f>AI147*VLOOKUP('Données projet'!$B$10,Paramètres!$A$1:$I$89,3,0)*VLOOKUP('Données projet'!$B$10,Paramètres!$A$1:$I$89,5,0)</f>
        <v>338.16899999999958</v>
      </c>
      <c r="AK147" s="13">
        <f t="shared" si="143"/>
        <v>79.121531423653366</v>
      </c>
      <c r="AL147" s="20">
        <f t="shared" si="112"/>
        <v>726.78100889619554</v>
      </c>
      <c r="AM147" s="59">
        <f t="shared" si="113"/>
        <v>1020.1143422295288</v>
      </c>
      <c r="AN147" s="59">
        <f ca="1">AVERAGE(OFFSET($AM$3,0,0,'Données projet'!$E$10+1,1))-AVERAGE(OFFSET($H$3,0,0,'Données projet'!$E$10+1,1))</f>
        <v>483.45320081988984</v>
      </c>
      <c r="AO147" s="59">
        <f t="shared" si="144"/>
        <v>238.92443174298893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37.085818232465385</v>
      </c>
      <c r="AV147" s="21">
        <f>EXP(-LN(2)/25)*AV146+(1-EXP(-LN(2)/25))/(LN(2)/25)*Calculateur!AQ147*Calculateur!AS147*VLOOKUP('Données projet'!$B$10,Paramètres!$A$1:$I$89,3,0)*0.475*44/12</f>
        <v>12.688152827672447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49.773971060137832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1.7053025658242404E-13</v>
      </c>
      <c r="BE147" s="13">
        <f>BD147*VLOOKUP('Données projet'!$B$11,Paramètres!$A$1:$I$89,3,0)*VLOOKUP('Données projet'!$B$11,Paramètres!$A$1:$I$89,5,0)</f>
        <v>1.4897523215040567E-13</v>
      </c>
      <c r="BF147" s="13">
        <f t="shared" si="145"/>
        <v>2.136562777003313E-12</v>
      </c>
      <c r="BG147" s="20">
        <f t="shared" si="115"/>
        <v>3.9806453659427267E-12</v>
      </c>
      <c r="BH147" s="59">
        <f t="shared" si="116"/>
        <v>293.33333333333729</v>
      </c>
      <c r="BI147" s="59">
        <f ca="1">AVERAGE(OFFSET($BH$3,0,0,'Données projet'!$E$11+1,1))-AVERAGE(OFFSET($H$3,0,0,'Données projet'!$E$11+1,1))</f>
        <v>310.44153296396854</v>
      </c>
      <c r="BJ147" s="59">
        <f t="shared" si="146"/>
        <v>388.05195847800502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18.791925601476194</v>
      </c>
      <c r="BQ147" s="21">
        <f>EXP(-LN(2)/25)*BQ146+(1-EXP(-LN(2)/25))/(LN(2)/25)*Calculateur!BL147*Calculateur!BN147*VLOOKUP('Données projet'!$B$11,Paramètres!$A$1:$I$89,3,0)*0.475*44/12</f>
        <v>0.68170946438547741</v>
      </c>
      <c r="BR147" s="21">
        <f>EXP(-LN(2)/2)*BR146+(1-EXP(-LN(2)/2))/(LN(2)/2)*BL147*BO147*VLOOKUP('Données projet'!$B$11,Paramètres!$A$1:$I$89,3,0)*0.475*44/12</f>
        <v>2.9970112493988109E-10</v>
      </c>
      <c r="BS147" s="22">
        <f t="shared" si="117"/>
        <v>19.473635066161371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-2.2737367544323206E-13</v>
      </c>
      <c r="BZ147" s="13">
        <f>BY147*VLOOKUP('Données projet'!$B$12,Paramètres!$A$1:$I$89,3,0)*VLOOKUP('Données projet'!$B$12,Paramètres!$A$1:$I$89,5,0)</f>
        <v>-1.2710188457276673E-13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443.34220761968419</v>
      </c>
      <c r="CE147" s="59">
        <f t="shared" si="148"/>
        <v>546.58234447298014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48.204732477761866</v>
      </c>
      <c r="CL147" s="21">
        <f>EXP(-LN(2)/25)*CL146+(1-EXP(-LN(2)/25))/(LN(2)/25)*Calculateur!CG147*Calculateur!CI147*VLOOKUP('Données projet'!$B$12,Paramètres!$A$1:$I$89,3,0)*0.475*44/12</f>
        <v>5.9055642975629832</v>
      </c>
      <c r="CM147" s="21">
        <f>EXP(-LN(2)/2)*CM146+(1-EXP(-LN(2)/2))/(LN(2)/2)*CG147*CJ147*VLOOKUP('Données projet'!$B$12,Paramètres!$A$1:$I$89,3,0)*0.475*44/12</f>
        <v>9.8199075589802618E-12</v>
      </c>
      <c r="CN147" s="22">
        <f t="shared" si="120"/>
        <v>54.110296775334668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>
        <f>CT147*VLOOKUP('Données projet'!$B$13,Paramètres!$A$1:$I$89,3,0)*VLOOKUP('Données projet'!$B$13,Paramètres!$A$1:$I$89,5,0)</f>
        <v>0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214.22606988805535</v>
      </c>
      <c r="CZ147" s="59">
        <f t="shared" si="150"/>
        <v>305.78163836959078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27.047301051756595</v>
      </c>
      <c r="DG147" s="21">
        <f>EXP(-LN(2)/25)*DG146+(1-EXP(-LN(2)/25))/(LN(2)/25)*Calculateur!DB147*Calculateur!DD147*VLOOKUP('Données projet'!$B$13,Paramètres!$A$1:$I$89,3,0)*0.475*44/12</f>
        <v>3.4610601536248611</v>
      </c>
      <c r="DH147" s="21">
        <f>EXP(-LN(2)/2)*DH146+(1-EXP(-LN(2)/2))/(LN(2)/2)*DB147*DE147*VLOOKUP('Données projet'!$B$13,Paramètres!$A$1:$I$89,3,0)*0.475*44/12</f>
        <v>4.2917816704870907E-12</v>
      </c>
      <c r="DI147" s="22">
        <f t="shared" si="123"/>
        <v>30.508361205385746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-1.7053025658242404E-13</v>
      </c>
      <c r="DP147" s="17">
        <f>DO147*VLOOKUP('Données projet'!$B$14,Paramètres!$A$1:$I$89,3,0)*VLOOKUP('Données projet'!$B$14,Paramètres!$A$1:$I$89,5,0)</f>
        <v>-1.383341441396624E-13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304.26232113495314</v>
      </c>
      <c r="DU147" s="59">
        <f t="shared" si="152"/>
        <v>297.47246687305056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29.676513943768441</v>
      </c>
      <c r="EB147" s="21">
        <f>EXP(-LN(2)/25)*EB146+(1-EXP(-LN(2)/25))/(LN(2)/25)*Calculateur!DW147*Calculateur!DY147*VLOOKUP('Données projet'!$B$14,Paramètres!$A$1:$I$89,3,0)*0.475*44/12</f>
        <v>0.49025358657087176</v>
      </c>
      <c r="EC147" s="21">
        <f>EXP(-LN(2)/2)*EC146+(1-EXP(-LN(2)/2))/(LN(2)/2)*DW147*DZ147*VLOOKUP('Données projet'!$B$14,Paramètres!$A$1:$I$89,3,0)*0.475*44/12</f>
        <v>9.8787851957100938E-9</v>
      </c>
      <c r="ED147" s="22">
        <f t="shared" si="126"/>
        <v>30.1667675402181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-1.7053025658242404E-13</v>
      </c>
      <c r="EK147" s="17">
        <f>EJ147*VLOOKUP('Données projet'!$B$15,Paramètres!$A$1:$I$89,3,0)*VLOOKUP('Données projet'!$B$15,Paramètres!$A$1:$I$89,5,0)</f>
        <v>-1.6493686416652052E-13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355.72173590705142</v>
      </c>
      <c r="EP147" s="59">
        <f t="shared" si="154"/>
        <v>346.30980704469363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28.707397015270889</v>
      </c>
      <c r="EW147" s="21">
        <f>EXP(-LN(2)/25)*EW146+(1-EXP(-LN(2)/25))/(LN(2)/25)*Calculateur!ER147*Calculateur!ET147*VLOOKUP('Données projet'!$B$15,Paramètres!$A$1:$I$89,3,0)*0.475*44/12</f>
        <v>0.4742438540631147</v>
      </c>
      <c r="EX147" s="21">
        <f>EXP(-LN(2)/2)*EX146+(1-EXP(-LN(2)/2))/(LN(2)/2)*ER147*EU147*VLOOKUP('Données projet'!$B$15,Paramètres!$A$1:$I$89,3,0)*0.475*44/12</f>
        <v>1.1778551579500456E-8</v>
      </c>
      <c r="EY147" s="22">
        <f t="shared" si="129"/>
        <v>29.181640881112557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-1.7053025658242404E-13</v>
      </c>
      <c r="FF147" s="17">
        <f>FE147*VLOOKUP('Données projet'!$B$16,Paramètres!$A$1:$I$89,3,0)*VLOOKUP('Données projet'!$B$16,Paramètres!$A$1:$I$89,5,0)</f>
        <v>-1.250327841262333E-13</v>
      </c>
      <c r="FG147" s="13" t="e">
        <f t="shared" si="155"/>
        <v>#NUM!</v>
      </c>
      <c r="FH147" s="20" t="e">
        <f t="shared" si="130"/>
        <v>#NUM!</v>
      </c>
      <c r="FI147" s="59" t="e">
        <f t="shared" si="131"/>
        <v>#NUM!</v>
      </c>
      <c r="FJ147" s="59">
        <f ca="1">AVERAGE(OFFSET($FI$3,0,0,'Données projet'!$E$16+1,1))-AVERAGE(OFFSET($H$3,0,0,'Données projet'!$E$16+1,1))</f>
        <v>278.45534008146865</v>
      </c>
      <c r="FK147" s="59">
        <f t="shared" si="156"/>
        <v>272.97841038165217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21.762059027705369</v>
      </c>
      <c r="FR147" s="21">
        <f>EXP(-LN(2)/25)*FR146+(1-EXP(-LN(2)/25))/(LN(2)/25)*Calculateur!FM147*Calculateur!FO147*VLOOKUP('Données projet'!$B$16,Paramètres!$A$1:$I$89,3,0)*0.475*44/12</f>
        <v>0.35950743775752225</v>
      </c>
      <c r="FS147" s="21">
        <f>EXP(-LN(2)/2)*FS146+(1-EXP(-LN(2)/2))/(LN(2)/2)*FM147*FP147*VLOOKUP('Données projet'!$B$16,Paramètres!$A$1:$I$89,3,0)*0.475*44/12</f>
        <v>8.9289020038148696E-9</v>
      </c>
      <c r="FT147" s="22">
        <f t="shared" si="132"/>
        <v>22.121566474391791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5.833333333333333</v>
      </c>
      <c r="N148" s="13">
        <f>IF('Données projet'!$A$36&gt;35,N147+M148-V147,IF(A148&lt;'Données projet'!$A$36,$K$205^A148,IF(A148='Données projet'!$A$36,'Données projet'!$B$36,N147+M148-V147)))</f>
        <v>339.33333333333286</v>
      </c>
      <c r="O148" s="13">
        <f>N148*VLOOKUP('Données projet'!$B$9,Paramètres!$A$1:$I$89,3,0)*VLOOKUP('Données projet'!$B$9,Paramètres!$A$1:$I$89,5,0)</f>
        <v>307.02879999999959</v>
      </c>
      <c r="P148" s="13">
        <f t="shared" si="141"/>
        <v>72.64797798464383</v>
      </c>
      <c r="Q148" s="20">
        <f t="shared" si="108"/>
        <v>661.270388323254</v>
      </c>
      <c r="R148" s="59">
        <f t="shared" si="109"/>
        <v>954.60372165658737</v>
      </c>
      <c r="S148" s="59">
        <f ca="1">AVERAGE(OFFSET($R$3,0,0,'Données projet'!$E$9+1,1))-AVERAGE(OFFSET($H$3,0,0,'Données projet'!$E$9+1,1))</f>
        <v>436.03161778768742</v>
      </c>
      <c r="T148" s="59">
        <f t="shared" si="142"/>
        <v>217.65884352525285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32.443047715514659</v>
      </c>
      <c r="AA148" s="21">
        <f>EXP(-LN(2)/25)*AA147+(1-EXP(-LN(2)/25))/(LN(2)/25)*Calculateur!V148*Calculateur!X148*VLOOKUP('Données projet'!$B$9,Paramètres!$A$1:$I$89,3,0)*0.475*44/12</f>
        <v>11.012142892904762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43.455190608419421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5.833333333333333</v>
      </c>
      <c r="AI148" s="13">
        <f>IF('Données projet'!$A$62&gt;35,AI147+AH148-AQ147,IF(A148&lt;'Données projet'!$A$62,$AF$205^A148,IF(A148='Données projet'!$A$62,'Données projet'!$B$62,AI147+AH148-AQ147)))</f>
        <v>339.33333333333286</v>
      </c>
      <c r="AJ148" s="13">
        <f>AI148*VLOOKUP('Données projet'!$B$10,Paramètres!$A$1:$I$89,3,0)*VLOOKUP('Données projet'!$B$10,Paramètres!$A$1:$I$89,5,0)</f>
        <v>344.08399999999955</v>
      </c>
      <c r="AK148" s="13">
        <f t="shared" si="143"/>
        <v>80.343139425237538</v>
      </c>
      <c r="AL148" s="20">
        <f t="shared" si="112"/>
        <v>739.21060116562137</v>
      </c>
      <c r="AM148" s="59">
        <f t="shared" si="113"/>
        <v>1032.5439344989547</v>
      </c>
      <c r="AN148" s="59">
        <f ca="1">AVERAGE(OFFSET($AM$3,0,0,'Données projet'!$E$10+1,1))-AVERAGE(OFFSET($H$3,0,0,'Données projet'!$E$10+1,1))</f>
        <v>483.45320081988984</v>
      </c>
      <c r="AO148" s="59">
        <f t="shared" si="144"/>
        <v>238.92443174298893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36.35858795704231</v>
      </c>
      <c r="AV148" s="21">
        <f>EXP(-LN(2)/25)*AV147+(1-EXP(-LN(2)/25))/(LN(2)/25)*Calculateur!AQ148*Calculateur!AS148*VLOOKUP('Données projet'!$B$10,Paramètres!$A$1:$I$89,3,0)*0.475*44/12</f>
        <v>12.341194621358786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48.699782578401098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1.7053025658242404E-13</v>
      </c>
      <c r="BE148" s="13">
        <f>BD148*VLOOKUP('Données projet'!$B$11,Paramètres!$A$1:$I$89,3,0)*VLOOKUP('Données projet'!$B$11,Paramètres!$A$1:$I$89,5,0)</f>
        <v>1.4897523215040567E-13</v>
      </c>
      <c r="BF148" s="13">
        <f t="shared" si="145"/>
        <v>2.136562777003313E-12</v>
      </c>
      <c r="BG148" s="20">
        <f t="shared" si="115"/>
        <v>3.9806453659427267E-12</v>
      </c>
      <c r="BH148" s="59">
        <f t="shared" si="116"/>
        <v>293.33333333333729</v>
      </c>
      <c r="BI148" s="59">
        <f ca="1">AVERAGE(OFFSET($BH$3,0,0,'Données projet'!$E$11+1,1))-AVERAGE(OFFSET($H$3,0,0,'Données projet'!$E$11+1,1))</f>
        <v>310.44153296396854</v>
      </c>
      <c r="BJ148" s="59">
        <f t="shared" si="146"/>
        <v>388.05195847800502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18.423427402374092</v>
      </c>
      <c r="BQ148" s="21">
        <f>EXP(-LN(2)/25)*BQ147+(1-EXP(-LN(2)/25))/(LN(2)/25)*Calculateur!BL148*Calculateur!BN148*VLOOKUP('Données projet'!$B$11,Paramètres!$A$1:$I$89,3,0)*0.475*44/12</f>
        <v>0.66306808323231392</v>
      </c>
      <c r="BR148" s="21">
        <f>EXP(-LN(2)/2)*BR147+(1-EXP(-LN(2)/2))/(LN(2)/2)*BL148*BO148*VLOOKUP('Données projet'!$B$11,Paramètres!$A$1:$I$89,3,0)*0.475*44/12</f>
        <v>2.1192069777422664E-10</v>
      </c>
      <c r="BS148" s="22">
        <f t="shared" si="117"/>
        <v>19.086495485818325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-2.2737367544323206E-13</v>
      </c>
      <c r="BZ148" s="13">
        <f>BY148*VLOOKUP('Données projet'!$B$12,Paramètres!$A$1:$I$89,3,0)*VLOOKUP('Données projet'!$B$12,Paramètres!$A$1:$I$89,5,0)</f>
        <v>-1.2710188457276673E-13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443.34220761968419</v>
      </c>
      <c r="CE148" s="59">
        <f t="shared" si="148"/>
        <v>546.58234447298014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47.259467075856563</v>
      </c>
      <c r="CL148" s="21">
        <f>EXP(-LN(2)/25)*CL147+(1-EXP(-LN(2)/25))/(LN(2)/25)*Calculateur!CG148*Calculateur!CI148*VLOOKUP('Données projet'!$B$12,Paramètres!$A$1:$I$89,3,0)*0.475*44/12</f>
        <v>5.7440763312859939</v>
      </c>
      <c r="CM148" s="21">
        <f>EXP(-LN(2)/2)*CM147+(1-EXP(-LN(2)/2))/(LN(2)/2)*CG148*CJ148*VLOOKUP('Données projet'!$B$12,Paramètres!$A$1:$I$89,3,0)*0.475*44/12</f>
        <v>6.9437232255799801E-12</v>
      </c>
      <c r="CN148" s="22">
        <f t="shared" si="120"/>
        <v>53.0035434071495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>
        <f>CT148*VLOOKUP('Données projet'!$B$13,Paramètres!$A$1:$I$89,3,0)*VLOOKUP('Données projet'!$B$13,Paramètres!$A$1:$I$89,5,0)</f>
        <v>0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214.22606988805535</v>
      </c>
      <c r="CZ148" s="59">
        <f t="shared" si="150"/>
        <v>305.78163836959078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26.516919975356323</v>
      </c>
      <c r="DG148" s="21">
        <f>EXP(-LN(2)/25)*DG147+(1-EXP(-LN(2)/25))/(LN(2)/25)*Calculateur!DB148*Calculateur!DD148*VLOOKUP('Données projet'!$B$13,Paramètres!$A$1:$I$89,3,0)*0.475*44/12</f>
        <v>3.366417281714746</v>
      </c>
      <c r="DH148" s="21">
        <f>EXP(-LN(2)/2)*DH147+(1-EXP(-LN(2)/2))/(LN(2)/2)*DB148*DE148*VLOOKUP('Données projet'!$B$13,Paramètres!$A$1:$I$89,3,0)*0.475*44/12</f>
        <v>3.0347479225735507E-12</v>
      </c>
      <c r="DI148" s="22">
        <f t="shared" si="123"/>
        <v>29.883337257074103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-1.7053025658242404E-13</v>
      </c>
      <c r="DP148" s="17">
        <f>DO148*VLOOKUP('Données projet'!$B$14,Paramètres!$A$1:$I$89,3,0)*VLOOKUP('Données projet'!$B$14,Paramètres!$A$1:$I$89,5,0)</f>
        <v>-1.383341441396624E-13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304.26232113495314</v>
      </c>
      <c r="DU148" s="59">
        <f t="shared" si="152"/>
        <v>297.47246687305056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29.094575606217333</v>
      </c>
      <c r="EB148" s="21">
        <f>EXP(-LN(2)/25)*EB147+(1-EXP(-LN(2)/25))/(LN(2)/25)*Calculateur!DW148*Calculateur!DY148*VLOOKUP('Données projet'!$B$14,Paramètres!$A$1:$I$89,3,0)*0.475*44/12</f>
        <v>0.47684757646477566</v>
      </c>
      <c r="EC148" s="21">
        <f>EXP(-LN(2)/2)*EC147+(1-EXP(-LN(2)/2))/(LN(2)/2)*DW148*DZ148*VLOOKUP('Données projet'!$B$14,Paramètres!$A$1:$I$89,3,0)*0.475*44/12</f>
        <v>6.9853560017718824E-9</v>
      </c>
      <c r="ED148" s="22">
        <f t="shared" si="126"/>
        <v>29.571423189667463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-1.7053025658242404E-13</v>
      </c>
      <c r="EK148" s="17">
        <f>EJ148*VLOOKUP('Données projet'!$B$15,Paramètres!$A$1:$I$89,3,0)*VLOOKUP('Données projet'!$B$15,Paramètres!$A$1:$I$89,5,0)</f>
        <v>-1.6493686416652052E-13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355.72173590705142</v>
      </c>
      <c r="EP148" s="59">
        <f t="shared" si="154"/>
        <v>346.30980704469363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28.14446246958466</v>
      </c>
      <c r="EW148" s="21">
        <f>EXP(-LN(2)/25)*EW147+(1-EXP(-LN(2)/25))/(LN(2)/25)*Calculateur!ER148*Calculateur!ET148*VLOOKUP('Données projet'!$B$15,Paramètres!$A$1:$I$89,3,0)*0.475*44/12</f>
        <v>0.46127563093435842</v>
      </c>
      <c r="EX148" s="21">
        <f>EXP(-LN(2)/2)*EX147+(1-EXP(-LN(2)/2))/(LN(2)/2)*ER148*EU148*VLOOKUP('Données projet'!$B$15,Paramètres!$A$1:$I$89,3,0)*0.475*44/12</f>
        <v>8.3286936944202925E-9</v>
      </c>
      <c r="EY148" s="22">
        <f t="shared" si="129"/>
        <v>28.605738108847714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-1.7053025658242404E-13</v>
      </c>
      <c r="FF148" s="17">
        <f>FE148*VLOOKUP('Données projet'!$B$16,Paramètres!$A$1:$I$89,3,0)*VLOOKUP('Données projet'!$B$16,Paramètres!$A$1:$I$89,5,0)</f>
        <v>-1.250327841262333E-13</v>
      </c>
      <c r="FG148" s="13" t="e">
        <f t="shared" si="155"/>
        <v>#NUM!</v>
      </c>
      <c r="FH148" s="20" t="e">
        <f t="shared" si="130"/>
        <v>#NUM!</v>
      </c>
      <c r="FI148" s="59" t="e">
        <f t="shared" si="131"/>
        <v>#NUM!</v>
      </c>
      <c r="FJ148" s="59">
        <f ca="1">AVERAGE(OFFSET($FI$3,0,0,'Données projet'!$E$16+1,1))-AVERAGE(OFFSET($H$3,0,0,'Données projet'!$E$16+1,1))</f>
        <v>278.45534008146865</v>
      </c>
      <c r="FK148" s="59">
        <f t="shared" si="156"/>
        <v>272.97841038165217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21.33531832371742</v>
      </c>
      <c r="FR148" s="21">
        <f>EXP(-LN(2)/25)*FR147+(1-EXP(-LN(2)/25))/(LN(2)/25)*Calculateur!FM148*Calculateur!FO148*VLOOKUP('Données projet'!$B$16,Paramètres!$A$1:$I$89,3,0)*0.475*44/12</f>
        <v>0.3496766879663683</v>
      </c>
      <c r="FS148" s="21">
        <f>EXP(-LN(2)/2)*FS147+(1-EXP(-LN(2)/2))/(LN(2)/2)*FM148*FP148*VLOOKUP('Données projet'!$B$16,Paramètres!$A$1:$I$89,3,0)*0.475*44/12</f>
        <v>6.3136871554476468E-9</v>
      </c>
      <c r="FT148" s="22">
        <f t="shared" si="132"/>
        <v>21.684995017997476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5.833333333333333</v>
      </c>
      <c r="N149" s="13">
        <f>IF('Données projet'!$A$36&gt;35,N148+M149-V148,IF(A149&lt;'Données projet'!$A$36,$K$205^A149,IF(A149='Données projet'!$A$36,'Données projet'!$B$36,N148+M149-V148)))</f>
        <v>345.16666666666617</v>
      </c>
      <c r="O149" s="13">
        <f>N149*VLOOKUP('Données projet'!$B$9,Paramètres!$A$1:$I$89,3,0)*VLOOKUP('Données projet'!$B$9,Paramètres!$A$1:$I$89,5,0)</f>
        <v>312.30679999999955</v>
      </c>
      <c r="P149" s="13">
        <f t="shared" si="141"/>
        <v>73.75037376193886</v>
      </c>
      <c r="Q149" s="20">
        <f t="shared" si="108"/>
        <v>672.38291096870944</v>
      </c>
      <c r="R149" s="59">
        <f t="shared" si="109"/>
        <v>965.7162443020427</v>
      </c>
      <c r="S149" s="59">
        <f ca="1">AVERAGE(OFFSET($R$3,0,0,'Données projet'!$E$9+1,1))-AVERAGE(OFFSET($H$3,0,0,'Données projet'!$E$9+1,1))</f>
        <v>436.03161778768742</v>
      </c>
      <c r="T149" s="59">
        <f t="shared" si="142"/>
        <v>217.65884352525285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31.806859338118588</v>
      </c>
      <c r="AA149" s="21">
        <f>EXP(-LN(2)/25)*AA148+(1-EXP(-LN(2)/25))/(LN(2)/25)*Calculateur!V149*Calculateur!X149*VLOOKUP('Données projet'!$B$9,Paramètres!$A$1:$I$89,3,0)*0.475*44/12</f>
        <v>10.711015266394856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42.517874604513445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5.833333333333333</v>
      </c>
      <c r="AI149" s="13">
        <f>IF('Données projet'!$A$62&gt;35,AI148+AH149-AQ148,IF(A149&lt;'Données projet'!$A$62,$AF$205^A149,IF(A149='Données projet'!$A$62,'Données projet'!$B$62,AI148+AH149-AQ148)))</f>
        <v>345.16666666666617</v>
      </c>
      <c r="AJ149" s="13">
        <f>AI149*VLOOKUP('Données projet'!$B$10,Paramètres!$A$1:$I$89,3,0)*VLOOKUP('Données projet'!$B$10,Paramètres!$A$1:$I$89,5,0)</f>
        <v>349.99899999999951</v>
      </c>
      <c r="AK149" s="13">
        <f t="shared" si="143"/>
        <v>81.562305327635116</v>
      </c>
      <c r="AL149" s="20">
        <f t="shared" si="112"/>
        <v>751.63594011229691</v>
      </c>
      <c r="AM149" s="59">
        <f t="shared" si="113"/>
        <v>1044.9692734456303</v>
      </c>
      <c r="AN149" s="59">
        <f ca="1">AVERAGE(OFFSET($AM$3,0,0,'Données projet'!$E$10+1,1))-AVERAGE(OFFSET($H$3,0,0,'Données projet'!$E$10+1,1))</f>
        <v>483.45320081988984</v>
      </c>
      <c r="AO149" s="59">
        <f t="shared" si="144"/>
        <v>238.92443174298893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35.645618223753615</v>
      </c>
      <c r="AV149" s="21">
        <f>EXP(-LN(2)/25)*AV148+(1-EXP(-LN(2)/25))/(LN(2)/25)*Calculateur!AQ149*Calculateur!AS149*VLOOKUP('Données projet'!$B$10,Paramètres!$A$1:$I$89,3,0)*0.475*44/12</f>
        <v>12.003724005442512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47.649342229196129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1.7053025658242404E-13</v>
      </c>
      <c r="BE149" s="13">
        <f>BD149*VLOOKUP('Données projet'!$B$11,Paramètres!$A$1:$I$89,3,0)*VLOOKUP('Données projet'!$B$11,Paramètres!$A$1:$I$89,5,0)</f>
        <v>1.4897523215040567E-13</v>
      </c>
      <c r="BF149" s="13">
        <f t="shared" si="145"/>
        <v>2.136562777003313E-12</v>
      </c>
      <c r="BG149" s="20">
        <f t="shared" si="115"/>
        <v>3.9806453659427267E-12</v>
      </c>
      <c r="BH149" s="59">
        <f t="shared" si="116"/>
        <v>293.33333333333729</v>
      </c>
      <c r="BI149" s="59">
        <f ca="1">AVERAGE(OFFSET($BH$3,0,0,'Données projet'!$E$11+1,1))-AVERAGE(OFFSET($H$3,0,0,'Données projet'!$E$11+1,1))</f>
        <v>310.44153296396854</v>
      </c>
      <c r="BJ149" s="59">
        <f t="shared" si="146"/>
        <v>388.05195847800502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18.062155228194673</v>
      </c>
      <c r="BQ149" s="21">
        <f>EXP(-LN(2)/25)*BQ148+(1-EXP(-LN(2)/25))/(LN(2)/25)*Calculateur!BL149*Calculateur!BN149*VLOOKUP('Données projet'!$B$11,Paramètres!$A$1:$I$89,3,0)*0.475*44/12</f>
        <v>0.64493645162709123</v>
      </c>
      <c r="BR149" s="21">
        <f>EXP(-LN(2)/2)*BR148+(1-EXP(-LN(2)/2))/(LN(2)/2)*BL149*BO149*VLOOKUP('Données projet'!$B$11,Paramètres!$A$1:$I$89,3,0)*0.475*44/12</f>
        <v>1.4985056246994054E-10</v>
      </c>
      <c r="BS149" s="22">
        <f t="shared" si="117"/>
        <v>18.707091679971615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-2.2737367544323206E-13</v>
      </c>
      <c r="BZ149" s="13">
        <f>BY149*VLOOKUP('Données projet'!$B$12,Paramètres!$A$1:$I$89,3,0)*VLOOKUP('Données projet'!$B$12,Paramètres!$A$1:$I$89,5,0)</f>
        <v>-1.2710188457276673E-13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443.34220761968419</v>
      </c>
      <c r="CE149" s="59">
        <f t="shared" si="148"/>
        <v>546.58234447298014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46.33273775192766</v>
      </c>
      <c r="CL149" s="21">
        <f>EXP(-LN(2)/25)*CL148+(1-EXP(-LN(2)/25))/(LN(2)/25)*Calculateur!CG149*Calculateur!CI149*VLOOKUP('Données projet'!$B$12,Paramètres!$A$1:$I$89,3,0)*0.475*44/12</f>
        <v>5.587004261939132</v>
      </c>
      <c r="CM149" s="21">
        <f>EXP(-LN(2)/2)*CM148+(1-EXP(-LN(2)/2))/(LN(2)/2)*CG149*CJ149*VLOOKUP('Données projet'!$B$12,Paramètres!$A$1:$I$89,3,0)*0.475*44/12</f>
        <v>4.9099537794901309E-12</v>
      </c>
      <c r="CN149" s="22">
        <f t="shared" si="120"/>
        <v>51.919742013871705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>
        <f>CT149*VLOOKUP('Données projet'!$B$13,Paramètres!$A$1:$I$89,3,0)*VLOOKUP('Données projet'!$B$13,Paramètres!$A$1:$I$89,5,0)</f>
        <v>0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214.22606988805535</v>
      </c>
      <c r="CZ149" s="59">
        <f t="shared" si="150"/>
        <v>305.78163836959078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25.99693934836375</v>
      </c>
      <c r="DG149" s="21">
        <f>EXP(-LN(2)/25)*DG148+(1-EXP(-LN(2)/25))/(LN(2)/25)*Calculateur!DB149*Calculateur!DD149*VLOOKUP('Données projet'!$B$13,Paramètres!$A$1:$I$89,3,0)*0.475*44/12</f>
        <v>3.2743624241140656</v>
      </c>
      <c r="DH149" s="21">
        <f>EXP(-LN(2)/2)*DH148+(1-EXP(-LN(2)/2))/(LN(2)/2)*DB149*DE149*VLOOKUP('Données projet'!$B$13,Paramètres!$A$1:$I$89,3,0)*0.475*44/12</f>
        <v>2.1458908352435453E-12</v>
      </c>
      <c r="DI149" s="22">
        <f t="shared" si="123"/>
        <v>29.271301772479962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-1.7053025658242404E-13</v>
      </c>
      <c r="DP149" s="17">
        <f>DO149*VLOOKUP('Données projet'!$B$14,Paramètres!$A$1:$I$89,3,0)*VLOOKUP('Données projet'!$B$14,Paramètres!$A$1:$I$89,5,0)</f>
        <v>-1.383341441396624E-13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304.26232113495314</v>
      </c>
      <c r="DU149" s="59">
        <f t="shared" si="152"/>
        <v>297.47246687305056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28.524048724518266</v>
      </c>
      <c r="EB149" s="21">
        <f>EXP(-LN(2)/25)*EB148+(1-EXP(-LN(2)/25))/(LN(2)/25)*Calculateur!DW149*Calculateur!DY149*VLOOKUP('Données projet'!$B$14,Paramètres!$A$1:$I$89,3,0)*0.475*44/12</f>
        <v>0.46380815441002216</v>
      </c>
      <c r="EC149" s="21">
        <f>EXP(-LN(2)/2)*EC148+(1-EXP(-LN(2)/2))/(LN(2)/2)*DW149*DZ149*VLOOKUP('Données projet'!$B$14,Paramètres!$A$1:$I$89,3,0)*0.475*44/12</f>
        <v>4.9393925978550469E-9</v>
      </c>
      <c r="ED149" s="22">
        <f t="shared" si="126"/>
        <v>28.987856883867678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-1.7053025658242404E-13</v>
      </c>
      <c r="EK149" s="17">
        <f>EJ149*VLOOKUP('Données projet'!$B$15,Paramètres!$A$1:$I$89,3,0)*VLOOKUP('Données projet'!$B$15,Paramètres!$A$1:$I$89,5,0)</f>
        <v>-1.6493686416652052E-13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355.72173590705142</v>
      </c>
      <c r="EP149" s="59">
        <f t="shared" si="154"/>
        <v>346.30980704469363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27.592566726983168</v>
      </c>
      <c r="EW149" s="21">
        <f>EXP(-LN(2)/25)*EW148+(1-EXP(-LN(2)/25))/(LN(2)/25)*Calculateur!ER149*Calculateur!ET149*VLOOKUP('Données projet'!$B$15,Paramètres!$A$1:$I$89,3,0)*0.475*44/12</f>
        <v>0.44866202454902721</v>
      </c>
      <c r="EX149" s="21">
        <f>EXP(-LN(2)/2)*EX148+(1-EXP(-LN(2)/2))/(LN(2)/2)*ER149*EU149*VLOOKUP('Données projet'!$B$15,Paramètres!$A$1:$I$89,3,0)*0.475*44/12</f>
        <v>5.8892757897502281E-9</v>
      </c>
      <c r="EY149" s="22">
        <f t="shared" si="129"/>
        <v>28.041228757421472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-1.7053025658242404E-13</v>
      </c>
      <c r="FF149" s="17">
        <f>FE149*VLOOKUP('Données projet'!$B$16,Paramètres!$A$1:$I$89,3,0)*VLOOKUP('Données projet'!$B$16,Paramètres!$A$1:$I$89,5,0)</f>
        <v>-1.250327841262333E-13</v>
      </c>
      <c r="FG149" s="13" t="e">
        <f t="shared" si="155"/>
        <v>#NUM!</v>
      </c>
      <c r="FH149" s="20" t="e">
        <f t="shared" si="130"/>
        <v>#NUM!</v>
      </c>
      <c r="FI149" s="59" t="e">
        <f t="shared" si="131"/>
        <v>#NUM!</v>
      </c>
      <c r="FJ149" s="59">
        <f ca="1">AVERAGE(OFFSET($FI$3,0,0,'Données projet'!$E$16+1,1))-AVERAGE(OFFSET($H$3,0,0,'Données projet'!$E$16+1,1))</f>
        <v>278.45534008146865</v>
      </c>
      <c r="FK149" s="59">
        <f t="shared" si="156"/>
        <v>272.97841038165217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20.916945744648547</v>
      </c>
      <c r="FR149" s="21">
        <f>EXP(-LN(2)/25)*FR148+(1-EXP(-LN(2)/25))/(LN(2)/25)*Calculateur!FM149*Calculateur!FO149*VLOOKUP('Données projet'!$B$16,Paramètres!$A$1:$I$89,3,0)*0.475*44/12</f>
        <v>0.34011476054523015</v>
      </c>
      <c r="FS149" s="21">
        <f>EXP(-LN(2)/2)*FS148+(1-EXP(-LN(2)/2))/(LN(2)/2)*FM149*FP149*VLOOKUP('Données projet'!$B$16,Paramètres!$A$1:$I$89,3,0)*0.475*44/12</f>
        <v>4.4644510019074348E-9</v>
      </c>
      <c r="FT149" s="22">
        <f t="shared" si="132"/>
        <v>21.257060509658228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>
        <f>VLOOKUP(A150,'Données projet'!$A$35:$I$55,2,0)</f>
        <v>351</v>
      </c>
      <c r="L150" s="12">
        <f>VLOOKUP(A150,'Données projet'!$A$35:$I$55,9,0)</f>
        <v>5.833333333333333</v>
      </c>
      <c r="M150" s="12">
        <f t="array" ref="M150">INDEX(L:L,MIN(IF(ISNUMBER(L150:L346),ROW(L150:L346),"")))</f>
        <v>5.833333333333333</v>
      </c>
      <c r="N150" s="13">
        <f>IF('Données projet'!$A$36&gt;35,N149+M150-V149,IF(A150&lt;'Données projet'!$A$36,$K$205^A150,IF(A150='Données projet'!$A$36,'Données projet'!$B$36,N149+M150-V149)))</f>
        <v>350.99999999999949</v>
      </c>
      <c r="O150" s="13">
        <f>N150*VLOOKUP('Données projet'!$B$9,Paramètres!$A$1:$I$89,3,0)*VLOOKUP('Données projet'!$B$9,Paramètres!$A$1:$I$89,5,0)</f>
        <v>317.58479999999952</v>
      </c>
      <c r="P150" s="13">
        <f t="shared" si="141"/>
        <v>74.850602966719833</v>
      </c>
      <c r="Q150" s="20">
        <f t="shared" si="108"/>
        <v>683.49166016703623</v>
      </c>
      <c r="R150" s="59">
        <f t="shared" si="109"/>
        <v>976.8249935003696</v>
      </c>
      <c r="S150" s="59">
        <f ca="1">AVERAGE(OFFSET($R$3,0,0,'Données projet'!$E$9+1,1))-AVERAGE(OFFSET($H$3,0,0,'Données projet'!$E$9+1,1))</f>
        <v>436.03161778768742</v>
      </c>
      <c r="T150" s="59">
        <f t="shared" si="142"/>
        <v>217.65884352525285</v>
      </c>
      <c r="U150" s="15">
        <f>IF(ISNA(VLOOKUP(A150,'Données projet'!$A$35:$I$55,3,0)),0,VLOOKUP(A150,'Données projet'!$A$35:$I$55,3,0))</f>
        <v>12</v>
      </c>
      <c r="V150" s="15">
        <f>IF(ISNA(VLOOKUP(A150,'Données projet'!$A$35:$I$55,4,0)),0,VLOOKUP(A150,'Données projet'!$A$35:$I$55,4,0))</f>
        <v>48</v>
      </c>
      <c r="W150" s="16">
        <f>IF(ISNA(VLOOKUP(A150,'Données projet'!$A$35:$I$55,5,0)),0%,VLOOKUP(A150,'Données projet'!$A$35:$I$55,5,0)*VLOOKUP('Données projet'!$B$9,Paramètres!$A$1:$I$89,7,0))</f>
        <v>0.30099999999999999</v>
      </c>
      <c r="X150" s="16">
        <f>IF(ISNA(VLOOKUP(A150,'Données projet'!$A$35:$I$55,6,0)),0%,VLOOKUP(A150,'Données projet'!$A$35:$I$55,6,0)*VLOOKUP('Données projet'!$B$9,Paramètres!$A$1:$I$89,7,0))</f>
        <v>4.3000000000000003E-2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45.634463478918278</v>
      </c>
      <c r="AA150" s="21">
        <f>EXP(-LN(2)/25)*AA149+(1-EXP(-LN(2)/25))/(LN(2)/25)*Calculateur!V150*Calculateur!X150*VLOOKUP('Données projet'!$B$9,Paramètres!$A$1:$I$89,3,0)*0.475*44/12</f>
        <v>12.474467263488382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58.108930742406656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>
        <f>VLOOKUP(A150,'Données projet'!$A$61:$I$81,2,0)</f>
        <v>351</v>
      </c>
      <c r="AG150" s="12">
        <f>VLOOKUP(A150,'Données projet'!$A$61:$I$81,9,0)</f>
        <v>5.833333333333333</v>
      </c>
      <c r="AH150" s="12">
        <f t="array" ref="AH150">INDEX(AG:AG,MIN(IF(ISNUMBER(AG150:AG346),ROW(AG150:AG346),"")))</f>
        <v>5.833333333333333</v>
      </c>
      <c r="AI150" s="13">
        <f>IF('Données projet'!$A$62&gt;35,AI149+AH150-AQ149,IF(A150&lt;'Données projet'!$A$62,$AF$205^A150,IF(A150='Données projet'!$A$62,'Données projet'!$B$62,AI149+AH150-AQ149)))</f>
        <v>350.99999999999949</v>
      </c>
      <c r="AJ150" s="13">
        <f>AI150*VLOOKUP('Données projet'!$B$10,Paramètres!$A$1:$I$89,3,0)*VLOOKUP('Données projet'!$B$10,Paramètres!$A$1:$I$89,5,0)</f>
        <v>355.91399999999948</v>
      </c>
      <c r="AK150" s="13">
        <f t="shared" si="143"/>
        <v>82.779075165580508</v>
      </c>
      <c r="AL150" s="20">
        <f t="shared" si="112"/>
        <v>764.05710591338527</v>
      </c>
      <c r="AM150" s="59">
        <f t="shared" si="113"/>
        <v>1057.3904392467186</v>
      </c>
      <c r="AN150" s="59">
        <f ca="1">AVERAGE(OFFSET($AM$3,0,0,'Données projet'!$E$10+1,1))-AVERAGE(OFFSET($H$3,0,0,'Données projet'!$E$10+1,1))</f>
        <v>483.45320081988984</v>
      </c>
      <c r="AO150" s="59">
        <f t="shared" si="144"/>
        <v>238.92443174298893</v>
      </c>
      <c r="AP150" s="15">
        <f>IF(ISNA(VLOOKUP(A150,'Données projet'!$A$61:$I$81,3,0)),0,VLOOKUP(A150,'Données projet'!$A$61:$I$81,3,0))</f>
        <v>12</v>
      </c>
      <c r="AQ150" s="15">
        <f>IF(ISNA(VLOOKUP(A150,'Données projet'!$A$61:$I$81,4,0)),0,VLOOKUP(A150,'Données projet'!$A$61:$I$81,4,0))</f>
        <v>48</v>
      </c>
      <c r="AR150" s="16">
        <f>IF(ISNA(VLOOKUP(A150,'Données projet'!$A$61:$I$81,5,0)),0%,VLOOKUP(A150,'Données projet'!$A$61:$I$81,5,0)*VLOOKUP('Données projet'!$B$10,Paramètres!$A$1:$I$89,7,0))</f>
        <v>0.30099999999999999</v>
      </c>
      <c r="AS150" s="16">
        <f>IF(ISNA(VLOOKUP(A150,'Données projet'!$A$61:$I$81,6,0)),0%,VLOOKUP(A150,'Données projet'!$A$61:$I$81,6,0)*VLOOKUP('Données projet'!$B$10,Paramètres!$A$1:$I$89,7,0))</f>
        <v>4.3000000000000003E-2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51.142071140167076</v>
      </c>
      <c r="AV150" s="21">
        <f>EXP(-LN(2)/25)*AV149+(1-EXP(-LN(2)/25))/(LN(2)/25)*Calculateur!AQ150*Calculateur!AS150*VLOOKUP('Données projet'!$B$10,Paramètres!$A$1:$I$89,3,0)*0.475*44/12</f>
        <v>13.980006415978359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65.122077556145427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1.7053025658242404E-13</v>
      </c>
      <c r="BE150" s="13">
        <f>BD150*VLOOKUP('Données projet'!$B$11,Paramètres!$A$1:$I$89,3,0)*VLOOKUP('Données projet'!$B$11,Paramètres!$A$1:$I$89,5,0)</f>
        <v>1.4897523215040567E-13</v>
      </c>
      <c r="BF150" s="13">
        <f t="shared" si="145"/>
        <v>2.136562777003313E-12</v>
      </c>
      <c r="BG150" s="20">
        <f t="shared" si="115"/>
        <v>3.9806453659427267E-12</v>
      </c>
      <c r="BH150" s="59">
        <f t="shared" si="116"/>
        <v>293.33333333333729</v>
      </c>
      <c r="BI150" s="59">
        <f ca="1">AVERAGE(OFFSET($BH$3,0,0,'Données projet'!$E$11+1,1))-AVERAGE(OFFSET($H$3,0,0,'Données projet'!$E$11+1,1))</f>
        <v>310.44153296396854</v>
      </c>
      <c r="BJ150" s="59">
        <f t="shared" si="146"/>
        <v>388.05195847800502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17.707967380996642</v>
      </c>
      <c r="BQ150" s="21">
        <f>EXP(-LN(2)/25)*BQ149+(1-EXP(-LN(2)/25))/(LN(2)/25)*Calculateur!BL150*Calculateur!BN150*VLOOKUP('Données projet'!$B$11,Paramètres!$A$1:$I$89,3,0)*0.475*44/12</f>
        <v>0.62730063044161444</v>
      </c>
      <c r="BR150" s="21">
        <f>EXP(-LN(2)/2)*BR149+(1-EXP(-LN(2)/2))/(LN(2)/2)*BL150*BO150*VLOOKUP('Données projet'!$B$11,Paramètres!$A$1:$I$89,3,0)*0.475*44/12</f>
        <v>1.0596034888711332E-10</v>
      </c>
      <c r="BS150" s="22">
        <f t="shared" si="117"/>
        <v>18.335268011544215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-2.2737367544323206E-13</v>
      </c>
      <c r="BZ150" s="13">
        <f>BY150*VLOOKUP('Données projet'!$B$12,Paramètres!$A$1:$I$89,3,0)*VLOOKUP('Données projet'!$B$12,Paramètres!$A$1:$I$89,5,0)</f>
        <v>-1.2710188457276673E-13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443.34220761968419</v>
      </c>
      <c r="CE150" s="59">
        <f t="shared" si="148"/>
        <v>546.58234447298014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45.424181024791928</v>
      </c>
      <c r="CL150" s="21">
        <f>EXP(-LN(2)/25)*CL149+(1-EXP(-LN(2)/25))/(LN(2)/25)*Calculateur!CG150*Calculateur!CI150*VLOOKUP('Données projet'!$B$12,Paramètres!$A$1:$I$89,3,0)*0.475*44/12</f>
        <v>5.4342273365886218</v>
      </c>
      <c r="CM150" s="21">
        <f>EXP(-LN(2)/2)*CM149+(1-EXP(-LN(2)/2))/(LN(2)/2)*CG150*CJ150*VLOOKUP('Données projet'!$B$12,Paramètres!$A$1:$I$89,3,0)*0.475*44/12</f>
        <v>3.47186161278999E-12</v>
      </c>
      <c r="CN150" s="22">
        <f t="shared" si="120"/>
        <v>50.858408361384022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>
        <f>CT150*VLOOKUP('Données projet'!$B$13,Paramètres!$A$1:$I$89,3,0)*VLOOKUP('Données projet'!$B$13,Paramètres!$A$1:$I$89,5,0)</f>
        <v>0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214.22606988805535</v>
      </c>
      <c r="CZ150" s="59">
        <f t="shared" si="150"/>
        <v>305.78163836959078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25.487155224309632</v>
      </c>
      <c r="DG150" s="21">
        <f>EXP(-LN(2)/25)*DG149+(1-EXP(-LN(2)/25))/(LN(2)/25)*Calculateur!DB150*Calculateur!DD150*VLOOKUP('Données projet'!$B$13,Paramètres!$A$1:$I$89,3,0)*0.475*44/12</f>
        <v>3.1848248114354303</v>
      </c>
      <c r="DH150" s="21">
        <f>EXP(-LN(2)/2)*DH149+(1-EXP(-LN(2)/2))/(LN(2)/2)*DB150*DE150*VLOOKUP('Données projet'!$B$13,Paramètres!$A$1:$I$89,3,0)*0.475*44/12</f>
        <v>1.5173739612867753E-12</v>
      </c>
      <c r="DI150" s="22">
        <f t="shared" si="123"/>
        <v>28.671980035746579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-1.7053025658242404E-13</v>
      </c>
      <c r="DP150" s="17">
        <f>DO150*VLOOKUP('Données projet'!$B$14,Paramètres!$A$1:$I$89,3,0)*VLOOKUP('Données projet'!$B$14,Paramètres!$A$1:$I$89,5,0)</f>
        <v>-1.383341441396624E-13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304.26232113495314</v>
      </c>
      <c r="DU150" s="59">
        <f t="shared" si="152"/>
        <v>297.47246687305056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27.964709526982279</v>
      </c>
      <c r="EB150" s="21">
        <f>EXP(-LN(2)/25)*EB149+(1-EXP(-LN(2)/25))/(LN(2)/25)*Calculateur!DW150*Calculateur!DY150*VLOOKUP('Données projet'!$B$14,Paramètres!$A$1:$I$89,3,0)*0.475*44/12</f>
        <v>0.4511252960370693</v>
      </c>
      <c r="EC150" s="21">
        <f>EXP(-LN(2)/2)*EC149+(1-EXP(-LN(2)/2))/(LN(2)/2)*DW150*DZ150*VLOOKUP('Données projet'!$B$14,Paramètres!$A$1:$I$89,3,0)*0.475*44/12</f>
        <v>3.4926780008859412E-9</v>
      </c>
      <c r="ED150" s="22">
        <f t="shared" si="126"/>
        <v>28.415834826512025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-1.7053025658242404E-13</v>
      </c>
      <c r="EK150" s="17">
        <f>EJ150*VLOOKUP('Données projet'!$B$15,Paramètres!$A$1:$I$89,3,0)*VLOOKUP('Données projet'!$B$15,Paramètres!$A$1:$I$89,5,0)</f>
        <v>-1.6493686416652052E-13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355.72173590705142</v>
      </c>
      <c r="EP150" s="59">
        <f t="shared" si="154"/>
        <v>346.30980704469363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27.051493323270925</v>
      </c>
      <c r="EW150" s="21">
        <f>EXP(-LN(2)/25)*EW149+(1-EXP(-LN(2)/25))/(LN(2)/25)*Calculateur!ER150*Calculateur!ET150*VLOOKUP('Données projet'!$B$15,Paramètres!$A$1:$I$89,3,0)*0.475*44/12</f>
        <v>0.43639333789362361</v>
      </c>
      <c r="EX150" s="21">
        <f>EXP(-LN(2)/2)*EX149+(1-EXP(-LN(2)/2))/(LN(2)/2)*ER150*EU150*VLOOKUP('Données projet'!$B$15,Paramètres!$A$1:$I$89,3,0)*0.475*44/12</f>
        <v>4.1643468472101463E-9</v>
      </c>
      <c r="EY150" s="22">
        <f t="shared" si="129"/>
        <v>27.487886665328894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-1.7053025658242404E-13</v>
      </c>
      <c r="FF150" s="17">
        <f>FE150*VLOOKUP('Données projet'!$B$16,Paramètres!$A$1:$I$89,3,0)*VLOOKUP('Données projet'!$B$16,Paramètres!$A$1:$I$89,5,0)</f>
        <v>-1.250327841262333E-13</v>
      </c>
      <c r="FG150" s="13" t="e">
        <f t="shared" si="155"/>
        <v>#NUM!</v>
      </c>
      <c r="FH150" s="20" t="e">
        <f t="shared" si="130"/>
        <v>#NUM!</v>
      </c>
      <c r="FI150" s="59" t="e">
        <f t="shared" si="131"/>
        <v>#NUM!</v>
      </c>
      <c r="FJ150" s="59">
        <f ca="1">AVERAGE(OFFSET($FI$3,0,0,'Données projet'!$E$16+1,1))-AVERAGE(OFFSET($H$3,0,0,'Données projet'!$E$16+1,1))</f>
        <v>278.45534008146865</v>
      </c>
      <c r="FK150" s="59">
        <f t="shared" si="156"/>
        <v>272.97841038165217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20.506777196673138</v>
      </c>
      <c r="FR150" s="21">
        <f>EXP(-LN(2)/25)*FR149+(1-EXP(-LN(2)/25))/(LN(2)/25)*Calculateur!FM150*Calculateur!FO150*VLOOKUP('Données projet'!$B$16,Paramètres!$A$1:$I$89,3,0)*0.475*44/12</f>
        <v>0.3308143045322629</v>
      </c>
      <c r="FS150" s="21">
        <f>EXP(-LN(2)/2)*FS149+(1-EXP(-LN(2)/2))/(LN(2)/2)*FM150*FP150*VLOOKUP('Données projet'!$B$16,Paramètres!$A$1:$I$89,3,0)*0.475*44/12</f>
        <v>3.1568435777238234E-9</v>
      </c>
      <c r="FT150" s="22">
        <f t="shared" si="132"/>
        <v>20.837591504362244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5.916666666666667</v>
      </c>
      <c r="N151" s="13">
        <f>IF('Données projet'!$A$36&gt;35,N150+M151-V150,IF(A151&lt;'Données projet'!$A$36,$K$205^A151,IF(A151='Données projet'!$A$36,'Données projet'!$B$36,N150+M151-V150)))</f>
        <v>308.91666666666617</v>
      </c>
      <c r="O151" s="13">
        <f>N151*VLOOKUP('Données projet'!$B$9,Paramètres!$A$1:$I$89,3,0)*VLOOKUP('Données projet'!$B$9,Paramètres!$A$1:$I$89,5,0)</f>
        <v>279.50779999999952</v>
      </c>
      <c r="P151" s="13">
        <f t="shared" si="141"/>
        <v>66.862982223469245</v>
      </c>
      <c r="Q151" s="20">
        <f t="shared" si="108"/>
        <v>603.26244570587482</v>
      </c>
      <c r="R151" s="59">
        <f t="shared" si="109"/>
        <v>896.59577903920808</v>
      </c>
      <c r="S151" s="59">
        <f ca="1">AVERAGE(OFFSET($R$3,0,0,'Données projet'!$E$9+1,1))-AVERAGE(OFFSET($H$3,0,0,'Données projet'!$E$9+1,1))</f>
        <v>436.03161778768742</v>
      </c>
      <c r="T151" s="59">
        <f t="shared" si="142"/>
        <v>217.65884352525285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44.739599484371006</v>
      </c>
      <c r="AA151" s="21">
        <f>EXP(-LN(2)/25)*AA150+(1-EXP(-LN(2)/25))/(LN(2)/25)*Calculateur!V151*Calculateur!X151*VLOOKUP('Données projet'!$B$9,Paramètres!$A$1:$I$89,3,0)*0.475*44/12</f>
        <v>12.133352300164569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56.872951784535573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5.916666666666667</v>
      </c>
      <c r="AI151" s="13">
        <f>IF('Données projet'!$A$62&gt;35,AI150+AH151-AQ150,IF(A151&lt;'Données projet'!$A$62,$AF$205^A151,IF(A151='Données projet'!$A$62,'Données projet'!$B$62,AI150+AH151-AQ150)))</f>
        <v>308.91666666666617</v>
      </c>
      <c r="AJ151" s="13">
        <f>AI151*VLOOKUP('Données projet'!$B$10,Paramètres!$A$1:$I$89,3,0)*VLOOKUP('Données projet'!$B$10,Paramètres!$A$1:$I$89,5,0)</f>
        <v>313.24149999999952</v>
      </c>
      <c r="AK151" s="13">
        <f t="shared" si="143"/>
        <v>73.945374010311554</v>
      </c>
      <c r="AL151" s="20">
        <f t="shared" si="112"/>
        <v>674.35047223462504</v>
      </c>
      <c r="AM151" s="59">
        <f t="shared" si="113"/>
        <v>967.68380556795842</v>
      </c>
      <c r="AN151" s="59">
        <f ca="1">AVERAGE(OFFSET($AM$3,0,0,'Données projet'!$E$10+1,1))-AVERAGE(OFFSET($H$3,0,0,'Données projet'!$E$10+1,1))</f>
        <v>483.45320081988984</v>
      </c>
      <c r="AO151" s="59">
        <f t="shared" si="144"/>
        <v>238.92443174298893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50.139206318691684</v>
      </c>
      <c r="AV151" s="21">
        <f>EXP(-LN(2)/25)*AV150+(1-EXP(-LN(2)/25))/(LN(2)/25)*Calculateur!AQ151*Calculateur!AS151*VLOOKUP('Données projet'!$B$10,Paramètres!$A$1:$I$89,3,0)*0.475*44/12</f>
        <v>13.597722405356844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63.736928724048525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1.7053025658242404E-13</v>
      </c>
      <c r="BE151" s="13">
        <f>BD151*VLOOKUP('Données projet'!$B$11,Paramètres!$A$1:$I$89,3,0)*VLOOKUP('Données projet'!$B$11,Paramètres!$A$1:$I$89,5,0)</f>
        <v>1.4897523215040567E-13</v>
      </c>
      <c r="BF151" s="13">
        <f t="shared" si="145"/>
        <v>2.136562777003313E-12</v>
      </c>
      <c r="BG151" s="20">
        <f t="shared" si="115"/>
        <v>3.9806453659427267E-12</v>
      </c>
      <c r="BH151" s="59">
        <f t="shared" si="116"/>
        <v>293.33333333333729</v>
      </c>
      <c r="BI151" s="59">
        <f ca="1">AVERAGE(OFFSET($BH$3,0,0,'Données projet'!$E$11+1,1))-AVERAGE(OFFSET($H$3,0,0,'Données projet'!$E$11+1,1))</f>
        <v>310.44153296396854</v>
      </c>
      <c r="BJ151" s="59">
        <f t="shared" si="146"/>
        <v>388.05195847800502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17.360724941448911</v>
      </c>
      <c r="BQ151" s="21">
        <f>EXP(-LN(2)/25)*BQ150+(1-EXP(-LN(2)/25))/(LN(2)/25)*Calculateur!BL151*Calculateur!BN151*VLOOKUP('Données projet'!$B$11,Paramètres!$A$1:$I$89,3,0)*0.475*44/12</f>
        <v>0.610147061713882</v>
      </c>
      <c r="BR151" s="21">
        <f>EXP(-LN(2)/2)*BR150+(1-EXP(-LN(2)/2))/(LN(2)/2)*BL151*BO151*VLOOKUP('Données projet'!$B$11,Paramètres!$A$1:$I$89,3,0)*0.475*44/12</f>
        <v>7.4925281234970272E-11</v>
      </c>
      <c r="BS151" s="22">
        <f t="shared" si="117"/>
        <v>17.970872003237719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-2.2737367544323206E-13</v>
      </c>
      <c r="BZ151" s="13">
        <f>BY151*VLOOKUP('Données projet'!$B$12,Paramètres!$A$1:$I$89,3,0)*VLOOKUP('Données projet'!$B$12,Paramètres!$A$1:$I$89,5,0)</f>
        <v>-1.2710188457276673E-13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443.34220761968419</v>
      </c>
      <c r="CE151" s="59">
        <f t="shared" si="148"/>
        <v>546.58234447298014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44.533440540910441</v>
      </c>
      <c r="CL151" s="21">
        <f>EXP(-LN(2)/25)*CL150+(1-EXP(-LN(2)/25))/(LN(2)/25)*Calculateur!CG151*Calculateur!CI151*VLOOKUP('Données projet'!$B$12,Paramètres!$A$1:$I$89,3,0)*0.475*44/12</f>
        <v>5.28562810429601</v>
      </c>
      <c r="CM151" s="21">
        <f>EXP(-LN(2)/2)*CM150+(1-EXP(-LN(2)/2))/(LN(2)/2)*CG151*CJ151*VLOOKUP('Données projet'!$B$12,Paramètres!$A$1:$I$89,3,0)*0.475*44/12</f>
        <v>2.4549768897450654E-12</v>
      </c>
      <c r="CN151" s="22">
        <f t="shared" si="120"/>
        <v>49.819068645208908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>
        <f>CT151*VLOOKUP('Données projet'!$B$13,Paramètres!$A$1:$I$89,3,0)*VLOOKUP('Données projet'!$B$13,Paramètres!$A$1:$I$89,5,0)</f>
        <v>0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214.22606988805535</v>
      </c>
      <c r="CZ151" s="59">
        <f t="shared" si="150"/>
        <v>305.78163836959078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24.987367655990603</v>
      </c>
      <c r="DG151" s="21">
        <f>EXP(-LN(2)/25)*DG150+(1-EXP(-LN(2)/25))/(LN(2)/25)*Calculateur!DB151*Calculateur!DD151*VLOOKUP('Données projet'!$B$13,Paramètres!$A$1:$I$89,3,0)*0.475*44/12</f>
        <v>3.0977356094840705</v>
      </c>
      <c r="DH151" s="21">
        <f>EXP(-LN(2)/2)*DH150+(1-EXP(-LN(2)/2))/(LN(2)/2)*DB151*DE151*VLOOKUP('Données projet'!$B$13,Paramètres!$A$1:$I$89,3,0)*0.475*44/12</f>
        <v>1.0729454176217727E-12</v>
      </c>
      <c r="DI151" s="22">
        <f t="shared" si="123"/>
        <v>28.085103265475745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-1.7053025658242404E-13</v>
      </c>
      <c r="DP151" s="17">
        <f>DO151*VLOOKUP('Données projet'!$B$14,Paramètres!$A$1:$I$89,3,0)*VLOOKUP('Données projet'!$B$14,Paramètres!$A$1:$I$89,5,0)</f>
        <v>-1.383341441396624E-13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304.26232113495314</v>
      </c>
      <c r="DU151" s="59">
        <f t="shared" si="152"/>
        <v>297.47246687305056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27.41633862994675</v>
      </c>
      <c r="EB151" s="21">
        <f>EXP(-LN(2)/25)*EB150+(1-EXP(-LN(2)/25))/(LN(2)/25)*Calculateur!DW151*Calculateur!DY151*VLOOKUP('Données projet'!$B$14,Paramètres!$A$1:$I$89,3,0)*0.475*44/12</f>
        <v>0.43878925109328737</v>
      </c>
      <c r="EC151" s="21">
        <f>EXP(-LN(2)/2)*EC150+(1-EXP(-LN(2)/2))/(LN(2)/2)*DW151*DZ151*VLOOKUP('Données projet'!$B$14,Paramètres!$A$1:$I$89,3,0)*0.475*44/12</f>
        <v>2.4696962989275234E-9</v>
      </c>
      <c r="ED151" s="22">
        <f t="shared" si="126"/>
        <v>27.855127883509734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-1.7053025658242404E-13</v>
      </c>
      <c r="EK151" s="17">
        <f>EJ151*VLOOKUP('Données projet'!$B$15,Paramètres!$A$1:$I$89,3,0)*VLOOKUP('Données projet'!$B$15,Paramètres!$A$1:$I$89,5,0)</f>
        <v>-1.6493686416652052E-13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355.72173590705142</v>
      </c>
      <c r="EP151" s="59">
        <f t="shared" si="154"/>
        <v>346.30980704469363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26.521030038983291</v>
      </c>
      <c r="EW151" s="21">
        <f>EXP(-LN(2)/25)*EW150+(1-EXP(-LN(2)/25))/(LN(2)/25)*Calculateur!ER151*Calculateur!ET151*VLOOKUP('Données projet'!$B$15,Paramètres!$A$1:$I$89,3,0)*0.475*44/12</f>
        <v>0.42446013911999425</v>
      </c>
      <c r="EX151" s="21">
        <f>EXP(-LN(2)/2)*EX150+(1-EXP(-LN(2)/2))/(LN(2)/2)*ER151*EU151*VLOOKUP('Données projet'!$B$15,Paramètres!$A$1:$I$89,3,0)*0.475*44/12</f>
        <v>2.944637894875114E-9</v>
      </c>
      <c r="EY151" s="22">
        <f t="shared" si="129"/>
        <v>26.945490181047923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-1.7053025658242404E-13</v>
      </c>
      <c r="FF151" s="17">
        <f>FE151*VLOOKUP('Données projet'!$B$16,Paramètres!$A$1:$I$89,3,0)*VLOOKUP('Données projet'!$B$16,Paramètres!$A$1:$I$89,5,0)</f>
        <v>-1.250327841262333E-13</v>
      </c>
      <c r="FG151" s="13" t="e">
        <f t="shared" si="155"/>
        <v>#NUM!</v>
      </c>
      <c r="FH151" s="20" t="e">
        <f t="shared" si="130"/>
        <v>#NUM!</v>
      </c>
      <c r="FI151" s="59" t="e">
        <f t="shared" si="131"/>
        <v>#NUM!</v>
      </c>
      <c r="FJ151" s="59">
        <f ca="1">AVERAGE(OFFSET($FI$3,0,0,'Données projet'!$E$16+1,1))-AVERAGE(OFFSET($H$3,0,0,'Données projet'!$E$16+1,1))</f>
        <v>278.45534008146865</v>
      </c>
      <c r="FK151" s="59">
        <f t="shared" si="156"/>
        <v>272.97841038165217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20.104651803745416</v>
      </c>
      <c r="FR151" s="21">
        <f>EXP(-LN(2)/25)*FR150+(1-EXP(-LN(2)/25))/(LN(2)/25)*Calculateur!FM151*Calculateur!FO151*VLOOKUP('Données projet'!$B$16,Paramètres!$A$1:$I$89,3,0)*0.475*44/12</f>
        <v>0.32176816997805996</v>
      </c>
      <c r="FS151" s="21">
        <f>EXP(-LN(2)/2)*FS150+(1-EXP(-LN(2)/2))/(LN(2)/2)*FM151*FP151*VLOOKUP('Données projet'!$B$16,Paramètres!$A$1:$I$89,3,0)*0.475*44/12</f>
        <v>2.2322255009537174E-9</v>
      </c>
      <c r="FT151" s="22">
        <f t="shared" si="132"/>
        <v>20.426419975955703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5.916666666666667</v>
      </c>
      <c r="N152" s="13">
        <f>IF('Données projet'!$A$36&gt;35,N151+M152-V151,IF(A152&lt;'Données projet'!$A$36,$K$205^A152,IF(A152='Données projet'!$A$36,'Données projet'!$B$36,N151+M152-V151)))</f>
        <v>314.83333333333286</v>
      </c>
      <c r="O152" s="13">
        <f>N152*VLOOKUP('Données projet'!$B$9,Paramètres!$A$1:$I$89,3,0)*VLOOKUP('Données projet'!$B$9,Paramètres!$A$1:$I$89,5,0)</f>
        <v>284.86119999999954</v>
      </c>
      <c r="P152" s="13">
        <f t="shared" si="141"/>
        <v>67.99328879815738</v>
      </c>
      <c r="Q152" s="20">
        <f t="shared" si="108"/>
        <v>614.55490132345665</v>
      </c>
      <c r="R152" s="59">
        <f t="shared" si="109"/>
        <v>907.88823465679002</v>
      </c>
      <c r="S152" s="59">
        <f ca="1">AVERAGE(OFFSET($R$3,0,0,'Données projet'!$E$9+1,1))-AVERAGE(OFFSET($H$3,0,0,'Données projet'!$E$9+1,1))</f>
        <v>436.03161778768742</v>
      </c>
      <c r="T152" s="59">
        <f t="shared" si="142"/>
        <v>217.65884352525285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43.862283226943667</v>
      </c>
      <c r="AA152" s="21">
        <f>EXP(-LN(2)/25)*AA151+(1-EXP(-LN(2)/25))/(LN(2)/25)*Calculateur!V152*Calculateur!X152*VLOOKUP('Données projet'!$B$9,Paramètres!$A$1:$I$89,3,0)*0.475*44/12</f>
        <v>11.801565143451302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55.663848370394973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5.916666666666667</v>
      </c>
      <c r="AI152" s="13">
        <f>IF('Données projet'!$A$62&gt;35,AI151+AH152-AQ151,IF(A152&lt;'Données projet'!$A$62,$AF$205^A152,IF(A152='Données projet'!$A$62,'Données projet'!$B$62,AI151+AH152-AQ151)))</f>
        <v>314.83333333333286</v>
      </c>
      <c r="AJ152" s="13">
        <f>AI152*VLOOKUP('Données projet'!$B$10,Paramètres!$A$1:$I$89,3,0)*VLOOKUP('Données projet'!$B$10,Paramètres!$A$1:$I$89,5,0)</f>
        <v>319.24099999999953</v>
      </c>
      <c r="AK152" s="13">
        <f t="shared" si="143"/>
        <v>75.195407132260641</v>
      </c>
      <c r="AL152" s="20">
        <f t="shared" si="112"/>
        <v>686.97674242201981</v>
      </c>
      <c r="AM152" s="59">
        <f t="shared" si="113"/>
        <v>980.31007575535318</v>
      </c>
      <c r="AN152" s="59">
        <f ca="1">AVERAGE(OFFSET($AM$3,0,0,'Données projet'!$E$10+1,1))-AVERAGE(OFFSET($H$3,0,0,'Données projet'!$E$10+1,1))</f>
        <v>483.45320081988984</v>
      </c>
      <c r="AO152" s="59">
        <f t="shared" si="144"/>
        <v>238.92443174298893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49.156007064678285</v>
      </c>
      <c r="AV152" s="21">
        <f>EXP(-LN(2)/25)*AV151+(1-EXP(-LN(2)/25))/(LN(2)/25)*Calculateur!AQ152*Calculateur!AS152*VLOOKUP('Données projet'!$B$10,Paramètres!$A$1:$I$89,3,0)*0.475*44/12</f>
        <v>13.225891971109219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62.381899035787505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1.7053025658242404E-13</v>
      </c>
      <c r="BE152" s="13">
        <f>BD152*VLOOKUP('Données projet'!$B$11,Paramètres!$A$1:$I$89,3,0)*VLOOKUP('Données projet'!$B$11,Paramètres!$A$1:$I$89,5,0)</f>
        <v>1.4897523215040567E-13</v>
      </c>
      <c r="BF152" s="13">
        <f t="shared" si="145"/>
        <v>2.136562777003313E-12</v>
      </c>
      <c r="BG152" s="20">
        <f t="shared" si="115"/>
        <v>3.9806453659427267E-12</v>
      </c>
      <c r="BH152" s="59">
        <f t="shared" si="116"/>
        <v>293.33333333333729</v>
      </c>
      <c r="BI152" s="59">
        <f ca="1">AVERAGE(OFFSET($BH$3,0,0,'Données projet'!$E$11+1,1))-AVERAGE(OFFSET($H$3,0,0,'Données projet'!$E$11+1,1))</f>
        <v>310.44153296396854</v>
      </c>
      <c r="BJ152" s="59">
        <f t="shared" si="146"/>
        <v>388.05195847800502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17.020291714343735</v>
      </c>
      <c r="BQ152" s="21">
        <f>EXP(-LN(2)/25)*BQ151+(1-EXP(-LN(2)/25))/(LN(2)/25)*Calculateur!BL152*Calculateur!BN152*VLOOKUP('Données projet'!$B$11,Paramètres!$A$1:$I$89,3,0)*0.475*44/12</f>
        <v>0.59346255822507643</v>
      </c>
      <c r="BR152" s="21">
        <f>EXP(-LN(2)/2)*BR151+(1-EXP(-LN(2)/2))/(LN(2)/2)*BL152*BO152*VLOOKUP('Données projet'!$B$11,Paramètres!$A$1:$I$89,3,0)*0.475*44/12</f>
        <v>5.298017444355666E-11</v>
      </c>
      <c r="BS152" s="22">
        <f t="shared" si="117"/>
        <v>17.613754272621794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-2.2737367544323206E-13</v>
      </c>
      <c r="BZ152" s="13">
        <f>BY152*VLOOKUP('Données projet'!$B$12,Paramètres!$A$1:$I$89,3,0)*VLOOKUP('Données projet'!$B$12,Paramètres!$A$1:$I$89,5,0)</f>
        <v>-1.2710188457276673E-13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443.34220761968419</v>
      </c>
      <c r="CE152" s="59">
        <f t="shared" si="148"/>
        <v>546.58234447298014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43.660166934619824</v>
      </c>
      <c r="CL152" s="21">
        <f>EXP(-LN(2)/25)*CL151+(1-EXP(-LN(2)/25))/(LN(2)/25)*Calculateur!CG152*Calculateur!CI152*VLOOKUP('Données projet'!$B$12,Paramètres!$A$1:$I$89,3,0)*0.475*44/12</f>
        <v>5.1410923258249337</v>
      </c>
      <c r="CM152" s="21">
        <f>EXP(-LN(2)/2)*CM151+(1-EXP(-LN(2)/2))/(LN(2)/2)*CG152*CJ152*VLOOKUP('Données projet'!$B$12,Paramètres!$A$1:$I$89,3,0)*0.475*44/12</f>
        <v>1.735930806394995E-12</v>
      </c>
      <c r="CN152" s="22">
        <f t="shared" si="120"/>
        <v>48.801259260446493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>
        <f>CT152*VLOOKUP('Données projet'!$B$13,Paramètres!$A$1:$I$89,3,0)*VLOOKUP('Données projet'!$B$13,Paramètres!$A$1:$I$89,5,0)</f>
        <v>0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214.22606988805535</v>
      </c>
      <c r="CZ152" s="59">
        <f t="shared" si="150"/>
        <v>305.78163836959078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24.497380617045994</v>
      </c>
      <c r="DG152" s="21">
        <f>EXP(-LN(2)/25)*DG151+(1-EXP(-LN(2)/25))/(LN(2)/25)*Calculateur!DB152*Calculateur!DD152*VLOOKUP('Données projet'!$B$13,Paramètres!$A$1:$I$89,3,0)*0.475*44/12</f>
        <v>3.0130278663398928</v>
      </c>
      <c r="DH152" s="21">
        <f>EXP(-LN(2)/2)*DH151+(1-EXP(-LN(2)/2))/(LN(2)/2)*DB152*DE152*VLOOKUP('Données projet'!$B$13,Paramètres!$A$1:$I$89,3,0)*0.475*44/12</f>
        <v>7.5868698064338767E-13</v>
      </c>
      <c r="DI152" s="22">
        <f t="shared" si="123"/>
        <v>27.510408483386648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-1.7053025658242404E-13</v>
      </c>
      <c r="DP152" s="17">
        <f>DO152*VLOOKUP('Données projet'!$B$14,Paramètres!$A$1:$I$89,3,0)*VLOOKUP('Données projet'!$B$14,Paramètres!$A$1:$I$89,5,0)</f>
        <v>-1.383341441396624E-13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304.26232113495314</v>
      </c>
      <c r="DU152" s="59">
        <f t="shared" si="152"/>
        <v>297.47246687305056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26.878720951728866</v>
      </c>
      <c r="EB152" s="21">
        <f>EXP(-LN(2)/25)*EB151+(1-EXP(-LN(2)/25))/(LN(2)/25)*Calculateur!DW152*Calculateur!DY152*VLOOKUP('Données projet'!$B$14,Paramètres!$A$1:$I$89,3,0)*0.475*44/12</f>
        <v>0.42679053594721755</v>
      </c>
      <c r="EC152" s="21">
        <f>EXP(-LN(2)/2)*EC151+(1-EXP(-LN(2)/2))/(LN(2)/2)*DW152*DZ152*VLOOKUP('Données projet'!$B$14,Paramètres!$A$1:$I$89,3,0)*0.475*44/12</f>
        <v>1.7463390004429706E-9</v>
      </c>
      <c r="ED152" s="22">
        <f t="shared" si="126"/>
        <v>27.305511489422422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-1.7053025658242404E-13</v>
      </c>
      <c r="EK152" s="17">
        <f>EJ152*VLOOKUP('Données projet'!$B$15,Paramètres!$A$1:$I$89,3,0)*VLOOKUP('Données projet'!$B$15,Paramètres!$A$1:$I$89,5,0)</f>
        <v>-1.6493686416652052E-13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355.72173590705142</v>
      </c>
      <c r="EP152" s="59">
        <f t="shared" si="154"/>
        <v>346.30980704469363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26.000968816149882</v>
      </c>
      <c r="EW152" s="21">
        <f>EXP(-LN(2)/25)*EW151+(1-EXP(-LN(2)/25))/(LN(2)/25)*Calculateur!ER152*Calculateur!ET152*VLOOKUP('Données projet'!$B$15,Paramètres!$A$1:$I$89,3,0)*0.475*44/12</f>
        <v>0.41285325429436942</v>
      </c>
      <c r="EX152" s="21">
        <f>EXP(-LN(2)/2)*EX151+(1-EXP(-LN(2)/2))/(LN(2)/2)*ER152*EU152*VLOOKUP('Données projet'!$B$15,Paramètres!$A$1:$I$89,3,0)*0.475*44/12</f>
        <v>2.0821734236050731E-9</v>
      </c>
      <c r="EY152" s="22">
        <f t="shared" si="129"/>
        <v>26.413822072526425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-1.7053025658242404E-13</v>
      </c>
      <c r="FF152" s="17">
        <f>FE152*VLOOKUP('Données projet'!$B$16,Paramètres!$A$1:$I$89,3,0)*VLOOKUP('Données projet'!$B$16,Paramètres!$A$1:$I$89,5,0)</f>
        <v>-1.250327841262333E-13</v>
      </c>
      <c r="FG152" s="13" t="e">
        <f t="shared" si="155"/>
        <v>#NUM!</v>
      </c>
      <c r="FH152" s="20" t="e">
        <f t="shared" si="130"/>
        <v>#NUM!</v>
      </c>
      <c r="FI152" s="59" t="e">
        <f t="shared" si="131"/>
        <v>#NUM!</v>
      </c>
      <c r="FJ152" s="59">
        <f ca="1">AVERAGE(OFFSET($FI$3,0,0,'Données projet'!$E$16+1,1))-AVERAGE(OFFSET($H$3,0,0,'Données projet'!$E$16+1,1))</f>
        <v>278.45534008146865</v>
      </c>
      <c r="FK152" s="59">
        <f t="shared" si="156"/>
        <v>272.97841038165217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19.710411844500733</v>
      </c>
      <c r="FR152" s="21">
        <f>EXP(-LN(2)/25)*FR151+(1-EXP(-LN(2)/25))/(LN(2)/25)*Calculateur!FM152*Calculateur!FO152*VLOOKUP('Données projet'!$B$16,Paramètres!$A$1:$I$89,3,0)*0.475*44/12</f>
        <v>0.31296940244895727</v>
      </c>
      <c r="FS152" s="21">
        <f>EXP(-LN(2)/2)*FS151+(1-EXP(-LN(2)/2))/(LN(2)/2)*FM152*FP152*VLOOKUP('Données projet'!$B$16,Paramètres!$A$1:$I$89,3,0)*0.475*44/12</f>
        <v>1.5784217888619117E-9</v>
      </c>
      <c r="FT152" s="22">
        <f t="shared" si="132"/>
        <v>20.023381248528111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5.916666666666667</v>
      </c>
      <c r="N153" s="13">
        <f>IF('Données projet'!$A$36&gt;35,N152+M153-V152,IF(A153&lt;'Données projet'!$A$36,$K$205^A153,IF(A153='Données projet'!$A$36,'Données projet'!$B$36,N152+M153-V152)))</f>
        <v>320.74999999999955</v>
      </c>
      <c r="O153" s="13">
        <f>N153*VLOOKUP('Données projet'!$B$9,Paramètres!$A$1:$I$89,3,0)*VLOOKUP('Données projet'!$B$9,Paramètres!$A$1:$I$89,5,0)</f>
        <v>290.21459999999956</v>
      </c>
      <c r="P153" s="13">
        <f t="shared" si="141"/>
        <v>69.121125368427926</v>
      </c>
      <c r="Q153" s="20">
        <f t="shared" si="108"/>
        <v>625.84305501667779</v>
      </c>
      <c r="R153" s="59">
        <f t="shared" si="109"/>
        <v>919.17638835001117</v>
      </c>
      <c r="S153" s="59">
        <f ca="1">AVERAGE(OFFSET($R$3,0,0,'Données projet'!$E$9+1,1))-AVERAGE(OFFSET($H$3,0,0,'Données projet'!$E$9+1,1))</f>
        <v>436.03161778768742</v>
      </c>
      <c r="T153" s="59">
        <f t="shared" si="142"/>
        <v>217.65884352525285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43.002170606214399</v>
      </c>
      <c r="AA153" s="21">
        <f>EXP(-LN(2)/25)*AA152+(1-EXP(-LN(2)/25))/(LN(2)/25)*Calculateur!V153*Calculateur!X153*VLOOKUP('Données projet'!$B$9,Paramètres!$A$1:$I$89,3,0)*0.475*44/12</f>
        <v>11.478850723986289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54.48102133020069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5.916666666666667</v>
      </c>
      <c r="AI153" s="13">
        <f>IF('Données projet'!$A$62&gt;35,AI152+AH153-AQ152,IF(A153&lt;'Données projet'!$A$62,$AF$205^A153,IF(A153='Données projet'!$A$62,'Données projet'!$B$62,AI152+AH153-AQ152)))</f>
        <v>320.74999999999955</v>
      </c>
      <c r="AJ153" s="13">
        <f>AI153*VLOOKUP('Données projet'!$B$10,Paramètres!$A$1:$I$89,3,0)*VLOOKUP('Données projet'!$B$10,Paramètres!$A$1:$I$89,5,0)</f>
        <v>325.24049999999954</v>
      </c>
      <c r="AK153" s="13">
        <f t="shared" si="143"/>
        <v>76.442708617145485</v>
      </c>
      <c r="AL153" s="20">
        <f t="shared" si="112"/>
        <v>699.59825500819431</v>
      </c>
      <c r="AM153" s="59">
        <f t="shared" si="113"/>
        <v>992.93158834152769</v>
      </c>
      <c r="AN153" s="59">
        <f ca="1">AVERAGE(OFFSET($AM$3,0,0,'Données projet'!$E$10+1,1))-AVERAGE(OFFSET($H$3,0,0,'Données projet'!$E$10+1,1))</f>
        <v>483.45320081988984</v>
      </c>
      <c r="AO153" s="59">
        <f t="shared" si="144"/>
        <v>238.92443174298893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48.192087748343759</v>
      </c>
      <c r="AV153" s="21">
        <f>EXP(-LN(2)/25)*AV152+(1-EXP(-LN(2)/25))/(LN(2)/25)*Calculateur!AQ153*Calculateur!AS153*VLOOKUP('Données projet'!$B$10,Paramètres!$A$1:$I$89,3,0)*0.475*44/12</f>
        <v>12.864229259639806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61.056317007983566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1.7053025658242404E-13</v>
      </c>
      <c r="BE153" s="13">
        <f>BD153*VLOOKUP('Données projet'!$B$11,Paramètres!$A$1:$I$89,3,0)*VLOOKUP('Données projet'!$B$11,Paramètres!$A$1:$I$89,5,0)</f>
        <v>1.4897523215040567E-13</v>
      </c>
      <c r="BF153" s="13">
        <f t="shared" si="145"/>
        <v>2.136562777003313E-12</v>
      </c>
      <c r="BG153" s="20">
        <f t="shared" si="115"/>
        <v>3.9806453659427267E-12</v>
      </c>
      <c r="BH153" s="59">
        <f t="shared" si="116"/>
        <v>293.33333333333729</v>
      </c>
      <c r="BI153" s="59">
        <f ca="1">AVERAGE(OFFSET($BH$3,0,0,'Données projet'!$E$11+1,1))-AVERAGE(OFFSET($H$3,0,0,'Données projet'!$E$11+1,1))</f>
        <v>310.44153296396854</v>
      </c>
      <c r="BJ153" s="59">
        <f t="shared" si="146"/>
        <v>388.05195847800502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16.686534175178327</v>
      </c>
      <c r="BQ153" s="21">
        <f>EXP(-LN(2)/25)*BQ152+(1-EXP(-LN(2)/25))/(LN(2)/25)*Calculateur!BL153*Calculateur!BN153*VLOOKUP('Données projet'!$B$11,Paramètres!$A$1:$I$89,3,0)*0.475*44/12</f>
        <v>0.57723429336157217</v>
      </c>
      <c r="BR153" s="21">
        <f>EXP(-LN(2)/2)*BR152+(1-EXP(-LN(2)/2))/(LN(2)/2)*BL153*BO153*VLOOKUP('Données projet'!$B$11,Paramètres!$A$1:$I$89,3,0)*0.475*44/12</f>
        <v>3.7462640617485136E-11</v>
      </c>
      <c r="BS153" s="22">
        <f t="shared" si="117"/>
        <v>17.263768468577364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-2.2737367544323206E-13</v>
      </c>
      <c r="BZ153" s="13">
        <f>BY153*VLOOKUP('Données projet'!$B$12,Paramètres!$A$1:$I$89,3,0)*VLOOKUP('Données projet'!$B$12,Paramètres!$A$1:$I$89,5,0)</f>
        <v>-1.2710188457276673E-13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443.34220761968419</v>
      </c>
      <c r="CE153" s="59">
        <f t="shared" si="148"/>
        <v>546.58234447298014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42.804017691104256</v>
      </c>
      <c r="CL153" s="21">
        <f>EXP(-LN(2)/25)*CL152+(1-EXP(-LN(2)/25))/(LN(2)/25)*Calculateur!CG153*Calculateur!CI153*VLOOKUP('Données projet'!$B$12,Paramètres!$A$1:$I$89,3,0)*0.475*44/12</f>
        <v>5.0005088858169557</v>
      </c>
      <c r="CM153" s="21">
        <f>EXP(-LN(2)/2)*CM152+(1-EXP(-LN(2)/2))/(LN(2)/2)*CG153*CJ153*VLOOKUP('Données projet'!$B$12,Paramètres!$A$1:$I$89,3,0)*0.475*44/12</f>
        <v>1.2274884448725327E-12</v>
      </c>
      <c r="CN153" s="22">
        <f t="shared" si="120"/>
        <v>47.804526576922441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>
        <f>CT153*VLOOKUP('Données projet'!$B$13,Paramètres!$A$1:$I$89,3,0)*VLOOKUP('Données projet'!$B$13,Paramètres!$A$1:$I$89,5,0)</f>
        <v>0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214.22606988805535</v>
      </c>
      <c r="CZ153" s="59">
        <f t="shared" si="150"/>
        <v>305.78163836959078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24.017001925072506</v>
      </c>
      <c r="DG153" s="21">
        <f>EXP(-LN(2)/25)*DG152+(1-EXP(-LN(2)/25))/(LN(2)/25)*Calculateur!DB153*Calculateur!DD153*VLOOKUP('Données projet'!$B$13,Paramètres!$A$1:$I$89,3,0)*0.475*44/12</f>
        <v>2.9306364608865794</v>
      </c>
      <c r="DH153" s="21">
        <f>EXP(-LN(2)/2)*DH152+(1-EXP(-LN(2)/2))/(LN(2)/2)*DB153*DE153*VLOOKUP('Données projet'!$B$13,Paramètres!$A$1:$I$89,3,0)*0.475*44/12</f>
        <v>5.3647270881088633E-13</v>
      </c>
      <c r="DI153" s="22">
        <f t="shared" si="123"/>
        <v>26.947638385959621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-1.7053025658242404E-13</v>
      </c>
      <c r="DP153" s="17">
        <f>DO153*VLOOKUP('Données projet'!$B$14,Paramètres!$A$1:$I$89,3,0)*VLOOKUP('Données projet'!$B$14,Paramètres!$A$1:$I$89,5,0)</f>
        <v>-1.383341441396624E-13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304.26232113495314</v>
      </c>
      <c r="DU153" s="59">
        <f t="shared" si="152"/>
        <v>297.47246687305056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26.351645628266432</v>
      </c>
      <c r="EB153" s="21">
        <f>EXP(-LN(2)/25)*EB152+(1-EXP(-LN(2)/25))/(LN(2)/25)*Calculateur!DW153*Calculateur!DY153*VLOOKUP('Données projet'!$B$14,Paramètres!$A$1:$I$89,3,0)*0.475*44/12</f>
        <v>0.41511992629780203</v>
      </c>
      <c r="EC153" s="21">
        <f>EXP(-LN(2)/2)*EC152+(1-EXP(-LN(2)/2))/(LN(2)/2)*DW153*DZ153*VLOOKUP('Données projet'!$B$14,Paramètres!$A$1:$I$89,3,0)*0.475*44/12</f>
        <v>1.2348481494637617E-9</v>
      </c>
      <c r="ED153" s="22">
        <f t="shared" si="126"/>
        <v>26.766765555799083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-1.7053025658242404E-13</v>
      </c>
      <c r="EK153" s="17">
        <f>EJ153*VLOOKUP('Données projet'!$B$15,Paramètres!$A$1:$I$89,3,0)*VLOOKUP('Données projet'!$B$15,Paramètres!$A$1:$I$89,5,0)</f>
        <v>-1.6493686416652052E-13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355.72173590705142</v>
      </c>
      <c r="EP153" s="59">
        <f t="shared" si="154"/>
        <v>346.30980704469363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25.491105676690211</v>
      </c>
      <c r="EW153" s="21">
        <f>EXP(-LN(2)/25)*EW152+(1-EXP(-LN(2)/25))/(LN(2)/25)*Calculateur!ER153*Calculateur!ET153*VLOOKUP('Données projet'!$B$15,Paramètres!$A$1:$I$89,3,0)*0.475*44/12</f>
        <v>0.40156376034468083</v>
      </c>
      <c r="EX153" s="21">
        <f>EXP(-LN(2)/2)*EX152+(1-EXP(-LN(2)/2))/(LN(2)/2)*ER153*EU153*VLOOKUP('Données projet'!$B$15,Paramètres!$A$1:$I$89,3,0)*0.475*44/12</f>
        <v>1.472318947437557E-9</v>
      </c>
      <c r="EY153" s="22">
        <f t="shared" si="129"/>
        <v>25.892669438507209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-1.7053025658242404E-13</v>
      </c>
      <c r="FF153" s="17">
        <f>FE153*VLOOKUP('Données projet'!$B$16,Paramètres!$A$1:$I$89,3,0)*VLOOKUP('Données projet'!$B$16,Paramètres!$A$1:$I$89,5,0)</f>
        <v>-1.250327841262333E-13</v>
      </c>
      <c r="FG153" s="13" t="e">
        <f t="shared" si="155"/>
        <v>#NUM!</v>
      </c>
      <c r="FH153" s="20" t="e">
        <f t="shared" si="130"/>
        <v>#NUM!</v>
      </c>
      <c r="FI153" s="59" t="e">
        <f t="shared" si="131"/>
        <v>#NUM!</v>
      </c>
      <c r="FJ153" s="59">
        <f ca="1">AVERAGE(OFFSET($FI$3,0,0,'Données projet'!$E$16+1,1))-AVERAGE(OFFSET($H$3,0,0,'Données projet'!$E$16+1,1))</f>
        <v>278.45534008146865</v>
      </c>
      <c r="FK153" s="59">
        <f t="shared" si="156"/>
        <v>272.97841038165217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19.32390269039421</v>
      </c>
      <c r="FR153" s="21">
        <f>EXP(-LN(2)/25)*FR152+(1-EXP(-LN(2)/25))/(LN(2)/25)*Calculateur!FM153*Calculateur!FO153*VLOOKUP('Données projet'!$B$16,Paramètres!$A$1:$I$89,3,0)*0.475*44/12</f>
        <v>0.30441123768064493</v>
      </c>
      <c r="FS153" s="21">
        <f>EXP(-LN(2)/2)*FS152+(1-EXP(-LN(2)/2))/(LN(2)/2)*FM153*FP153*VLOOKUP('Données projet'!$B$16,Paramètres!$A$1:$I$89,3,0)*0.475*44/12</f>
        <v>1.1161127504768587E-9</v>
      </c>
      <c r="FT153" s="22">
        <f t="shared" si="132"/>
        <v>19.628313929190966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5.916666666666667</v>
      </c>
      <c r="N154" s="13">
        <f>IF('Données projet'!$A$36&gt;35,N153+M154-V153,IF(A154&lt;'Données projet'!$A$36,$K$205^A154,IF(A154='Données projet'!$A$36,'Données projet'!$B$36,N153+M154-V153)))</f>
        <v>326.66666666666623</v>
      </c>
      <c r="O154" s="13">
        <f>N154*VLOOKUP('Données projet'!$B$9,Paramètres!$A$1:$I$89,3,0)*VLOOKUP('Données projet'!$B$9,Paramètres!$A$1:$I$89,5,0)</f>
        <v>295.56799999999959</v>
      </c>
      <c r="P154" s="13">
        <f t="shared" si="141"/>
        <v>70.246542751571198</v>
      </c>
      <c r="Q154" s="20">
        <f t="shared" ref="Q154:Q203" si="162">(O154+P154)*0.475*44/12</f>
        <v>637.12699529231918</v>
      </c>
      <c r="R154" s="59">
        <f t="shared" si="109"/>
        <v>930.46032862565244</v>
      </c>
      <c r="S154" s="59">
        <f ca="1">AVERAGE(OFFSET($R$3,0,0,'Données projet'!$E$9+1,1))-AVERAGE(OFFSET($H$3,0,0,'Données projet'!$E$9+1,1))</f>
        <v>436.03161778768742</v>
      </c>
      <c r="T154" s="59">
        <f t="shared" si="142"/>
        <v>217.65884352525285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42.158924269360732</v>
      </c>
      <c r="AA154" s="21">
        <f>EXP(-LN(2)/25)*AA153+(1-EXP(-LN(2)/25))/(LN(2)/25)*Calculateur!V154*Calculateur!X154*VLOOKUP('Données projet'!$B$9,Paramètres!$A$1:$I$89,3,0)*0.475*44/12</f>
        <v>11.164960947292359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53.323885216653089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5.916666666666667</v>
      </c>
      <c r="AI154" s="13">
        <f>IF('Données projet'!$A$62&gt;35,AI153+AH154-AQ153,IF(A154&lt;'Données projet'!$A$62,$AF$205^A154,IF(A154='Données projet'!$A$62,'Données projet'!$B$62,AI153+AH154-AQ153)))</f>
        <v>326.66666666666623</v>
      </c>
      <c r="AJ154" s="13">
        <f>AI154*VLOOKUP('Données projet'!$B$10,Paramètres!$A$1:$I$89,3,0)*VLOOKUP('Données projet'!$B$10,Paramètres!$A$1:$I$89,5,0)</f>
        <v>331.23999999999955</v>
      </c>
      <c r="AK154" s="13">
        <f t="shared" ref="AK154:AK203" si="164">EXP(-1.0587+0.8836*LN(AJ154)+0.284)</f>
        <v>77.687334665025006</v>
      </c>
      <c r="AL154" s="20">
        <f t="shared" ref="AL154:AL203" si="165">(AJ154+AK154)*0.475*44/12</f>
        <v>712.21510787491763</v>
      </c>
      <c r="AM154" s="59">
        <f t="shared" si="113"/>
        <v>1005.548441208251</v>
      </c>
      <c r="AN154" s="59">
        <f ca="1">AVERAGE(OFFSET($AM$3,0,0,'Données projet'!$E$10+1,1))-AVERAGE(OFFSET($H$3,0,0,'Données projet'!$E$10+1,1))</f>
        <v>483.45320081988984</v>
      </c>
      <c r="AO154" s="59">
        <f t="shared" si="144"/>
        <v>238.92443174298893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47.247070301869819</v>
      </c>
      <c r="AV154" s="21">
        <f>EXP(-LN(2)/25)*AV153+(1-EXP(-LN(2)/25))/(LN(2)/25)*Calculateur!AQ154*Calculateur!AS154*VLOOKUP('Données projet'!$B$10,Paramètres!$A$1:$I$89,3,0)*0.475*44/12</f>
        <v>12.512456234034541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59.759526535904357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1.7053025658242404E-13</v>
      </c>
      <c r="BE154" s="13">
        <f>BD154*VLOOKUP('Données projet'!$B$11,Paramètres!$A$1:$I$89,3,0)*VLOOKUP('Données projet'!$B$11,Paramètres!$A$1:$I$89,5,0)</f>
        <v>1.4897523215040567E-13</v>
      </c>
      <c r="BF154" s="13">
        <f t="shared" ref="BF154:BF203" si="167">EXP(-1.0587+0.8836*LN(BE154)+0.284)</f>
        <v>2.136562777003313E-12</v>
      </c>
      <c r="BG154" s="20">
        <f t="shared" ref="BG154:BG203" si="168">(BE154+BF154)*0.475*44/12</f>
        <v>3.9806453659427267E-12</v>
      </c>
      <c r="BH154" s="59">
        <f t="shared" si="116"/>
        <v>293.33333333333729</v>
      </c>
      <c r="BI154" s="59">
        <f ca="1">AVERAGE(OFFSET($BH$3,0,0,'Données projet'!$E$11+1,1))-AVERAGE(OFFSET($H$3,0,0,'Données projet'!$E$11+1,1))</f>
        <v>310.44153296396854</v>
      </c>
      <c r="BJ154" s="59">
        <f t="shared" si="146"/>
        <v>388.05195847800502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16.359321417783953</v>
      </c>
      <c r="BQ154" s="21">
        <f>EXP(-LN(2)/25)*BQ153+(1-EXP(-LN(2)/25))/(LN(2)/25)*Calculateur!BL154*Calculateur!BN154*VLOOKUP('Données projet'!$B$11,Paramètres!$A$1:$I$89,3,0)*0.475*44/12</f>
        <v>0.56144979125416783</v>
      </c>
      <c r="BR154" s="21">
        <f>EXP(-LN(2)/2)*BR153+(1-EXP(-LN(2)/2))/(LN(2)/2)*BL154*BO154*VLOOKUP('Données projet'!$B$11,Paramètres!$A$1:$I$89,3,0)*0.475*44/12</f>
        <v>2.649008722177833E-11</v>
      </c>
      <c r="BS154" s="22">
        <f t="shared" ref="BS154:BS203" si="169">SUM(BP154:BR154)</f>
        <v>16.920771209064611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-2.2737367544323206E-13</v>
      </c>
      <c r="BZ154" s="13">
        <f>BY154*VLOOKUP('Données projet'!$B$12,Paramètres!$A$1:$I$89,3,0)*VLOOKUP('Données projet'!$B$12,Paramètres!$A$1:$I$89,5,0)</f>
        <v>-1.2710188457276673E-13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443.34220761968419</v>
      </c>
      <c r="CE154" s="59">
        <f t="shared" si="148"/>
        <v>546.58234447298014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41.964657012054552</v>
      </c>
      <c r="CL154" s="21">
        <f>EXP(-LN(2)/25)*CL153+(1-EXP(-LN(2)/25))/(LN(2)/25)*Calculateur!CG154*Calculateur!CI154*VLOOKUP('Données projet'!$B$12,Paramètres!$A$1:$I$89,3,0)*0.475*44/12</f>
        <v>4.8637697073689576</v>
      </c>
      <c r="CM154" s="21">
        <f>EXP(-LN(2)/2)*CM153+(1-EXP(-LN(2)/2))/(LN(2)/2)*CG154*CJ154*VLOOKUP('Données projet'!$B$12,Paramètres!$A$1:$I$89,3,0)*0.475*44/12</f>
        <v>8.6796540319749751E-13</v>
      </c>
      <c r="CN154" s="22">
        <f t="shared" ref="CN154:CN203" si="172">SUM(CK154:CM154)</f>
        <v>46.828426719424378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>
        <f>CT154*VLOOKUP('Données projet'!$B$13,Paramètres!$A$1:$I$89,3,0)*VLOOKUP('Données projet'!$B$13,Paramètres!$A$1:$I$89,5,0)</f>
        <v>0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214.22606988805535</v>
      </c>
      <c r="CZ154" s="59">
        <f t="shared" si="150"/>
        <v>305.78163836959078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23.546043166246548</v>
      </c>
      <c r="DG154" s="21">
        <f>EXP(-LN(2)/25)*DG153+(1-EXP(-LN(2)/25))/(LN(2)/25)*Calculateur!DB154*Calculateur!DD154*VLOOKUP('Données projet'!$B$13,Paramètres!$A$1:$I$89,3,0)*0.475*44/12</f>
        <v>2.8504980527481623</v>
      </c>
      <c r="DH154" s="21">
        <f>EXP(-LN(2)/2)*DH153+(1-EXP(-LN(2)/2))/(LN(2)/2)*DB154*DE154*VLOOKUP('Données projet'!$B$13,Paramètres!$A$1:$I$89,3,0)*0.475*44/12</f>
        <v>3.7934349032169383E-13</v>
      </c>
      <c r="DI154" s="22">
        <f t="shared" ref="DI154:DI203" si="175">SUM(DF154:DH154)</f>
        <v>26.39654121899509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-1.7053025658242404E-13</v>
      </c>
      <c r="DP154" s="17">
        <f>DO154*VLOOKUP('Données projet'!$B$14,Paramètres!$A$1:$I$89,3,0)*VLOOKUP('Données projet'!$B$14,Paramètres!$A$1:$I$89,5,0)</f>
        <v>-1.383341441396624E-13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304.26232113495314</v>
      </c>
      <c r="DU154" s="59">
        <f t="shared" si="152"/>
        <v>297.47246687305056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25.834905930412891</v>
      </c>
      <c r="EB154" s="21">
        <f>EXP(-LN(2)/25)*EB153+(1-EXP(-LN(2)/25))/(LN(2)/25)*Calculateur!DW154*Calculateur!DY154*VLOOKUP('Données projet'!$B$14,Paramètres!$A$1:$I$89,3,0)*0.475*44/12</f>
        <v>0.40376845008298046</v>
      </c>
      <c r="EC154" s="21">
        <f>EXP(-LN(2)/2)*EC153+(1-EXP(-LN(2)/2))/(LN(2)/2)*DW154*DZ154*VLOOKUP('Données projet'!$B$14,Paramètres!$A$1:$I$89,3,0)*0.475*44/12</f>
        <v>8.731695002214853E-10</v>
      </c>
      <c r="ED154" s="22">
        <f t="shared" ref="ED154:ED203" si="178">SUM(EA154:EC154)</f>
        <v>26.238674381369041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-1.7053025658242404E-13</v>
      </c>
      <c r="EK154" s="17">
        <f>EJ154*VLOOKUP('Données projet'!$B$15,Paramètres!$A$1:$I$89,3,0)*VLOOKUP('Données projet'!$B$15,Paramètres!$A$1:$I$89,5,0)</f>
        <v>-1.6493686416652052E-13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355.72173590705142</v>
      </c>
      <c r="EP154" s="59">
        <f t="shared" si="154"/>
        <v>346.30980704469363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24.991240642409537</v>
      </c>
      <c r="EW154" s="21">
        <f>EXP(-LN(2)/25)*EW153+(1-EXP(-LN(2)/25))/(LN(2)/25)*Calculateur!ER154*Calculateur!ET154*VLOOKUP('Données projet'!$B$15,Paramètres!$A$1:$I$89,3,0)*0.475*44/12</f>
        <v>0.39058297820073518</v>
      </c>
      <c r="EX154" s="21">
        <f>EXP(-LN(2)/2)*EX153+(1-EXP(-LN(2)/2))/(LN(2)/2)*ER154*EU154*VLOOKUP('Données projet'!$B$15,Paramètres!$A$1:$I$89,3,0)*0.475*44/12</f>
        <v>1.0410867118025366E-9</v>
      </c>
      <c r="EY154" s="22">
        <f t="shared" ref="EY154:EY203" si="181">SUM(EV154:EX154)</f>
        <v>25.38182362165136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-1.7053025658242404E-13</v>
      </c>
      <c r="FF154" s="17">
        <f>FE154*VLOOKUP('Données projet'!$B$16,Paramètres!$A$1:$I$89,3,0)*VLOOKUP('Données projet'!$B$16,Paramètres!$A$1:$I$89,5,0)</f>
        <v>-1.250327841262333E-13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9" t="e">
        <f t="shared" si="131"/>
        <v>#NUM!</v>
      </c>
      <c r="FJ154" s="59">
        <f ca="1">AVERAGE(OFFSET($FI$3,0,0,'Données projet'!$E$16+1,1))-AVERAGE(OFFSET($H$3,0,0,'Données projet'!$E$16+1,1))</f>
        <v>278.45534008146865</v>
      </c>
      <c r="FK154" s="59">
        <f t="shared" si="156"/>
        <v>272.97841038165217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18.944972745052407</v>
      </c>
      <c r="FR154" s="21">
        <f>EXP(-LN(2)/25)*FR153+(1-EXP(-LN(2)/25))/(LN(2)/25)*Calculateur!FM154*Calculateur!FO154*VLOOKUP('Données projet'!$B$16,Paramètres!$A$1:$I$89,3,0)*0.475*44/12</f>
        <v>0.29608709637797642</v>
      </c>
      <c r="FS154" s="21">
        <f>EXP(-LN(2)/2)*FS153+(1-EXP(-LN(2)/2))/(LN(2)/2)*FM154*FP154*VLOOKUP('Données projet'!$B$16,Paramètres!$A$1:$I$89,3,0)*0.475*44/12</f>
        <v>7.8921089443095585E-10</v>
      </c>
      <c r="FT154" s="22">
        <f t="shared" ref="FT154:FT203" si="184">SUM(FQ154:FS154)</f>
        <v>19.241059842219595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5.916666666666667</v>
      </c>
      <c r="N155" s="13">
        <f>IF('Données projet'!$A$36&gt;35,N154+M155-V154,IF(A155&lt;'Données projet'!$A$36,$K$205^A155,IF(A155='Données projet'!$A$36,'Données projet'!$B$36,N154+M155-V154)))</f>
        <v>332.58333333333292</v>
      </c>
      <c r="O155" s="13">
        <f>N155*VLOOKUP('Données projet'!$B$9,Paramètres!$A$1:$I$89,3,0)*VLOOKUP('Données projet'!$B$9,Paramètres!$A$1:$I$89,5,0)</f>
        <v>300.92139999999961</v>
      </c>
      <c r="P155" s="13">
        <f t="shared" si="141"/>
        <v>71.369589818644357</v>
      </c>
      <c r="Q155" s="20">
        <f t="shared" si="162"/>
        <v>648.40680726747155</v>
      </c>
      <c r="R155" s="59">
        <f t="shared" si="109"/>
        <v>941.74014060080481</v>
      </c>
      <c r="S155" s="59">
        <f ca="1">AVERAGE(OFFSET($R$3,0,0,'Données projet'!$E$9+1,1))-AVERAGE(OFFSET($H$3,0,0,'Données projet'!$E$9+1,1))</f>
        <v>436.03161778768742</v>
      </c>
      <c r="T155" s="59">
        <f t="shared" si="142"/>
        <v>217.65884352525285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41.332213478843286</v>
      </c>
      <c r="AA155" s="21">
        <f>EXP(-LN(2)/25)*AA154+(1-EXP(-LN(2)/25))/(LN(2)/25)*Calculateur!V155*Calculateur!X155*VLOOKUP('Données projet'!$B$9,Paramètres!$A$1:$I$89,3,0)*0.475*44/12</f>
        <v>10.859654503048871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52.191867981892159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5.916666666666667</v>
      </c>
      <c r="AI155" s="13">
        <f>IF('Données projet'!$A$62&gt;35,AI154+AH155-AQ154,IF(A155&lt;'Données projet'!$A$62,$AF$205^A155,IF(A155='Données projet'!$A$62,'Données projet'!$B$62,AI154+AH155-AQ154)))</f>
        <v>332.58333333333292</v>
      </c>
      <c r="AJ155" s="13">
        <f>AI155*VLOOKUP('Données projet'!$B$10,Paramètres!$A$1:$I$89,3,0)*VLOOKUP('Données projet'!$B$10,Paramètres!$A$1:$I$89,5,0)</f>
        <v>337.23949999999957</v>
      </c>
      <c r="AK155" s="13">
        <f t="shared" si="164"/>
        <v>78.929339323572208</v>
      </c>
      <c r="AL155" s="20">
        <f t="shared" si="165"/>
        <v>724.82739515522064</v>
      </c>
      <c r="AM155" s="59">
        <f t="shared" si="113"/>
        <v>1018.160728488554</v>
      </c>
      <c r="AN155" s="59">
        <f ca="1">AVERAGE(OFFSET($AM$3,0,0,'Données projet'!$E$10+1,1))-AVERAGE(OFFSET($H$3,0,0,'Données projet'!$E$10+1,1))</f>
        <v>483.45320081988984</v>
      </c>
      <c r="AO155" s="59">
        <f t="shared" si="144"/>
        <v>238.92443174298893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46.320584071117509</v>
      </c>
      <c r="AV155" s="21">
        <f>EXP(-LN(2)/25)*AV154+(1-EXP(-LN(2)/25))/(LN(2)/25)*Calculateur!AQ155*Calculateur!AS155*VLOOKUP('Données projet'!$B$10,Paramètres!$A$1:$I$89,3,0)*0.475*44/12</f>
        <v>12.17030246031339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58.490886531430903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1.7053025658242404E-13</v>
      </c>
      <c r="BE155" s="13">
        <f>BD155*VLOOKUP('Données projet'!$B$11,Paramètres!$A$1:$I$89,3,0)*VLOOKUP('Données projet'!$B$11,Paramètres!$A$1:$I$89,5,0)</f>
        <v>1.4897523215040567E-13</v>
      </c>
      <c r="BF155" s="13">
        <f t="shared" si="167"/>
        <v>2.136562777003313E-12</v>
      </c>
      <c r="BG155" s="20">
        <f t="shared" si="168"/>
        <v>3.9806453659427267E-12</v>
      </c>
      <c r="BH155" s="59">
        <f t="shared" si="116"/>
        <v>293.33333333333729</v>
      </c>
      <c r="BI155" s="59">
        <f ca="1">AVERAGE(OFFSET($BH$3,0,0,'Données projet'!$E$11+1,1))-AVERAGE(OFFSET($H$3,0,0,'Données projet'!$E$11+1,1))</f>
        <v>310.44153296396854</v>
      </c>
      <c r="BJ155" s="59">
        <f t="shared" si="146"/>
        <v>388.05195847800502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16.03852510298201</v>
      </c>
      <c r="BQ155" s="21">
        <f>EXP(-LN(2)/25)*BQ154+(1-EXP(-LN(2)/25))/(LN(2)/25)*Calculateur!BL155*Calculateur!BN155*VLOOKUP('Données projet'!$B$11,Paramètres!$A$1:$I$89,3,0)*0.475*44/12</f>
        <v>0.54609691718696129</v>
      </c>
      <c r="BR155" s="21">
        <f>EXP(-LN(2)/2)*BR154+(1-EXP(-LN(2)/2))/(LN(2)/2)*BL155*BO155*VLOOKUP('Données projet'!$B$11,Paramètres!$A$1:$I$89,3,0)*0.475*44/12</f>
        <v>1.8731320308742568E-11</v>
      </c>
      <c r="BS155" s="22">
        <f t="shared" si="169"/>
        <v>16.584622020187702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-2.2737367544323206E-13</v>
      </c>
      <c r="BZ155" s="13">
        <f>BY155*VLOOKUP('Données projet'!$B$12,Paramètres!$A$1:$I$89,3,0)*VLOOKUP('Données projet'!$B$12,Paramètres!$A$1:$I$89,5,0)</f>
        <v>-1.2710188457276673E-13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443.34220761968419</v>
      </c>
      <c r="CE155" s="59">
        <f t="shared" si="148"/>
        <v>546.58234447298014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41.141755683961556</v>
      </c>
      <c r="CL155" s="21">
        <f>EXP(-LN(2)/25)*CL154+(1-EXP(-LN(2)/25))/(LN(2)/25)*Calculateur!CG155*Calculateur!CI155*VLOOKUP('Données projet'!$B$12,Paramètres!$A$1:$I$89,3,0)*0.475*44/12</f>
        <v>4.7307696689464205</v>
      </c>
      <c r="CM155" s="21">
        <f>EXP(-LN(2)/2)*CM154+(1-EXP(-LN(2)/2))/(LN(2)/2)*CG155*CJ155*VLOOKUP('Données projet'!$B$12,Paramètres!$A$1:$I$89,3,0)*0.475*44/12</f>
        <v>6.1374422243626636E-13</v>
      </c>
      <c r="CN155" s="22">
        <f t="shared" si="172"/>
        <v>45.872525352908589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>
        <f>CT155*VLOOKUP('Données projet'!$B$13,Paramètres!$A$1:$I$89,3,0)*VLOOKUP('Données projet'!$B$13,Paramètres!$A$1:$I$89,5,0)</f>
        <v>0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214.22606988805535</v>
      </c>
      <c r="CZ155" s="59">
        <f t="shared" si="150"/>
        <v>305.78163836959078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23.084319621424687</v>
      </c>
      <c r="DG155" s="21">
        <f>EXP(-LN(2)/25)*DG154+(1-EXP(-LN(2)/25))/(LN(2)/25)*Calculateur!DB155*Calculateur!DD155*VLOOKUP('Données projet'!$B$13,Paramètres!$A$1:$I$89,3,0)*0.475*44/12</f>
        <v>2.7725510335945862</v>
      </c>
      <c r="DH155" s="21">
        <f>EXP(-LN(2)/2)*DH154+(1-EXP(-LN(2)/2))/(LN(2)/2)*DB155*DE155*VLOOKUP('Données projet'!$B$13,Paramètres!$A$1:$I$89,3,0)*0.475*44/12</f>
        <v>2.6823635440544317E-13</v>
      </c>
      <c r="DI155" s="22">
        <f t="shared" si="175"/>
        <v>25.856870655019542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-1.7053025658242404E-13</v>
      </c>
      <c r="DP155" s="17">
        <f>DO155*VLOOKUP('Données projet'!$B$14,Paramètres!$A$1:$I$89,3,0)*VLOOKUP('Données projet'!$B$14,Paramètres!$A$1:$I$89,5,0)</f>
        <v>-1.383341441396624E-13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304.26232113495314</v>
      </c>
      <c r="DU155" s="59">
        <f t="shared" si="152"/>
        <v>297.47246687305056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25.328299182854163</v>
      </c>
      <c r="EB155" s="21">
        <f>EXP(-LN(2)/25)*EB154+(1-EXP(-LN(2)/25))/(LN(2)/25)*Calculateur!DW155*Calculateur!DY155*VLOOKUP('Données projet'!$B$14,Paramètres!$A$1:$I$89,3,0)*0.475*44/12</f>
        <v>0.39272738058220141</v>
      </c>
      <c r="EC155" s="21">
        <f>EXP(-LN(2)/2)*EC154+(1-EXP(-LN(2)/2))/(LN(2)/2)*DW155*DZ155*VLOOKUP('Données projet'!$B$14,Paramètres!$A$1:$I$89,3,0)*0.475*44/12</f>
        <v>6.1742407473188086E-10</v>
      </c>
      <c r="ED155" s="22">
        <f t="shared" si="178"/>
        <v>25.721026564053787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-1.7053025658242404E-13</v>
      </c>
      <c r="EK155" s="17">
        <f>EJ155*VLOOKUP('Données projet'!$B$15,Paramètres!$A$1:$I$89,3,0)*VLOOKUP('Données projet'!$B$15,Paramètres!$A$1:$I$89,5,0)</f>
        <v>-1.6493686416652052E-13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355.72173590705142</v>
      </c>
      <c r="EP155" s="59">
        <f t="shared" si="154"/>
        <v>346.30980704469363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24.501177656563542</v>
      </c>
      <c r="EW155" s="21">
        <f>EXP(-LN(2)/25)*EW154+(1-EXP(-LN(2)/25))/(LN(2)/25)*Calculateur!ER155*Calculateur!ET155*VLOOKUP('Données projet'!$B$15,Paramètres!$A$1:$I$89,3,0)*0.475*44/12</f>
        <v>0.37990246612196993</v>
      </c>
      <c r="EX155" s="21">
        <f>EXP(-LN(2)/2)*EX154+(1-EXP(-LN(2)/2))/(LN(2)/2)*ER155*EU155*VLOOKUP('Données projet'!$B$15,Paramètres!$A$1:$I$89,3,0)*0.475*44/12</f>
        <v>7.3615947371877851E-10</v>
      </c>
      <c r="EY155" s="22">
        <f t="shared" si="181"/>
        <v>24.881080123421668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-1.7053025658242404E-13</v>
      </c>
      <c r="FF155" s="17">
        <f>FE155*VLOOKUP('Données projet'!$B$16,Paramètres!$A$1:$I$89,3,0)*VLOOKUP('Données projet'!$B$16,Paramètres!$A$1:$I$89,5,0)</f>
        <v>-1.250327841262333E-13</v>
      </c>
      <c r="FG155" s="13" t="e">
        <f t="shared" si="182"/>
        <v>#NUM!</v>
      </c>
      <c r="FH155" s="20" t="e">
        <f t="shared" si="183"/>
        <v>#NUM!</v>
      </c>
      <c r="FI155" s="59" t="e">
        <f t="shared" si="131"/>
        <v>#NUM!</v>
      </c>
      <c r="FJ155" s="59">
        <f ca="1">AVERAGE(OFFSET($FI$3,0,0,'Données projet'!$E$16+1,1))-AVERAGE(OFFSET($H$3,0,0,'Données projet'!$E$16+1,1))</f>
        <v>278.45534008146865</v>
      </c>
      <c r="FK155" s="59">
        <f t="shared" si="156"/>
        <v>272.97841038165217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18.573473384814314</v>
      </c>
      <c r="FR155" s="21">
        <f>EXP(-LN(2)/25)*FR154+(1-EXP(-LN(2)/25))/(LN(2)/25)*Calculateur!FM155*Calculateur!FO155*VLOOKUP('Données projet'!$B$16,Paramètres!$A$1:$I$89,3,0)*0.475*44/12</f>
        <v>0.28799057915697696</v>
      </c>
      <c r="FS155" s="21">
        <f>EXP(-LN(2)/2)*FS154+(1-EXP(-LN(2)/2))/(LN(2)/2)*FM155*FP155*VLOOKUP('Données projet'!$B$16,Paramètres!$A$1:$I$89,3,0)*0.475*44/12</f>
        <v>5.5805637523842935E-10</v>
      </c>
      <c r="FT155" s="22">
        <f t="shared" si="184"/>
        <v>18.861463964529346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5.916666666666667</v>
      </c>
      <c r="N156" s="13">
        <f>IF('Données projet'!$A$36&gt;35,N155+M156-V155,IF(A156&lt;'Données projet'!$A$36,$K$205^A156,IF(A156='Données projet'!$A$36,'Données projet'!$B$36,N155+M156-V155)))</f>
        <v>338.4999999999996</v>
      </c>
      <c r="O156" s="13">
        <f>N156*VLOOKUP('Données projet'!$B$9,Paramètres!$A$1:$I$89,3,0)*VLOOKUP('Données projet'!$B$9,Paramètres!$A$1:$I$89,5,0)</f>
        <v>306.27479999999963</v>
      </c>
      <c r="P156" s="13">
        <f t="shared" si="141"/>
        <v>72.490313602282981</v>
      </c>
      <c r="Q156" s="20">
        <f t="shared" si="162"/>
        <v>659.68257285730886</v>
      </c>
      <c r="R156" s="59">
        <f t="shared" si="109"/>
        <v>953.01590619064223</v>
      </c>
      <c r="S156" s="59">
        <f ca="1">AVERAGE(OFFSET($R$3,0,0,'Données projet'!$E$9+1,1))-AVERAGE(OFFSET($H$3,0,0,'Données projet'!$E$9+1,1))</f>
        <v>436.03161778768742</v>
      </c>
      <c r="T156" s="59">
        <f t="shared" si="142"/>
        <v>217.65884352525285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40.521713982684098</v>
      </c>
      <c r="AA156" s="21">
        <f>EXP(-LN(2)/25)*AA155+(1-EXP(-LN(2)/25))/(LN(2)/25)*Calculateur!V156*Calculateur!X156*VLOOKUP('Données projet'!$B$9,Paramètres!$A$1:$I$89,3,0)*0.475*44/12</f>
        <v>10.56269667957859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51.084410662262684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5.916666666666667</v>
      </c>
      <c r="AI156" s="13">
        <f>IF('Données projet'!$A$62&gt;35,AI155+AH156-AQ155,IF(A156&lt;'Données projet'!$A$62,$AF$205^A156,IF(A156='Données projet'!$A$62,'Données projet'!$B$62,AI155+AH156-AQ155)))</f>
        <v>338.4999999999996</v>
      </c>
      <c r="AJ156" s="13">
        <f>AI156*VLOOKUP('Données projet'!$B$10,Paramètres!$A$1:$I$89,3,0)*VLOOKUP('Données projet'!$B$10,Paramètres!$A$1:$I$89,5,0)</f>
        <v>343.23899999999963</v>
      </c>
      <c r="AK156" s="13">
        <f t="shared" si="164"/>
        <v>80.168774607305735</v>
      </c>
      <c r="AL156" s="20">
        <f t="shared" si="165"/>
        <v>737.43520744105683</v>
      </c>
      <c r="AM156" s="59">
        <f t="shared" si="113"/>
        <v>1030.7685407743902</v>
      </c>
      <c r="AN156" s="59">
        <f ca="1">AVERAGE(OFFSET($AM$3,0,0,'Données projet'!$E$10+1,1))-AVERAGE(OFFSET($H$3,0,0,'Données projet'!$E$10+1,1))</f>
        <v>483.45320081988984</v>
      </c>
      <c r="AO156" s="59">
        <f t="shared" si="144"/>
        <v>238.92443174298893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45.412265670249447</v>
      </c>
      <c r="AV156" s="21">
        <f>EXP(-LN(2)/25)*AV155+(1-EXP(-LN(2)/25))/(LN(2)/25)*Calculateur!AQ156*Calculateur!AS156*VLOOKUP('Données projet'!$B$10,Paramètres!$A$1:$I$89,3,0)*0.475*44/12</f>
        <v>11.83750489952773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57.249770569777176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1.7053025658242404E-13</v>
      </c>
      <c r="BE156" s="13">
        <f>BD156*VLOOKUP('Données projet'!$B$11,Paramètres!$A$1:$I$89,3,0)*VLOOKUP('Données projet'!$B$11,Paramètres!$A$1:$I$89,5,0)</f>
        <v>1.4897523215040567E-13</v>
      </c>
      <c r="BF156" s="13">
        <f t="shared" si="167"/>
        <v>2.136562777003313E-12</v>
      </c>
      <c r="BG156" s="20">
        <f t="shared" si="168"/>
        <v>3.9806453659427267E-12</v>
      </c>
      <c r="BH156" s="59">
        <f t="shared" si="116"/>
        <v>293.33333333333729</v>
      </c>
      <c r="BI156" s="59">
        <f ca="1">AVERAGE(OFFSET($BH$3,0,0,'Données projet'!$E$11+1,1))-AVERAGE(OFFSET($H$3,0,0,'Données projet'!$E$11+1,1))</f>
        <v>310.44153296396854</v>
      </c>
      <c r="BJ156" s="59">
        <f t="shared" si="146"/>
        <v>388.05195847800502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15.724019408246901</v>
      </c>
      <c r="BQ156" s="21">
        <f>EXP(-LN(2)/25)*BQ155+(1-EXP(-LN(2)/25))/(LN(2)/25)*Calculateur!BL156*Calculateur!BN156*VLOOKUP('Données projet'!$B$11,Paramètres!$A$1:$I$89,3,0)*0.475*44/12</f>
        <v>0.53116386826849504</v>
      </c>
      <c r="BR156" s="21">
        <f>EXP(-LN(2)/2)*BR155+(1-EXP(-LN(2)/2))/(LN(2)/2)*BL156*BO156*VLOOKUP('Données projet'!$B$11,Paramètres!$A$1:$I$89,3,0)*0.475*44/12</f>
        <v>1.3245043610889165E-11</v>
      </c>
      <c r="BS156" s="22">
        <f t="shared" si="169"/>
        <v>16.255183276528641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-2.2737367544323206E-13</v>
      </c>
      <c r="BZ156" s="13">
        <f>BY156*VLOOKUP('Données projet'!$B$12,Paramètres!$A$1:$I$89,3,0)*VLOOKUP('Données projet'!$B$12,Paramètres!$A$1:$I$89,5,0)</f>
        <v>-1.2710188457276673E-13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443.34220761968419</v>
      </c>
      <c r="CE156" s="59">
        <f t="shared" si="148"/>
        <v>546.58234447298014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40.334990948992214</v>
      </c>
      <c r="CL156" s="21">
        <f>EXP(-LN(2)/25)*CL155+(1-EXP(-LN(2)/25))/(LN(2)/25)*Calculateur!CG156*Calculateur!CI156*VLOOKUP('Données projet'!$B$12,Paramètres!$A$1:$I$89,3,0)*0.475*44/12</f>
        <v>4.6014065235687163</v>
      </c>
      <c r="CM156" s="21">
        <f>EXP(-LN(2)/2)*CM155+(1-EXP(-LN(2)/2))/(LN(2)/2)*CG156*CJ156*VLOOKUP('Données projet'!$B$12,Paramètres!$A$1:$I$89,3,0)*0.475*44/12</f>
        <v>4.3398270159874876E-13</v>
      </c>
      <c r="CN156" s="22">
        <f t="shared" si="172"/>
        <v>44.93639747256136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>
        <f>CT156*VLOOKUP('Données projet'!$B$13,Paramètres!$A$1:$I$89,3,0)*VLOOKUP('Données projet'!$B$13,Paramètres!$A$1:$I$89,5,0)</f>
        <v>0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214.22606988805535</v>
      </c>
      <c r="CZ156" s="59">
        <f t="shared" si="150"/>
        <v>305.78163836959078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22.631650193693229</v>
      </c>
      <c r="DG156" s="21">
        <f>EXP(-LN(2)/25)*DG155+(1-EXP(-LN(2)/25))/(LN(2)/25)*Calculateur!DB156*Calculateur!DD156*VLOOKUP('Données projet'!$B$13,Paramètres!$A$1:$I$89,3,0)*0.475*44/12</f>
        <v>2.6967354797788201</v>
      </c>
      <c r="DH156" s="21">
        <f>EXP(-LN(2)/2)*DH155+(1-EXP(-LN(2)/2))/(LN(2)/2)*DB156*DE156*VLOOKUP('Données projet'!$B$13,Paramètres!$A$1:$I$89,3,0)*0.475*44/12</f>
        <v>1.8967174516084692E-13</v>
      </c>
      <c r="DI156" s="22">
        <f t="shared" si="175"/>
        <v>25.328385673472237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-1.7053025658242404E-13</v>
      </c>
      <c r="DP156" s="17">
        <f>DO156*VLOOKUP('Données projet'!$B$14,Paramètres!$A$1:$I$89,3,0)*VLOOKUP('Données projet'!$B$14,Paramètres!$A$1:$I$89,5,0)</f>
        <v>-1.383341441396624E-13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304.26232113495314</v>
      </c>
      <c r="DU156" s="59">
        <f t="shared" si="152"/>
        <v>297.47246687305056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24.831626684615458</v>
      </c>
      <c r="EB156" s="21">
        <f>EXP(-LN(2)/25)*EB155+(1-EXP(-LN(2)/25))/(LN(2)/25)*Calculateur!DW156*Calculateur!DY156*VLOOKUP('Données projet'!$B$14,Paramètres!$A$1:$I$89,3,0)*0.475*44/12</f>
        <v>0.38198822970754576</v>
      </c>
      <c r="EC156" s="21">
        <f>EXP(-LN(2)/2)*EC155+(1-EXP(-LN(2)/2))/(LN(2)/2)*DW156*DZ156*VLOOKUP('Données projet'!$B$14,Paramètres!$A$1:$I$89,3,0)*0.475*44/12</f>
        <v>4.3658475011074265E-10</v>
      </c>
      <c r="ED156" s="22">
        <f t="shared" si="178"/>
        <v>25.213614914759589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-1.7053025658242404E-13</v>
      </c>
      <c r="EK156" s="17">
        <f>EJ156*VLOOKUP('Données projet'!$B$15,Paramètres!$A$1:$I$89,3,0)*VLOOKUP('Données projet'!$B$15,Paramètres!$A$1:$I$89,5,0)</f>
        <v>-1.6493686416652052E-13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355.72173590705142</v>
      </c>
      <c r="EP156" s="59">
        <f t="shared" si="154"/>
        <v>346.30980704469363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24.020724506961081</v>
      </c>
      <c r="EW156" s="21">
        <f>EXP(-LN(2)/25)*EW155+(1-EXP(-LN(2)/25))/(LN(2)/25)*Calculateur!ER156*Calculateur!ET156*VLOOKUP('Données projet'!$B$15,Paramètres!$A$1:$I$89,3,0)*0.475*44/12</f>
        <v>0.36951401320766225</v>
      </c>
      <c r="EX156" s="21">
        <f>EXP(-LN(2)/2)*EX155+(1-EXP(-LN(2)/2))/(LN(2)/2)*ER156*EU156*VLOOKUP('Données projet'!$B$15,Paramètres!$A$1:$I$89,3,0)*0.475*44/12</f>
        <v>5.2054335590126828E-10</v>
      </c>
      <c r="EY156" s="22">
        <f t="shared" si="181"/>
        <v>24.390238520689287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-1.7053025658242404E-13</v>
      </c>
      <c r="FF156" s="17">
        <f>FE156*VLOOKUP('Données projet'!$B$16,Paramètres!$A$1:$I$89,3,0)*VLOOKUP('Données projet'!$B$16,Paramètres!$A$1:$I$89,5,0)</f>
        <v>-1.250327841262333E-13</v>
      </c>
      <c r="FG156" s="13" t="e">
        <f t="shared" si="182"/>
        <v>#NUM!</v>
      </c>
      <c r="FH156" s="20" t="e">
        <f t="shared" si="183"/>
        <v>#NUM!</v>
      </c>
      <c r="FI156" s="59" t="e">
        <f t="shared" si="131"/>
        <v>#NUM!</v>
      </c>
      <c r="FJ156" s="59">
        <f ca="1">AVERAGE(OFFSET($FI$3,0,0,'Données projet'!$E$16+1,1))-AVERAGE(OFFSET($H$3,0,0,'Données projet'!$E$16+1,1))</f>
        <v>278.45534008146865</v>
      </c>
      <c r="FK156" s="59">
        <f t="shared" si="156"/>
        <v>272.97841038165217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18.209258900438254</v>
      </c>
      <c r="FR156" s="21">
        <f>EXP(-LN(2)/25)*FR155+(1-EXP(-LN(2)/25))/(LN(2)/25)*Calculateur!FM156*Calculateur!FO156*VLOOKUP('Données projet'!$B$16,Paramètres!$A$1:$I$89,3,0)*0.475*44/12</f>
        <v>0.2801154616251631</v>
      </c>
      <c r="FS156" s="21">
        <f>EXP(-LN(2)/2)*FS155+(1-EXP(-LN(2)/2))/(LN(2)/2)*FM156*FP156*VLOOKUP('Données projet'!$B$16,Paramètres!$A$1:$I$89,3,0)*0.475*44/12</f>
        <v>3.9460544721547792E-10</v>
      </c>
      <c r="FT156" s="22">
        <f t="shared" si="184"/>
        <v>18.489374362458022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5.916666666666667</v>
      </c>
      <c r="N157" s="13">
        <f>IF('Données projet'!$A$36&gt;35,N156+M157-V156,IF(A157&lt;'Données projet'!$A$36,$K$205^A157,IF(A157='Données projet'!$A$36,'Données projet'!$B$36,N156+M157-V156)))</f>
        <v>344.41666666666629</v>
      </c>
      <c r="O157" s="13">
        <f>N157*VLOOKUP('Données projet'!$B$9,Paramètres!$A$1:$I$89,3,0)*VLOOKUP('Données projet'!$B$9,Paramètres!$A$1:$I$89,5,0)</f>
        <v>311.62819999999965</v>
      </c>
      <c r="P157" s="13">
        <f t="shared" si="141"/>
        <v>73.60875939676184</v>
      </c>
      <c r="Q157" s="20">
        <f t="shared" si="162"/>
        <v>670.9543709493596</v>
      </c>
      <c r="R157" s="59">
        <f t="shared" si="109"/>
        <v>964.28770428269286</v>
      </c>
      <c r="S157" s="59">
        <f ca="1">AVERAGE(OFFSET($R$3,0,0,'Données projet'!$E$9+1,1))-AVERAGE(OFFSET($H$3,0,0,'Données projet'!$E$9+1,1))</f>
        <v>436.03161778768742</v>
      </c>
      <c r="T157" s="59">
        <f t="shared" si="142"/>
        <v>217.65884352525285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39.72710788728871</v>
      </c>
      <c r="AA157" s="21">
        <f>EXP(-LN(2)/25)*AA156+(1-EXP(-LN(2)/25))/(LN(2)/25)*Calculateur!V157*Calculateur!X157*VLOOKUP('Données projet'!$B$9,Paramètres!$A$1:$I$89,3,0)*0.475*44/12</f>
        <v>10.273859183407437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50.000967070696149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5.916666666666667</v>
      </c>
      <c r="AI157" s="13">
        <f>IF('Données projet'!$A$62&gt;35,AI156+AH157-AQ156,IF(A157&lt;'Données projet'!$A$62,$AF$205^A157,IF(A157='Données projet'!$A$62,'Données projet'!$B$62,AI156+AH157-AQ156)))</f>
        <v>344.41666666666629</v>
      </c>
      <c r="AJ157" s="13">
        <f>AI157*VLOOKUP('Données projet'!$B$10,Paramètres!$A$1:$I$89,3,0)*VLOOKUP('Données projet'!$B$10,Paramètres!$A$1:$I$89,5,0)</f>
        <v>349.23849999999965</v>
      </c>
      <c r="AK157" s="13">
        <f t="shared" si="164"/>
        <v>81.405690608249003</v>
      </c>
      <c r="AL157" s="20">
        <f t="shared" si="165"/>
        <v>750.03863197603312</v>
      </c>
      <c r="AM157" s="59">
        <f t="shared" si="113"/>
        <v>1043.3719653093665</v>
      </c>
      <c r="AN157" s="59">
        <f ca="1">AVERAGE(OFFSET($AM$3,0,0,'Données projet'!$E$10+1,1))-AVERAGE(OFFSET($H$3,0,0,'Données projet'!$E$10+1,1))</f>
        <v>483.45320081988984</v>
      </c>
      <c r="AO157" s="59">
        <f t="shared" si="144"/>
        <v>238.92443174298893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44.521758839202889</v>
      </c>
      <c r="AV157" s="21">
        <f>EXP(-LN(2)/25)*AV156+(1-EXP(-LN(2)/25))/(LN(2)/25)*Calculateur!AQ157*Calculateur!AS157*VLOOKUP('Données projet'!$B$10,Paramètres!$A$1:$I$89,3,0)*0.475*44/12</f>
        <v>11.513807705542817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56.035566544745706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1.7053025658242404E-13</v>
      </c>
      <c r="BE157" s="13">
        <f>BD157*VLOOKUP('Données projet'!$B$11,Paramètres!$A$1:$I$89,3,0)*VLOOKUP('Données projet'!$B$11,Paramètres!$A$1:$I$89,5,0)</f>
        <v>1.4897523215040567E-13</v>
      </c>
      <c r="BF157" s="13">
        <f t="shared" si="167"/>
        <v>2.136562777003313E-12</v>
      </c>
      <c r="BG157" s="20">
        <f t="shared" si="168"/>
        <v>3.9806453659427267E-12</v>
      </c>
      <c r="BH157" s="59">
        <f t="shared" si="116"/>
        <v>293.33333333333729</v>
      </c>
      <c r="BI157" s="59">
        <f ca="1">AVERAGE(OFFSET($BH$3,0,0,'Données projet'!$E$11+1,1))-AVERAGE(OFFSET($H$3,0,0,'Données projet'!$E$11+1,1))</f>
        <v>310.44153296396854</v>
      </c>
      <c r="BJ157" s="59">
        <f t="shared" si="146"/>
        <v>388.05195847800502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15.415680978356015</v>
      </c>
      <c r="BQ157" s="21">
        <f>EXP(-LN(2)/25)*BQ156+(1-EXP(-LN(2)/25))/(LN(2)/25)*Calculateur!BL157*Calculateur!BN157*VLOOKUP('Données projet'!$B$11,Paramètres!$A$1:$I$89,3,0)*0.475*44/12</f>
        <v>0.51663916435799917</v>
      </c>
      <c r="BR157" s="21">
        <f>EXP(-LN(2)/2)*BR156+(1-EXP(-LN(2)/2))/(LN(2)/2)*BL157*BO157*VLOOKUP('Données projet'!$B$11,Paramètres!$A$1:$I$89,3,0)*0.475*44/12</f>
        <v>9.365660154371284E-12</v>
      </c>
      <c r="BS157" s="22">
        <f t="shared" si="169"/>
        <v>15.932320142723379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-2.2737367544323206E-13</v>
      </c>
      <c r="BZ157" s="13">
        <f>BY157*VLOOKUP('Données projet'!$B$12,Paramètres!$A$1:$I$89,3,0)*VLOOKUP('Données projet'!$B$12,Paramètres!$A$1:$I$89,5,0)</f>
        <v>-1.2710188457276673E-13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443.34220761968419</v>
      </c>
      <c r="CE157" s="59">
        <f t="shared" si="148"/>
        <v>546.58234447298014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39.544046378397717</v>
      </c>
      <c r="CL157" s="21">
        <f>EXP(-LN(2)/25)*CL156+(1-EXP(-LN(2)/25))/(LN(2)/25)*Calculateur!CG157*Calculateur!CI157*VLOOKUP('Données projet'!$B$12,Paramètres!$A$1:$I$89,3,0)*0.475*44/12</f>
        <v>4.4755808202042777</v>
      </c>
      <c r="CM157" s="21">
        <f>EXP(-LN(2)/2)*CM156+(1-EXP(-LN(2)/2))/(LN(2)/2)*CG157*CJ157*VLOOKUP('Données projet'!$B$12,Paramètres!$A$1:$I$89,3,0)*0.475*44/12</f>
        <v>3.0687211121813318E-13</v>
      </c>
      <c r="CN157" s="22">
        <f t="shared" si="172"/>
        <v>44.019627198602301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>
        <f>CT157*VLOOKUP('Données projet'!$B$13,Paramètres!$A$1:$I$89,3,0)*VLOOKUP('Données projet'!$B$13,Paramètres!$A$1:$I$89,5,0)</f>
        <v>0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214.22606988805535</v>
      </c>
      <c r="CZ157" s="59">
        <f t="shared" si="150"/>
        <v>305.78163836959078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22.187857337338496</v>
      </c>
      <c r="DG157" s="21">
        <f>EXP(-LN(2)/25)*DG156+(1-EXP(-LN(2)/25))/(LN(2)/25)*Calculateur!DB157*Calculateur!DD157*VLOOKUP('Données projet'!$B$13,Paramètres!$A$1:$I$89,3,0)*0.475*44/12</f>
        <v>2.6229931062691128</v>
      </c>
      <c r="DH157" s="21">
        <f>EXP(-LN(2)/2)*DH156+(1-EXP(-LN(2)/2))/(LN(2)/2)*DB157*DE157*VLOOKUP('Données projet'!$B$13,Paramètres!$A$1:$I$89,3,0)*0.475*44/12</f>
        <v>1.3411817720272158E-13</v>
      </c>
      <c r="DI157" s="22">
        <f t="shared" si="175"/>
        <v>24.810850443607745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-1.7053025658242404E-13</v>
      </c>
      <c r="DP157" s="17">
        <f>DO157*VLOOKUP('Données projet'!$B$14,Paramètres!$A$1:$I$89,3,0)*VLOOKUP('Données projet'!$B$14,Paramètres!$A$1:$I$89,5,0)</f>
        <v>-1.383341441396624E-13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304.26232113495314</v>
      </c>
      <c r="DU157" s="59">
        <f t="shared" si="152"/>
        <v>297.47246687305056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24.344693631126901</v>
      </c>
      <c r="EB157" s="21">
        <f>EXP(-LN(2)/25)*EB156+(1-EXP(-LN(2)/25))/(LN(2)/25)*Calculateur!DW157*Calculateur!DY157*VLOOKUP('Données projet'!$B$14,Paramètres!$A$1:$I$89,3,0)*0.475*44/12</f>
        <v>0.37154274147830496</v>
      </c>
      <c r="EC157" s="21">
        <f>EXP(-LN(2)/2)*EC156+(1-EXP(-LN(2)/2))/(LN(2)/2)*DW157*DZ157*VLOOKUP('Données projet'!$B$14,Paramètres!$A$1:$I$89,3,0)*0.475*44/12</f>
        <v>3.0871203736594043E-10</v>
      </c>
      <c r="ED157" s="22">
        <f t="shared" si="178"/>
        <v>24.716236372913919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-1.7053025658242404E-13</v>
      </c>
      <c r="EK157" s="17">
        <f>EJ157*VLOOKUP('Données projet'!$B$15,Paramètres!$A$1:$I$89,3,0)*VLOOKUP('Données projet'!$B$15,Paramètres!$A$1:$I$89,5,0)</f>
        <v>-1.6493686416652052E-13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355.72173590705142</v>
      </c>
      <c r="EP157" s="59">
        <f t="shared" si="154"/>
        <v>346.30980704469363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23.549692750574838</v>
      </c>
      <c r="EW157" s="21">
        <f>EXP(-LN(2)/25)*EW156+(1-EXP(-LN(2)/25))/(LN(2)/25)*Calculateur!ER157*Calculateur!ET157*VLOOKUP('Données projet'!$B$15,Paramètres!$A$1:$I$89,3,0)*0.475*44/12</f>
        <v>0.35940963308460133</v>
      </c>
      <c r="EX157" s="21">
        <f>EXP(-LN(2)/2)*EX156+(1-EXP(-LN(2)/2))/(LN(2)/2)*ER157*EU157*VLOOKUP('Données projet'!$B$15,Paramètres!$A$1:$I$89,3,0)*0.475*44/12</f>
        <v>3.6807973685938925E-10</v>
      </c>
      <c r="EY157" s="22">
        <f t="shared" si="181"/>
        <v>23.90910238402752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-1.7053025658242404E-13</v>
      </c>
      <c r="FF157" s="17">
        <f>FE157*VLOOKUP('Données projet'!$B$16,Paramètres!$A$1:$I$89,3,0)*VLOOKUP('Données projet'!$B$16,Paramètres!$A$1:$I$89,5,0)</f>
        <v>-1.250327841262333E-13</v>
      </c>
      <c r="FG157" s="13" t="e">
        <f t="shared" si="182"/>
        <v>#NUM!</v>
      </c>
      <c r="FH157" s="20" t="e">
        <f t="shared" si="183"/>
        <v>#NUM!</v>
      </c>
      <c r="FI157" s="59" t="e">
        <f t="shared" si="131"/>
        <v>#NUM!</v>
      </c>
      <c r="FJ157" s="59">
        <f ca="1">AVERAGE(OFFSET($FI$3,0,0,'Données projet'!$E$16+1,1))-AVERAGE(OFFSET($H$3,0,0,'Données projet'!$E$16+1,1))</f>
        <v>278.45534008146865</v>
      </c>
      <c r="FK157" s="59">
        <f t="shared" si="156"/>
        <v>272.97841038165217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17.852186439951907</v>
      </c>
      <c r="FR157" s="21">
        <f>EXP(-LN(2)/25)*FR156+(1-EXP(-LN(2)/25))/(LN(2)/25)*Calculateur!FM157*Calculateur!FO157*VLOOKUP('Données projet'!$B$16,Paramètres!$A$1:$I$89,3,0)*0.475*44/12</f>
        <v>0.2724556895963911</v>
      </c>
      <c r="FS157" s="21">
        <f>EXP(-LN(2)/2)*FS156+(1-EXP(-LN(2)/2))/(LN(2)/2)*FM157*FP157*VLOOKUP('Données projet'!$B$16,Paramètres!$A$1:$I$89,3,0)*0.475*44/12</f>
        <v>2.7902818761921467E-10</v>
      </c>
      <c r="FT157" s="22">
        <f t="shared" si="184"/>
        <v>18.124642129827325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5.916666666666667</v>
      </c>
      <c r="N158" s="13">
        <f>IF('Données projet'!$A$36&gt;35,N157+M158-V157,IF(A158&lt;'Données projet'!$A$36,$K$205^A158,IF(A158='Données projet'!$A$36,'Données projet'!$B$36,N157+M158-V157)))</f>
        <v>350.33333333333297</v>
      </c>
      <c r="O158" s="13">
        <f>N158*VLOOKUP('Données projet'!$B$9,Paramètres!$A$1:$I$89,3,0)*VLOOKUP('Données projet'!$B$9,Paramètres!$A$1:$I$89,5,0)</f>
        <v>316.98159999999967</v>
      </c>
      <c r="P158" s="13">
        <f t="shared" si="141"/>
        <v>74.724970850984903</v>
      </c>
      <c r="Q158" s="20">
        <f t="shared" si="162"/>
        <v>682.22227756546476</v>
      </c>
      <c r="R158" s="59">
        <f t="shared" si="109"/>
        <v>975.55561089879802</v>
      </c>
      <c r="S158" s="59">
        <f ca="1">AVERAGE(OFFSET($R$3,0,0,'Données projet'!$E$9+1,1))-AVERAGE(OFFSET($H$3,0,0,'Données projet'!$E$9+1,1))</f>
        <v>436.03161778768742</v>
      </c>
      <c r="T158" s="59">
        <f t="shared" si="142"/>
        <v>217.65884352525285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38.948083532762162</v>
      </c>
      <c r="AA158" s="21">
        <f>EXP(-LN(2)/25)*AA157+(1-EXP(-LN(2)/25))/(LN(2)/25)*Calculateur!V158*Calculateur!X158*VLOOKUP('Données projet'!$B$9,Paramètres!$A$1:$I$89,3,0)*0.475*44/12</f>
        <v>9.9929199637583874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48.941003496520551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5.916666666666667</v>
      </c>
      <c r="AI158" s="13">
        <f>IF('Données projet'!$A$62&gt;35,AI157+AH158-AQ157,IF(A158&lt;'Données projet'!$A$62,$AF$205^A158,IF(A158='Données projet'!$A$62,'Données projet'!$B$62,AI157+AH158-AQ157)))</f>
        <v>350.33333333333297</v>
      </c>
      <c r="AJ158" s="13">
        <f>AI158*VLOOKUP('Données projet'!$B$10,Paramètres!$A$1:$I$89,3,0)*VLOOKUP('Données projet'!$B$10,Paramètres!$A$1:$I$89,5,0)</f>
        <v>355.23799999999966</v>
      </c>
      <c r="AK158" s="13">
        <f t="shared" si="164"/>
        <v>82.640135598770925</v>
      </c>
      <c r="AL158" s="20">
        <f t="shared" si="165"/>
        <v>762.63775283452549</v>
      </c>
      <c r="AM158" s="59">
        <f t="shared" si="113"/>
        <v>1055.9710861678589</v>
      </c>
      <c r="AN158" s="59">
        <f ca="1">AVERAGE(OFFSET($AM$3,0,0,'Données projet'!$E$10+1,1))-AVERAGE(OFFSET($H$3,0,0,'Données projet'!$E$10+1,1))</f>
        <v>483.45320081988984</v>
      </c>
      <c r="AO158" s="59">
        <f t="shared" si="144"/>
        <v>238.92443174298893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43.648714303957618</v>
      </c>
      <c r="AV158" s="21">
        <f>EXP(-LN(2)/25)*AV157+(1-EXP(-LN(2)/25))/(LN(2)/25)*Calculateur!AQ158*Calculateur!AS158*VLOOKUP('Données projet'!$B$10,Paramètres!$A$1:$I$89,3,0)*0.475*44/12</f>
        <v>11.198962028349916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54.847676332307536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1.7053025658242404E-13</v>
      </c>
      <c r="BE158" s="13">
        <f>BD158*VLOOKUP('Données projet'!$B$11,Paramètres!$A$1:$I$89,3,0)*VLOOKUP('Données projet'!$B$11,Paramètres!$A$1:$I$89,5,0)</f>
        <v>1.4897523215040567E-13</v>
      </c>
      <c r="BF158" s="13">
        <f t="shared" si="167"/>
        <v>2.136562777003313E-12</v>
      </c>
      <c r="BG158" s="20">
        <f t="shared" si="168"/>
        <v>3.9806453659427267E-12</v>
      </c>
      <c r="BH158" s="59">
        <f t="shared" si="116"/>
        <v>293.33333333333729</v>
      </c>
      <c r="BI158" s="59">
        <f ca="1">AVERAGE(OFFSET($BH$3,0,0,'Données projet'!$E$11+1,1))-AVERAGE(OFFSET($H$3,0,0,'Données projet'!$E$11+1,1))</f>
        <v>310.44153296396854</v>
      </c>
      <c r="BJ158" s="59">
        <f t="shared" si="146"/>
        <v>388.05195847800502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15.113388877007417</v>
      </c>
      <c r="BQ158" s="21">
        <f>EXP(-LN(2)/25)*BQ157+(1-EXP(-LN(2)/25))/(LN(2)/25)*Calculateur!BL158*Calculateur!BN158*VLOOKUP('Données projet'!$B$11,Paramètres!$A$1:$I$89,3,0)*0.475*44/12</f>
        <v>0.50251163923975684</v>
      </c>
      <c r="BR158" s="21">
        <f>EXP(-LN(2)/2)*BR157+(1-EXP(-LN(2)/2))/(LN(2)/2)*BL158*BO158*VLOOKUP('Données projet'!$B$11,Paramètres!$A$1:$I$89,3,0)*0.475*44/12</f>
        <v>6.6225218054445825E-12</v>
      </c>
      <c r="BS158" s="22">
        <f t="shared" si="169"/>
        <v>15.615900516253795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-2.2737367544323206E-13</v>
      </c>
      <c r="BZ158" s="13">
        <f>BY158*VLOOKUP('Données projet'!$B$12,Paramètres!$A$1:$I$89,3,0)*VLOOKUP('Données projet'!$B$12,Paramètres!$A$1:$I$89,5,0)</f>
        <v>-1.2710188457276673E-13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443.34220761968419</v>
      </c>
      <c r="CE158" s="59">
        <f t="shared" si="148"/>
        <v>546.58234447298014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38.768611748404027</v>
      </c>
      <c r="CL158" s="21">
        <f>EXP(-LN(2)/25)*CL157+(1-EXP(-LN(2)/25))/(LN(2)/25)*Calculateur!CG158*Calculateur!CI158*VLOOKUP('Données projet'!$B$12,Paramètres!$A$1:$I$89,3,0)*0.475*44/12</f>
        <v>4.3531958273152256</v>
      </c>
      <c r="CM158" s="21">
        <f>EXP(-LN(2)/2)*CM157+(1-EXP(-LN(2)/2))/(LN(2)/2)*CG158*CJ158*VLOOKUP('Données projet'!$B$12,Paramètres!$A$1:$I$89,3,0)*0.475*44/12</f>
        <v>2.1699135079937438E-13</v>
      </c>
      <c r="CN158" s="22">
        <f t="shared" si="172"/>
        <v>43.121807575719473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>
        <f>CT158*VLOOKUP('Données projet'!$B$13,Paramètres!$A$1:$I$89,3,0)*VLOOKUP('Données projet'!$B$13,Paramètres!$A$1:$I$89,5,0)</f>
        <v>0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214.22606988805535</v>
      </c>
      <c r="CZ158" s="59">
        <f t="shared" si="150"/>
        <v>305.78163836959078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21.752766988209967</v>
      </c>
      <c r="DG158" s="21">
        <f>EXP(-LN(2)/25)*DG157+(1-EXP(-LN(2)/25))/(LN(2)/25)*Calculateur!DB158*Calculateur!DD158*VLOOKUP('Données projet'!$B$13,Paramètres!$A$1:$I$89,3,0)*0.475*44/12</f>
        <v>2.5512672218409715</v>
      </c>
      <c r="DH158" s="21">
        <f>EXP(-LN(2)/2)*DH157+(1-EXP(-LN(2)/2))/(LN(2)/2)*DB158*DE158*VLOOKUP('Données projet'!$B$13,Paramètres!$A$1:$I$89,3,0)*0.475*44/12</f>
        <v>9.4835872580423459E-14</v>
      </c>
      <c r="DI158" s="22">
        <f t="shared" si="175"/>
        <v>24.304034210051032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-1.7053025658242404E-13</v>
      </c>
      <c r="DP158" s="17">
        <f>DO158*VLOOKUP('Données projet'!$B$14,Paramètres!$A$1:$I$89,3,0)*VLOOKUP('Données projet'!$B$14,Paramètres!$A$1:$I$89,5,0)</f>
        <v>-1.383341441396624E-13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304.26232113495314</v>
      </c>
      <c r="DU158" s="59">
        <f t="shared" si="152"/>
        <v>297.47246687305056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23.867309037817421</v>
      </c>
      <c r="EB158" s="21">
        <f>EXP(-LN(2)/25)*EB157+(1-EXP(-LN(2)/25))/(LN(2)/25)*Calculateur!DW158*Calculateur!DY158*VLOOKUP('Données projet'!$B$14,Paramètres!$A$1:$I$89,3,0)*0.475*44/12</f>
        <v>0.36138288567399712</v>
      </c>
      <c r="EC158" s="21">
        <f>EXP(-LN(2)/2)*EC157+(1-EXP(-LN(2)/2))/(LN(2)/2)*DW158*DZ158*VLOOKUP('Données projet'!$B$14,Paramètres!$A$1:$I$89,3,0)*0.475*44/12</f>
        <v>2.1829237505537133E-10</v>
      </c>
      <c r="ED158" s="22">
        <f t="shared" si="178"/>
        <v>24.228691923709711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-1.7053025658242404E-13</v>
      </c>
      <c r="EK158" s="17">
        <f>EJ158*VLOOKUP('Données projet'!$B$15,Paramètres!$A$1:$I$89,3,0)*VLOOKUP('Données projet'!$B$15,Paramètres!$A$1:$I$89,5,0)</f>
        <v>-1.6493686416652052E-13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355.72173590705142</v>
      </c>
      <c r="EP158" s="59">
        <f t="shared" si="154"/>
        <v>346.30980704469363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23.087897639630327</v>
      </c>
      <c r="EW158" s="21">
        <f>EXP(-LN(2)/25)*EW157+(1-EXP(-LN(2)/25))/(LN(2)/25)*Calculateur!ER158*Calculateur!ET158*VLOOKUP('Données projet'!$B$15,Paramètres!$A$1:$I$89,3,0)*0.475*44/12</f>
        <v>0.34958155776737176</v>
      </c>
      <c r="EX158" s="21">
        <f>EXP(-LN(2)/2)*EX157+(1-EXP(-LN(2)/2))/(LN(2)/2)*ER158*EU158*VLOOKUP('Données projet'!$B$15,Paramètres!$A$1:$I$89,3,0)*0.475*44/12</f>
        <v>2.6027167795063414E-10</v>
      </c>
      <c r="EY158" s="22">
        <f t="shared" si="181"/>
        <v>23.437479197657971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-1.7053025658242404E-13</v>
      </c>
      <c r="FF158" s="17">
        <f>FE158*VLOOKUP('Données projet'!$B$16,Paramètres!$A$1:$I$89,3,0)*VLOOKUP('Données projet'!$B$16,Paramètres!$A$1:$I$89,5,0)</f>
        <v>-1.250327841262333E-13</v>
      </c>
      <c r="FG158" s="13" t="e">
        <f t="shared" si="182"/>
        <v>#NUM!</v>
      </c>
      <c r="FH158" s="20" t="e">
        <f t="shared" si="183"/>
        <v>#NUM!</v>
      </c>
      <c r="FI158" s="59" t="e">
        <f t="shared" si="131"/>
        <v>#NUM!</v>
      </c>
      <c r="FJ158" s="59">
        <f ca="1">AVERAGE(OFFSET($FI$3,0,0,'Données projet'!$E$16+1,1))-AVERAGE(OFFSET($H$3,0,0,'Données projet'!$E$16+1,1))</f>
        <v>278.45534008146865</v>
      </c>
      <c r="FK158" s="59">
        <f t="shared" si="156"/>
        <v>272.97841038165217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17.502115952623004</v>
      </c>
      <c r="FR158" s="21">
        <f>EXP(-LN(2)/25)*FR157+(1-EXP(-LN(2)/25))/(LN(2)/25)*Calculateur!FM158*Calculateur!FO158*VLOOKUP('Données projet'!$B$16,Paramètres!$A$1:$I$89,3,0)*0.475*44/12</f>
        <v>0.26500537443655575</v>
      </c>
      <c r="FS158" s="21">
        <f>EXP(-LN(2)/2)*FS157+(1-EXP(-LN(2)/2))/(LN(2)/2)*FM158*FP158*VLOOKUP('Données projet'!$B$16,Paramètres!$A$1:$I$89,3,0)*0.475*44/12</f>
        <v>1.9730272360773896E-10</v>
      </c>
      <c r="FT158" s="22">
        <f t="shared" si="184"/>
        <v>17.767121327256863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5.916666666666667</v>
      </c>
      <c r="N159" s="13">
        <f>IF('Données projet'!$A$36&gt;35,N158+M159-V158,IF(A159&lt;'Données projet'!$A$36,$K$205^A159,IF(A159='Données projet'!$A$36,'Données projet'!$B$36,N158+M159-V158)))</f>
        <v>356.24999999999966</v>
      </c>
      <c r="O159" s="13">
        <f>N159*VLOOKUP('Données projet'!$B$9,Paramètres!$A$1:$I$89,3,0)*VLOOKUP('Données projet'!$B$9,Paramètres!$A$1:$I$89,5,0)</f>
        <v>322.3349999999997</v>
      </c>
      <c r="P159" s="13">
        <f t="shared" si="141"/>
        <v>75.838990055015699</v>
      </c>
      <c r="Q159" s="20">
        <f t="shared" si="162"/>
        <v>693.48636601248518</v>
      </c>
      <c r="R159" s="59">
        <f t="shared" si="109"/>
        <v>986.81969934581844</v>
      </c>
      <c r="S159" s="59">
        <f ca="1">AVERAGE(OFFSET($R$3,0,0,'Données projet'!$E$9+1,1))-AVERAGE(OFFSET($H$3,0,0,'Données projet'!$E$9+1,1))</f>
        <v>436.03161778768742</v>
      </c>
      <c r="T159" s="59">
        <f t="shared" si="142"/>
        <v>217.65884352525285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38.184335370669942</v>
      </c>
      <c r="AA159" s="21">
        <f>EXP(-LN(2)/25)*AA158+(1-EXP(-LN(2)/25))/(LN(2)/25)*Calculateur!V159*Calculateur!X159*VLOOKUP('Données projet'!$B$9,Paramètres!$A$1:$I$89,3,0)*0.475*44/12</f>
        <v>9.7196630418445924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47.903998412514532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5.916666666666667</v>
      </c>
      <c r="AI159" s="13">
        <f>IF('Données projet'!$A$62&gt;35,AI158+AH159-AQ158,IF(A159&lt;'Données projet'!$A$62,$AF$205^A159,IF(A159='Données projet'!$A$62,'Données projet'!$B$62,AI158+AH159-AQ158)))</f>
        <v>356.24999999999966</v>
      </c>
      <c r="AJ159" s="13">
        <f>AI159*VLOOKUP('Données projet'!$B$10,Paramètres!$A$1:$I$89,3,0)*VLOOKUP('Données projet'!$B$10,Paramètres!$A$1:$I$89,5,0)</f>
        <v>361.23749999999967</v>
      </c>
      <c r="AK159" s="13">
        <f t="shared" si="164"/>
        <v>83.872156127281116</v>
      </c>
      <c r="AL159" s="20">
        <f t="shared" si="165"/>
        <v>775.23265108834732</v>
      </c>
      <c r="AM159" s="59">
        <f t="shared" si="113"/>
        <v>1068.5659844216807</v>
      </c>
      <c r="AN159" s="59">
        <f ca="1">AVERAGE(OFFSET($AM$3,0,0,'Données projet'!$E$10+1,1))-AVERAGE(OFFSET($H$3,0,0,'Données projet'!$E$10+1,1))</f>
        <v>483.45320081988984</v>
      </c>
      <c r="AO159" s="59">
        <f t="shared" si="144"/>
        <v>238.92443174298893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42.792789639543926</v>
      </c>
      <c r="AV159" s="21">
        <f>EXP(-LN(2)/25)*AV158+(1-EXP(-LN(2)/25))/(LN(2)/25)*Calculateur!AQ159*Calculateur!AS159*VLOOKUP('Données projet'!$B$10,Paramètres!$A$1:$I$89,3,0)*0.475*44/12</f>
        <v>10.892725822756869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53.685515462300799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1.7053025658242404E-13</v>
      </c>
      <c r="BE159" s="13">
        <f>BD159*VLOOKUP('Données projet'!$B$11,Paramètres!$A$1:$I$89,3,0)*VLOOKUP('Données projet'!$B$11,Paramètres!$A$1:$I$89,5,0)</f>
        <v>1.4897523215040567E-13</v>
      </c>
      <c r="BF159" s="13">
        <f t="shared" si="167"/>
        <v>2.136562777003313E-12</v>
      </c>
      <c r="BG159" s="20">
        <f t="shared" si="168"/>
        <v>3.9806453659427267E-12</v>
      </c>
      <c r="BH159" s="59">
        <f t="shared" si="116"/>
        <v>293.33333333333729</v>
      </c>
      <c r="BI159" s="59">
        <f ca="1">AVERAGE(OFFSET($BH$3,0,0,'Données projet'!$E$11+1,1))-AVERAGE(OFFSET($H$3,0,0,'Données projet'!$E$11+1,1))</f>
        <v>310.44153296396854</v>
      </c>
      <c r="BJ159" s="59">
        <f t="shared" si="146"/>
        <v>388.05195847800502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14.817024539386288</v>
      </c>
      <c r="BQ159" s="21">
        <f>EXP(-LN(2)/25)*BQ158+(1-EXP(-LN(2)/25))/(LN(2)/25)*Calculateur!BL159*Calculateur!BN159*VLOOKUP('Données projet'!$B$11,Paramètres!$A$1:$I$89,3,0)*0.475*44/12</f>
        <v>0.4887704320388071</v>
      </c>
      <c r="BR159" s="21">
        <f>EXP(-LN(2)/2)*BR158+(1-EXP(-LN(2)/2))/(LN(2)/2)*BL159*BO159*VLOOKUP('Données projet'!$B$11,Paramètres!$A$1:$I$89,3,0)*0.475*44/12</f>
        <v>4.682830077185642E-12</v>
      </c>
      <c r="BS159" s="22">
        <f t="shared" si="169"/>
        <v>15.305794971429778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-2.2737367544323206E-13</v>
      </c>
      <c r="BZ159" s="13">
        <f>BY159*VLOOKUP('Données projet'!$B$12,Paramètres!$A$1:$I$89,3,0)*VLOOKUP('Données projet'!$B$12,Paramètres!$A$1:$I$89,5,0)</f>
        <v>-1.2710188457276673E-13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443.34220761968419</v>
      </c>
      <c r="CE159" s="59">
        <f t="shared" si="148"/>
        <v>546.58234447298014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38.008382918536093</v>
      </c>
      <c r="CL159" s="21">
        <f>EXP(-LN(2)/25)*CL158+(1-EXP(-LN(2)/25))/(LN(2)/25)*Calculateur!CG159*Calculateur!CI159*VLOOKUP('Données projet'!$B$12,Paramètres!$A$1:$I$89,3,0)*0.475*44/12</f>
        <v>4.2341574584926711</v>
      </c>
      <c r="CM159" s="21">
        <f>EXP(-LN(2)/2)*CM158+(1-EXP(-LN(2)/2))/(LN(2)/2)*CG159*CJ159*VLOOKUP('Données projet'!$B$12,Paramètres!$A$1:$I$89,3,0)*0.475*44/12</f>
        <v>1.5343605560906659E-13</v>
      </c>
      <c r="CN159" s="22">
        <f t="shared" si="172"/>
        <v>42.242540377028917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>
        <f>CT159*VLOOKUP('Données projet'!$B$13,Paramètres!$A$1:$I$89,3,0)*VLOOKUP('Données projet'!$B$13,Paramètres!$A$1:$I$89,5,0)</f>
        <v>0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214.22606988805535</v>
      </c>
      <c r="CZ159" s="59">
        <f t="shared" si="150"/>
        <v>305.78163836959078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21.326208495448938</v>
      </c>
      <c r="DG159" s="21">
        <f>EXP(-LN(2)/25)*DG158+(1-EXP(-LN(2)/25))/(LN(2)/25)*Calculateur!DB159*Calculateur!DD159*VLOOKUP('Données projet'!$B$13,Paramètres!$A$1:$I$89,3,0)*0.475*44/12</f>
        <v>2.481502685494418</v>
      </c>
      <c r="DH159" s="21">
        <f>EXP(-LN(2)/2)*DH158+(1-EXP(-LN(2)/2))/(LN(2)/2)*DB159*DE159*VLOOKUP('Données projet'!$B$13,Paramètres!$A$1:$I$89,3,0)*0.475*44/12</f>
        <v>6.7059088601360792E-14</v>
      </c>
      <c r="DI159" s="22">
        <f t="shared" si="175"/>
        <v>23.807711180943425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-1.7053025658242404E-13</v>
      </c>
      <c r="DP159" s="17">
        <f>DO159*VLOOKUP('Données projet'!$B$14,Paramètres!$A$1:$I$89,3,0)*VLOOKUP('Données projet'!$B$14,Paramètres!$A$1:$I$89,5,0)</f>
        <v>-1.383341441396624E-13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304.26232113495314</v>
      </c>
      <c r="DU159" s="59">
        <f t="shared" si="152"/>
        <v>297.47246687305056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23.399285665206889</v>
      </c>
      <c r="EB159" s="21">
        <f>EXP(-LN(2)/25)*EB158+(1-EXP(-LN(2)/25))/(LN(2)/25)*Calculateur!DW159*Calculateur!DY159*VLOOKUP('Données projet'!$B$14,Paramètres!$A$1:$I$89,3,0)*0.475*44/12</f>
        <v>0.35150085166094169</v>
      </c>
      <c r="EC159" s="21">
        <f>EXP(-LN(2)/2)*EC158+(1-EXP(-LN(2)/2))/(LN(2)/2)*DW159*DZ159*VLOOKUP('Données projet'!$B$14,Paramètres!$A$1:$I$89,3,0)*0.475*44/12</f>
        <v>1.5435601868297022E-10</v>
      </c>
      <c r="ED159" s="22">
        <f t="shared" si="178"/>
        <v>23.750786517022185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-1.7053025658242404E-13</v>
      </c>
      <c r="EK159" s="17">
        <f>EJ159*VLOOKUP('Données projet'!$B$15,Paramètres!$A$1:$I$89,3,0)*VLOOKUP('Données projet'!$B$15,Paramètres!$A$1:$I$89,5,0)</f>
        <v>-1.6493686416652052E-13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355.72173590705142</v>
      </c>
      <c r="EP159" s="59">
        <f t="shared" si="154"/>
        <v>346.30980704469363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22.635158049144231</v>
      </c>
      <c r="EW159" s="21">
        <f>EXP(-LN(2)/25)*EW158+(1-EXP(-LN(2)/25))/(LN(2)/25)*Calculateur!ER159*Calculateur!ET159*VLOOKUP('Données projet'!$B$15,Paramètres!$A$1:$I$89,3,0)*0.475*44/12</f>
        <v>0.34002223168652784</v>
      </c>
      <c r="EX159" s="21">
        <f>EXP(-LN(2)/2)*EX158+(1-EXP(-LN(2)/2))/(LN(2)/2)*ER159*EU159*VLOOKUP('Données projet'!$B$15,Paramètres!$A$1:$I$89,3,0)*0.475*44/12</f>
        <v>1.8403986842969463E-10</v>
      </c>
      <c r="EY159" s="22">
        <f t="shared" si="181"/>
        <v>22.975180281014801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-1.7053025658242404E-13</v>
      </c>
      <c r="FF159" s="17">
        <f>FE159*VLOOKUP('Données projet'!$B$16,Paramètres!$A$1:$I$89,3,0)*VLOOKUP('Données projet'!$B$16,Paramètres!$A$1:$I$89,5,0)</f>
        <v>-1.250327841262333E-13</v>
      </c>
      <c r="FG159" s="13" t="e">
        <f t="shared" si="182"/>
        <v>#NUM!</v>
      </c>
      <c r="FH159" s="20" t="e">
        <f t="shared" si="183"/>
        <v>#NUM!</v>
      </c>
      <c r="FI159" s="59" t="e">
        <f t="shared" si="131"/>
        <v>#NUM!</v>
      </c>
      <c r="FJ159" s="59">
        <f ca="1">AVERAGE(OFFSET($FI$3,0,0,'Données projet'!$E$16+1,1))-AVERAGE(OFFSET($H$3,0,0,'Données projet'!$E$16+1,1))</f>
        <v>278.45534008146865</v>
      </c>
      <c r="FK159" s="59">
        <f t="shared" si="156"/>
        <v>272.97841038165217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17.158910134028705</v>
      </c>
      <c r="FR159" s="21">
        <f>EXP(-LN(2)/25)*FR158+(1-EXP(-LN(2)/25))/(LN(2)/25)*Calculateur!FM159*Calculateur!FO159*VLOOKUP('Données projet'!$B$16,Paramètres!$A$1:$I$89,3,0)*0.475*44/12</f>
        <v>0.25775878853656115</v>
      </c>
      <c r="FS159" s="21">
        <f>EXP(-LN(2)/2)*FS158+(1-EXP(-LN(2)/2))/(LN(2)/2)*FM159*FP159*VLOOKUP('Données projet'!$B$16,Paramètres!$A$1:$I$89,3,0)*0.475*44/12</f>
        <v>1.3951409380960734E-10</v>
      </c>
      <c r="FT159" s="22">
        <f t="shared" si="184"/>
        <v>17.41666892270478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5.916666666666667</v>
      </c>
      <c r="N160" s="13">
        <f>IF('Données projet'!$A$36&gt;35,N159+M160-V159,IF(A160&lt;'Données projet'!$A$36,$K$205^A160,IF(A160='Données projet'!$A$36,'Données projet'!$B$36,N159+M160-V159)))</f>
        <v>362.16666666666634</v>
      </c>
      <c r="O160" s="13">
        <f>N160*VLOOKUP('Données projet'!$B$9,Paramètres!$A$1:$I$89,3,0)*VLOOKUP('Données projet'!$B$9,Paramètres!$A$1:$I$89,5,0)</f>
        <v>327.68839999999972</v>
      </c>
      <c r="P160" s="13">
        <f t="shared" si="141"/>
        <v>76.950857620696198</v>
      </c>
      <c r="Q160" s="20">
        <f t="shared" si="162"/>
        <v>704.74670702271203</v>
      </c>
      <c r="R160" s="59">
        <f t="shared" si="109"/>
        <v>998.0800403560454</v>
      </c>
      <c r="S160" s="59">
        <f ca="1">AVERAGE(OFFSET($R$3,0,0,'Données projet'!$E$9+1,1))-AVERAGE(OFFSET($H$3,0,0,'Données projet'!$E$9+1,1))</f>
        <v>436.03161778768742</v>
      </c>
      <c r="T160" s="59">
        <f t="shared" si="142"/>
        <v>217.65884352525285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37.435563844195968</v>
      </c>
      <c r="AA160" s="21">
        <f>EXP(-LN(2)/25)*AA159+(1-EXP(-LN(2)/25))/(LN(2)/25)*Calculateur!V160*Calculateur!X160*VLOOKUP('Données projet'!$B$9,Paramètres!$A$1:$I$89,3,0)*0.475*44/12</f>
        <v>9.4538783448304873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46.889442189026454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5.916666666666667</v>
      </c>
      <c r="AI160" s="13">
        <f>IF('Données projet'!$A$62&gt;35,AI159+AH160-AQ159,IF(A160&lt;'Données projet'!$A$62,$AF$205^A160,IF(A160='Données projet'!$A$62,'Données projet'!$B$62,AI159+AH160-AQ159)))</f>
        <v>362.16666666666634</v>
      </c>
      <c r="AJ160" s="13">
        <f>AI160*VLOOKUP('Données projet'!$B$10,Paramètres!$A$1:$I$89,3,0)*VLOOKUP('Données projet'!$B$10,Paramètres!$A$1:$I$89,5,0)</f>
        <v>367.23699999999968</v>
      </c>
      <c r="AK160" s="13">
        <f t="shared" si="164"/>
        <v>85.101797107388734</v>
      </c>
      <c r="AL160" s="20">
        <f t="shared" si="165"/>
        <v>787.82340496203472</v>
      </c>
      <c r="AM160" s="59">
        <f t="shared" si="113"/>
        <v>1081.1567382953681</v>
      </c>
      <c r="AN160" s="59">
        <f ca="1">AVERAGE(OFFSET($AM$3,0,0,'Données projet'!$E$10+1,1))-AVERAGE(OFFSET($H$3,0,0,'Données projet'!$E$10+1,1))</f>
        <v>483.45320081988984</v>
      </c>
      <c r="AO160" s="59">
        <f t="shared" si="144"/>
        <v>238.92443174298893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41.953649135736889</v>
      </c>
      <c r="AV160" s="21">
        <f>EXP(-LN(2)/25)*AV159+(1-EXP(-LN(2)/25))/(LN(2)/25)*Calculateur!AQ160*Calculateur!AS160*VLOOKUP('Données projet'!$B$10,Paramètres!$A$1:$I$89,3,0)*0.475*44/12</f>
        <v>10.594863662310027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52.548512798046914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1.7053025658242404E-13</v>
      </c>
      <c r="BE160" s="13">
        <f>BD160*VLOOKUP('Données projet'!$B$11,Paramètres!$A$1:$I$89,3,0)*VLOOKUP('Données projet'!$B$11,Paramètres!$A$1:$I$89,5,0)</f>
        <v>1.4897523215040567E-13</v>
      </c>
      <c r="BF160" s="13">
        <f t="shared" si="167"/>
        <v>2.136562777003313E-12</v>
      </c>
      <c r="BG160" s="20">
        <f t="shared" si="168"/>
        <v>3.9806453659427267E-12</v>
      </c>
      <c r="BH160" s="59">
        <f t="shared" si="116"/>
        <v>293.33333333333729</v>
      </c>
      <c r="BI160" s="59">
        <f ca="1">AVERAGE(OFFSET($BH$3,0,0,'Données projet'!$E$11+1,1))-AVERAGE(OFFSET($H$3,0,0,'Données projet'!$E$11+1,1))</f>
        <v>310.44153296396854</v>
      </c>
      <c r="BJ160" s="59">
        <f t="shared" si="146"/>
        <v>388.05195847800502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14.526471725661514</v>
      </c>
      <c r="BQ160" s="21">
        <f>EXP(-LN(2)/25)*BQ159+(1-EXP(-LN(2)/25))/(LN(2)/25)*Calculateur!BL160*Calculateur!BN160*VLOOKUP('Données projet'!$B$11,Paramètres!$A$1:$I$89,3,0)*0.475*44/12</f>
        <v>0.475404978871386</v>
      </c>
      <c r="BR160" s="21">
        <f>EXP(-LN(2)/2)*BR159+(1-EXP(-LN(2)/2))/(LN(2)/2)*BL160*BO160*VLOOKUP('Données projet'!$B$11,Paramètres!$A$1:$I$89,3,0)*0.475*44/12</f>
        <v>3.3112609027222913E-12</v>
      </c>
      <c r="BS160" s="22">
        <f t="shared" si="169"/>
        <v>15.001876704536212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-2.2737367544323206E-13</v>
      </c>
      <c r="BZ160" s="13">
        <f>BY160*VLOOKUP('Données projet'!$B$12,Paramètres!$A$1:$I$89,3,0)*VLOOKUP('Données projet'!$B$12,Paramètres!$A$1:$I$89,5,0)</f>
        <v>-1.2710188457276673E-13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443.34220761968419</v>
      </c>
      <c r="CE160" s="59">
        <f t="shared" si="148"/>
        <v>546.58234447298014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37.263061712328067</v>
      </c>
      <c r="CL160" s="21">
        <f>EXP(-LN(2)/25)*CL159+(1-EXP(-LN(2)/25))/(LN(2)/25)*Calculateur!CG160*Calculateur!CI160*VLOOKUP('Données projet'!$B$12,Paramètres!$A$1:$I$89,3,0)*0.475*44/12</f>
        <v>4.1183742001255252</v>
      </c>
      <c r="CM160" s="21">
        <f>EXP(-LN(2)/2)*CM159+(1-EXP(-LN(2)/2))/(LN(2)/2)*CG160*CJ160*VLOOKUP('Données projet'!$B$12,Paramètres!$A$1:$I$89,3,0)*0.475*44/12</f>
        <v>1.0849567539968719E-13</v>
      </c>
      <c r="CN160" s="22">
        <f t="shared" si="172"/>
        <v>41.381435912453696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>
        <f>CT160*VLOOKUP('Données projet'!$B$13,Paramètres!$A$1:$I$89,3,0)*VLOOKUP('Données projet'!$B$13,Paramètres!$A$1:$I$89,5,0)</f>
        <v>0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214.22606988805535</v>
      </c>
      <c r="CZ160" s="59">
        <f t="shared" si="150"/>
        <v>305.78163836959078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20.908014554555962</v>
      </c>
      <c r="DG160" s="21">
        <f>EXP(-LN(2)/25)*DG159+(1-EXP(-LN(2)/25))/(LN(2)/25)*Calculateur!DB160*Calculateur!DD160*VLOOKUP('Données projet'!$B$13,Paramètres!$A$1:$I$89,3,0)*0.475*44/12</f>
        <v>2.4136458640630183</v>
      </c>
      <c r="DH160" s="21">
        <f>EXP(-LN(2)/2)*DH159+(1-EXP(-LN(2)/2))/(LN(2)/2)*DB160*DE160*VLOOKUP('Données projet'!$B$13,Paramètres!$A$1:$I$89,3,0)*0.475*44/12</f>
        <v>4.7417936290211729E-14</v>
      </c>
      <c r="DI160" s="22">
        <f t="shared" si="175"/>
        <v>23.321660418619025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-1.7053025658242404E-13</v>
      </c>
      <c r="DP160" s="17">
        <f>DO160*VLOOKUP('Données projet'!$B$14,Paramètres!$A$1:$I$89,3,0)*VLOOKUP('Données projet'!$B$14,Paramètres!$A$1:$I$89,5,0)</f>
        <v>-1.383341441396624E-13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304.26232113495314</v>
      </c>
      <c r="DU160" s="59">
        <f t="shared" si="152"/>
        <v>297.47246687305056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22.94043994546718</v>
      </c>
      <c r="EB160" s="21">
        <f>EXP(-LN(2)/25)*EB159+(1-EXP(-LN(2)/25))/(LN(2)/25)*Calculateur!DW160*Calculateur!DY160*VLOOKUP('Données projet'!$B$14,Paramètres!$A$1:$I$89,3,0)*0.475*44/12</f>
        <v>0.34188904238764684</v>
      </c>
      <c r="EC160" s="21">
        <f>EXP(-LN(2)/2)*EC159+(1-EXP(-LN(2)/2))/(LN(2)/2)*DW160*DZ160*VLOOKUP('Données projet'!$B$14,Paramètres!$A$1:$I$89,3,0)*0.475*44/12</f>
        <v>1.0914618752768566E-10</v>
      </c>
      <c r="ED160" s="22">
        <f t="shared" si="178"/>
        <v>23.282328987963972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-1.7053025658242404E-13</v>
      </c>
      <c r="EK160" s="17">
        <f>EJ160*VLOOKUP('Données projet'!$B$15,Paramètres!$A$1:$I$89,3,0)*VLOOKUP('Données projet'!$B$15,Paramètres!$A$1:$I$89,5,0)</f>
        <v>-1.6493686416652052E-13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355.72173590705142</v>
      </c>
      <c r="EP160" s="59">
        <f t="shared" si="154"/>
        <v>346.30980704469363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22.191296405883683</v>
      </c>
      <c r="EW160" s="21">
        <f>EXP(-LN(2)/25)*EW159+(1-EXP(-LN(2)/25))/(LN(2)/25)*Calculateur!ER160*Calculateur!ET160*VLOOKUP('Données projet'!$B$15,Paramètres!$A$1:$I$89,3,0)*0.475*44/12</f>
        <v>0.33072430588006768</v>
      </c>
      <c r="EX160" s="21">
        <f>EXP(-LN(2)/2)*EX159+(1-EXP(-LN(2)/2))/(LN(2)/2)*ER160*EU160*VLOOKUP('Données projet'!$B$15,Paramètres!$A$1:$I$89,3,0)*0.475*44/12</f>
        <v>1.3013583897531707E-10</v>
      </c>
      <c r="EY160" s="22">
        <f t="shared" si="181"/>
        <v>22.522020711893887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-1.7053025658242404E-13</v>
      </c>
      <c r="FF160" s="17">
        <f>FE160*VLOOKUP('Données projet'!$B$16,Paramètres!$A$1:$I$89,3,0)*VLOOKUP('Données projet'!$B$16,Paramètres!$A$1:$I$89,5,0)</f>
        <v>-1.250327841262333E-13</v>
      </c>
      <c r="FG160" s="13" t="e">
        <f t="shared" si="182"/>
        <v>#NUM!</v>
      </c>
      <c r="FH160" s="20" t="e">
        <f t="shared" si="183"/>
        <v>#NUM!</v>
      </c>
      <c r="FI160" s="59" t="e">
        <f t="shared" si="131"/>
        <v>#NUM!</v>
      </c>
      <c r="FJ160" s="59">
        <f ca="1">AVERAGE(OFFSET($FI$3,0,0,'Données projet'!$E$16+1,1))-AVERAGE(OFFSET($H$3,0,0,'Données projet'!$E$16+1,1))</f>
        <v>278.45534008146865</v>
      </c>
      <c r="FK160" s="59">
        <f t="shared" si="156"/>
        <v>272.97841038165217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16.822434372202164</v>
      </c>
      <c r="FR160" s="21">
        <f>EXP(-LN(2)/25)*FR159+(1-EXP(-LN(2)/25))/(LN(2)/25)*Calculateur!FM160*Calculateur!FO160*VLOOKUP('Données projet'!$B$16,Paramètres!$A$1:$I$89,3,0)*0.475*44/12</f>
        <v>0.25071036090908333</v>
      </c>
      <c r="FS160" s="21">
        <f>EXP(-LN(2)/2)*FS159+(1-EXP(-LN(2)/2))/(LN(2)/2)*FM160*FP160*VLOOKUP('Données projet'!$B$16,Paramètres!$A$1:$I$89,3,0)*0.475*44/12</f>
        <v>9.8651361803869481E-11</v>
      </c>
      <c r="FT160" s="22">
        <f t="shared" si="184"/>
        <v>17.073144733209897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5.916666666666667</v>
      </c>
      <c r="N161" s="13">
        <f>IF('Données projet'!$A$36&gt;35,N160+M161-V160,IF(A161&lt;'Données projet'!$A$36,$K$205^A161,IF(A161='Données projet'!$A$36,'Données projet'!$B$36,N160+M161-V160)))</f>
        <v>368.08333333333303</v>
      </c>
      <c r="O161" s="13">
        <f>N161*VLOOKUP('Données projet'!$B$9,Paramètres!$A$1:$I$89,3,0)*VLOOKUP('Données projet'!$B$9,Paramètres!$A$1:$I$89,5,0)</f>
        <v>333.04179999999974</v>
      </c>
      <c r="P161" s="13">
        <f t="shared" si="141"/>
        <v>78.060612756848144</v>
      </c>
      <c r="Q161" s="20">
        <f t="shared" si="162"/>
        <v>716.00336888484344</v>
      </c>
      <c r="R161" s="59">
        <f t="shared" si="109"/>
        <v>1009.3367022181767</v>
      </c>
      <c r="S161" s="59">
        <f ca="1">AVERAGE(OFFSET($R$3,0,0,'Données projet'!$E$9+1,1))-AVERAGE(OFFSET($H$3,0,0,'Données projet'!$E$9+1,1))</f>
        <v>436.03161778768742</v>
      </c>
      <c r="T161" s="59">
        <f t="shared" si="142"/>
        <v>217.65884352525285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36.701475270650619</v>
      </c>
      <c r="AA161" s="21">
        <f>EXP(-LN(2)/25)*AA160+(1-EXP(-LN(2)/25))/(LN(2)/25)*Calculateur!V161*Calculateur!X161*VLOOKUP('Données projet'!$B$9,Paramètres!$A$1:$I$89,3,0)*0.475*44/12</f>
        <v>9.1953615443332417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45.896836814983857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5.916666666666667</v>
      </c>
      <c r="AI161" s="13">
        <f>IF('Données projet'!$A$62&gt;35,AI160+AH161-AQ160,IF(A161&lt;'Données projet'!$A$62,$AF$205^A161,IF(A161='Données projet'!$A$62,'Données projet'!$B$62,AI160+AH161-AQ160)))</f>
        <v>368.08333333333303</v>
      </c>
      <c r="AJ161" s="13">
        <f>AI161*VLOOKUP('Données projet'!$B$10,Paramètres!$A$1:$I$89,3,0)*VLOOKUP('Données projet'!$B$10,Paramètres!$A$1:$I$89,5,0)</f>
        <v>373.23649999999969</v>
      </c>
      <c r="AK161" s="13">
        <f t="shared" si="164"/>
        <v>86.329101901068967</v>
      </c>
      <c r="AL161" s="20">
        <f t="shared" si="165"/>
        <v>800.4100899776945</v>
      </c>
      <c r="AM161" s="59">
        <f t="shared" si="113"/>
        <v>1093.7434233110278</v>
      </c>
      <c r="AN161" s="59">
        <f ca="1">AVERAGE(OFFSET($AM$3,0,0,'Données projet'!$E$10+1,1))-AVERAGE(OFFSET($H$3,0,0,'Données projet'!$E$10+1,1))</f>
        <v>483.45320081988984</v>
      </c>
      <c r="AO161" s="59">
        <f t="shared" si="144"/>
        <v>238.92443174298893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41.130963665384336</v>
      </c>
      <c r="AV161" s="21">
        <f>EXP(-LN(2)/25)*AV160+(1-EXP(-LN(2)/25))/(LN(2)/25)*Calculateur!AQ161*Calculateur!AS161*VLOOKUP('Données projet'!$B$10,Paramètres!$A$1:$I$89,3,0)*0.475*44/12</f>
        <v>10.305146558304495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51.436110223688829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1.7053025658242404E-13</v>
      </c>
      <c r="BE161" s="13">
        <f>BD161*VLOOKUP('Données projet'!$B$11,Paramètres!$A$1:$I$89,3,0)*VLOOKUP('Données projet'!$B$11,Paramètres!$A$1:$I$89,5,0)</f>
        <v>1.4897523215040567E-13</v>
      </c>
      <c r="BF161" s="13">
        <f t="shared" si="167"/>
        <v>2.136562777003313E-12</v>
      </c>
      <c r="BG161" s="20">
        <f t="shared" si="168"/>
        <v>3.9806453659427267E-12</v>
      </c>
      <c r="BH161" s="59">
        <f t="shared" si="116"/>
        <v>293.33333333333729</v>
      </c>
      <c r="BI161" s="59">
        <f ca="1">AVERAGE(OFFSET($BH$3,0,0,'Données projet'!$E$11+1,1))-AVERAGE(OFFSET($H$3,0,0,'Données projet'!$E$11+1,1))</f>
        <v>310.44153296396854</v>
      </c>
      <c r="BJ161" s="59">
        <f t="shared" si="146"/>
        <v>388.05195847800502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14.241616475394165</v>
      </c>
      <c r="BQ161" s="21">
        <f>EXP(-LN(2)/25)*BQ160+(1-EXP(-LN(2)/25))/(LN(2)/25)*Calculateur!BL161*Calculateur!BN161*VLOOKUP('Données projet'!$B$11,Paramètres!$A$1:$I$89,3,0)*0.475*44/12</f>
        <v>0.46240500472368667</v>
      </c>
      <c r="BR161" s="21">
        <f>EXP(-LN(2)/2)*BR160+(1-EXP(-LN(2)/2))/(LN(2)/2)*BL161*BO161*VLOOKUP('Données projet'!$B$11,Paramètres!$A$1:$I$89,3,0)*0.475*44/12</f>
        <v>2.341415038592821E-12</v>
      </c>
      <c r="BS161" s="22">
        <f t="shared" si="169"/>
        <v>14.704021480120193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-2.2737367544323206E-13</v>
      </c>
      <c r="BZ161" s="13">
        <f>BY161*VLOOKUP('Données projet'!$B$12,Paramètres!$A$1:$I$89,3,0)*VLOOKUP('Données projet'!$B$12,Paramètres!$A$1:$I$89,5,0)</f>
        <v>-1.2710188457276673E-13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443.34220761968419</v>
      </c>
      <c r="CE161" s="59">
        <f t="shared" si="148"/>
        <v>546.58234447298014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36.532355800372734</v>
      </c>
      <c r="CL161" s="21">
        <f>EXP(-LN(2)/25)*CL160+(1-EXP(-LN(2)/25))/(LN(2)/25)*Calculateur!CG161*Calculateur!CI161*VLOOKUP('Données projet'!$B$12,Paramètres!$A$1:$I$89,3,0)*0.475*44/12</f>
        <v>4.0057570410472065</v>
      </c>
      <c r="CM161" s="21">
        <f>EXP(-LN(2)/2)*CM160+(1-EXP(-LN(2)/2))/(LN(2)/2)*CG161*CJ161*VLOOKUP('Données projet'!$B$12,Paramètres!$A$1:$I$89,3,0)*0.475*44/12</f>
        <v>7.6718027804533295E-14</v>
      </c>
      <c r="CN161" s="22">
        <f t="shared" si="172"/>
        <v>40.538112841420016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>
        <f>CT161*VLOOKUP('Données projet'!$B$13,Paramètres!$A$1:$I$89,3,0)*VLOOKUP('Données projet'!$B$13,Paramètres!$A$1:$I$89,5,0)</f>
        <v>0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214.22606988805535</v>
      </c>
      <c r="CZ161" s="59">
        <f t="shared" si="150"/>
        <v>305.78163836959078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20.498021141770781</v>
      </c>
      <c r="DG161" s="21">
        <f>EXP(-LN(2)/25)*DG160+(1-EXP(-LN(2)/25))/(LN(2)/25)*Calculateur!DB161*Calculateur!DD161*VLOOKUP('Données projet'!$B$13,Paramètres!$A$1:$I$89,3,0)*0.475*44/12</f>
        <v>2.3476445909820955</v>
      </c>
      <c r="DH161" s="21">
        <f>EXP(-LN(2)/2)*DH160+(1-EXP(-LN(2)/2))/(LN(2)/2)*DB161*DE161*VLOOKUP('Données projet'!$B$13,Paramètres!$A$1:$I$89,3,0)*0.475*44/12</f>
        <v>3.3529544300680396E-14</v>
      </c>
      <c r="DI161" s="22">
        <f t="shared" si="175"/>
        <v>22.845665732752909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-1.7053025658242404E-13</v>
      </c>
      <c r="DP161" s="17">
        <f>DO161*VLOOKUP('Données projet'!$B$14,Paramètres!$A$1:$I$89,3,0)*VLOOKUP('Données projet'!$B$14,Paramètres!$A$1:$I$89,5,0)</f>
        <v>-1.383341441396624E-13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304.26232113495314</v>
      </c>
      <c r="DU161" s="59">
        <f t="shared" si="152"/>
        <v>297.47246687305056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22.490591910423312</v>
      </c>
      <c r="EB161" s="21">
        <f>EXP(-LN(2)/25)*EB160+(1-EXP(-LN(2)/25))/(LN(2)/25)*Calculateur!DW161*Calculateur!DY161*VLOOKUP('Données projet'!$B$14,Paramètres!$A$1:$I$89,3,0)*0.475*44/12</f>
        <v>0.33254006854439327</v>
      </c>
      <c r="EC161" s="21">
        <f>EXP(-LN(2)/2)*EC160+(1-EXP(-LN(2)/2))/(LN(2)/2)*DW161*DZ161*VLOOKUP('Données projet'!$B$14,Paramètres!$A$1:$I$89,3,0)*0.475*44/12</f>
        <v>7.7178009341485108E-11</v>
      </c>
      <c r="ED161" s="22">
        <f t="shared" si="178"/>
        <v>22.823131979044884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-1.7053025658242404E-13</v>
      </c>
      <c r="EK161" s="17">
        <f>EJ161*VLOOKUP('Données projet'!$B$15,Paramètres!$A$1:$I$89,3,0)*VLOOKUP('Données projet'!$B$15,Paramètres!$A$1:$I$89,5,0)</f>
        <v>-1.6493686416652052E-13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355.72173590705142</v>
      </c>
      <c r="EP161" s="59">
        <f t="shared" si="154"/>
        <v>346.30980704469363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21.756138618718605</v>
      </c>
      <c r="EW161" s="21">
        <f>EXP(-LN(2)/25)*EW160+(1-EXP(-LN(2)/25))/(LN(2)/25)*Calculateur!ER161*Calculateur!ET161*VLOOKUP('Données projet'!$B$15,Paramètres!$A$1:$I$89,3,0)*0.475*44/12</f>
        <v>0.32168063234374189</v>
      </c>
      <c r="EX161" s="21">
        <f>EXP(-LN(2)/2)*EX160+(1-EXP(-LN(2)/2))/(LN(2)/2)*ER161*EU161*VLOOKUP('Données projet'!$B$15,Paramètres!$A$1:$I$89,3,0)*0.475*44/12</f>
        <v>9.2019934214847314E-11</v>
      </c>
      <c r="EY161" s="22">
        <f t="shared" si="181"/>
        <v>22.077819251154366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-1.7053025658242404E-13</v>
      </c>
      <c r="FF161" s="17">
        <f>FE161*VLOOKUP('Données projet'!$B$16,Paramètres!$A$1:$I$89,3,0)*VLOOKUP('Données projet'!$B$16,Paramètres!$A$1:$I$89,5,0)</f>
        <v>-1.250327841262333E-13</v>
      </c>
      <c r="FG161" s="13" t="e">
        <f t="shared" si="182"/>
        <v>#NUM!</v>
      </c>
      <c r="FH161" s="20" t="e">
        <f t="shared" si="183"/>
        <v>#NUM!</v>
      </c>
      <c r="FI161" s="59" t="e">
        <f t="shared" si="131"/>
        <v>#NUM!</v>
      </c>
      <c r="FJ161" s="59">
        <f ca="1">AVERAGE(OFFSET($FI$3,0,0,'Données projet'!$E$16+1,1))-AVERAGE(OFFSET($H$3,0,0,'Données projet'!$E$16+1,1))</f>
        <v>278.45534008146865</v>
      </c>
      <c r="FK161" s="59">
        <f t="shared" si="156"/>
        <v>272.97841038165217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16.492556694835088</v>
      </c>
      <c r="FR161" s="21">
        <f>EXP(-LN(2)/25)*FR160+(1-EXP(-LN(2)/25))/(LN(2)/25)*Calculateur!FM161*Calculateur!FO161*VLOOKUP('Données projet'!$B$16,Paramètres!$A$1:$I$89,3,0)*0.475*44/12</f>
        <v>0.24385467290573956</v>
      </c>
      <c r="FS161" s="21">
        <f>EXP(-LN(2)/2)*FS160+(1-EXP(-LN(2)/2))/(LN(2)/2)*FM161*FP161*VLOOKUP('Données projet'!$B$16,Paramètres!$A$1:$I$89,3,0)*0.475*44/12</f>
        <v>6.9757046904803669E-11</v>
      </c>
      <c r="FT161" s="22">
        <f t="shared" si="184"/>
        <v>16.736411367810586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>
        <f>VLOOKUP(A162,'Données projet'!$A$35:$I$55,2,0)</f>
        <v>374</v>
      </c>
      <c r="L162" s="12">
        <f>VLOOKUP(A162,'Données projet'!$A$35:$I$55,9,0)</f>
        <v>5.916666666666667</v>
      </c>
      <c r="M162" s="12">
        <f t="array" ref="M162">INDEX(L:L,MIN(IF(ISNUMBER(L162:L358),ROW(L162:L358),"")))</f>
        <v>5.916666666666667</v>
      </c>
      <c r="N162" s="13">
        <f>IF('Données projet'!$A$36&gt;35,N161+M162-V161,IF(A162&lt;'Données projet'!$A$36,$K$205^A162,IF(A162='Données projet'!$A$36,'Données projet'!$B$36,N161+M162-V161)))</f>
        <v>373.99999999999972</v>
      </c>
      <c r="O162" s="13">
        <f>N162*VLOOKUP('Données projet'!$B$9,Paramètres!$A$1:$I$89,3,0)*VLOOKUP('Données projet'!$B$9,Paramètres!$A$1:$I$89,5,0)</f>
        <v>338.3951999999997</v>
      </c>
      <c r="P162" s="13">
        <f t="shared" si="141"/>
        <v>79.168293339502014</v>
      </c>
      <c r="Q162" s="20">
        <f t="shared" si="162"/>
        <v>727.25641756629886</v>
      </c>
      <c r="R162" s="59">
        <f t="shared" si="109"/>
        <v>1020.5897508996322</v>
      </c>
      <c r="S162" s="59">
        <f ca="1">AVERAGE(OFFSET($R$3,0,0,'Données projet'!$E$9+1,1))-AVERAGE(OFFSET($H$3,0,0,'Données projet'!$E$9+1,1))</f>
        <v>436.03161778768742</v>
      </c>
      <c r="T162" s="59">
        <f t="shared" si="142"/>
        <v>217.65884352525285</v>
      </c>
      <c r="U162" s="15">
        <f>IF(ISNA(VLOOKUP(A162,'Données projet'!$A$35:$I$55,3,0)),0,VLOOKUP(A162,'Données projet'!$A$35:$I$55,3,0))</f>
        <v>13</v>
      </c>
      <c r="V162" s="15">
        <f>IF(ISNA(VLOOKUP(A162,'Données projet'!$A$35:$I$55,4,0)),0,VLOOKUP(A162,'Données projet'!$A$35:$I$55,4,0))</f>
        <v>47</v>
      </c>
      <c r="W162" s="16">
        <f>IF(ISNA(VLOOKUP(A162,'Données projet'!$A$35:$I$55,5,0)),0%,VLOOKUP(A162,'Données projet'!$A$35:$I$55,5,0)*VLOOKUP('Données projet'!$B$9,Paramètres!$A$1:$I$89,7,0))</f>
        <v>0.30099999999999999</v>
      </c>
      <c r="X162" s="16">
        <f>IF(ISNA(VLOOKUP(A162,'Données projet'!$A$35:$I$55,6,0)),0%,VLOOKUP(A162,'Données projet'!$A$35:$I$55,6,0)*VLOOKUP('Données projet'!$B$9,Paramètres!$A$1:$I$89,7,0))</f>
        <v>4.3000000000000003E-2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50.13202986901446</v>
      </c>
      <c r="AA162" s="21">
        <f>EXP(-LN(2)/25)*AA161+(1-EXP(-LN(2)/25))/(LN(2)/25)*Calculateur!V162*Calculateur!X162*VLOOKUP('Données projet'!$B$9,Paramètres!$A$1:$I$89,3,0)*0.475*44/12</f>
        <v>10.957418645644204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61.089448514658663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>
        <f>VLOOKUP(A162,'Données projet'!$A$61:$I$81,2,0)</f>
        <v>374</v>
      </c>
      <c r="AG162" s="12">
        <f>VLOOKUP(A162,'Données projet'!$A$61:$I$81,9,0)</f>
        <v>5.916666666666667</v>
      </c>
      <c r="AH162" s="12">
        <f t="array" ref="AH162">INDEX(AG:AG,MIN(IF(ISNUMBER(AG162:AG358),ROW(AG162:AG358),"")))</f>
        <v>5.916666666666667</v>
      </c>
      <c r="AI162" s="13">
        <f>IF('Données projet'!$A$62&gt;35,AI161+AH162-AQ161,IF(A162&lt;'Données projet'!$A$62,$AF$205^A162,IF(A162='Données projet'!$A$62,'Données projet'!$B$62,AI161+AH162-AQ161)))</f>
        <v>373.99999999999972</v>
      </c>
      <c r="AJ162" s="13">
        <f>AI162*VLOOKUP('Données projet'!$B$10,Paramètres!$A$1:$I$89,3,0)*VLOOKUP('Données projet'!$B$10,Paramètres!$A$1:$I$89,5,0)</f>
        <v>379.23599999999976</v>
      </c>
      <c r="AK162" s="13">
        <f t="shared" si="164"/>
        <v>87.554112396331476</v>
      </c>
      <c r="AL162" s="20">
        <f t="shared" si="165"/>
        <v>812.99277909027694</v>
      </c>
      <c r="AM162" s="59">
        <f t="shared" si="113"/>
        <v>1106.3261124236103</v>
      </c>
      <c r="AN162" s="59">
        <f ca="1">AVERAGE(OFFSET($AM$3,0,0,'Données projet'!$E$10+1,1))-AVERAGE(OFFSET($H$3,0,0,'Données projet'!$E$10+1,1))</f>
        <v>483.45320081988984</v>
      </c>
      <c r="AO162" s="59">
        <f t="shared" si="144"/>
        <v>238.92443174298893</v>
      </c>
      <c r="AP162" s="15">
        <f>IF(ISNA(VLOOKUP(A162,'Données projet'!$A$61:$I$81,3,0)),0,VLOOKUP(A162,'Données projet'!$A$61:$I$81,3,0))</f>
        <v>13</v>
      </c>
      <c r="AQ162" s="15">
        <f>IF(ISNA(VLOOKUP(A162,'Données projet'!$A$61:$I$81,4,0)),0,VLOOKUP(A162,'Données projet'!$A$61:$I$81,4,0))</f>
        <v>47</v>
      </c>
      <c r="AR162" s="16">
        <f>IF(ISNA(VLOOKUP(A162,'Données projet'!$A$61:$I$81,5,0)),0%,VLOOKUP(A162,'Données projet'!$A$61:$I$81,5,0)*VLOOKUP('Données projet'!$B$10,Paramètres!$A$1:$I$89,7,0))</f>
        <v>0.30099999999999999</v>
      </c>
      <c r="AS162" s="16">
        <f>IF(ISNA(VLOOKUP(A162,'Données projet'!$A$61:$I$81,6,0)),0%,VLOOKUP(A162,'Données projet'!$A$61:$I$81,6,0)*VLOOKUP('Données projet'!$B$10,Paramètres!$A$1:$I$89,7,0))</f>
        <v>4.3000000000000003E-2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56.182447266998992</v>
      </c>
      <c r="AV162" s="21">
        <f>EXP(-LN(2)/25)*AV161+(1-EXP(-LN(2)/25))/(LN(2)/25)*Calculateur!AQ162*Calculateur!AS162*VLOOKUP('Données projet'!$B$10,Paramètres!$A$1:$I$89,3,0)*0.475*44/12</f>
        <v>12.279865723566781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68.462312990565778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1.7053025658242404E-13</v>
      </c>
      <c r="BE162" s="13">
        <f>BD162*VLOOKUP('Données projet'!$B$11,Paramètres!$A$1:$I$89,3,0)*VLOOKUP('Données projet'!$B$11,Paramètres!$A$1:$I$89,5,0)</f>
        <v>1.4897523215040567E-13</v>
      </c>
      <c r="BF162" s="13">
        <f t="shared" si="167"/>
        <v>2.136562777003313E-12</v>
      </c>
      <c r="BG162" s="20">
        <f t="shared" si="168"/>
        <v>3.9806453659427267E-12</v>
      </c>
      <c r="BH162" s="59">
        <f t="shared" si="116"/>
        <v>293.33333333333729</v>
      </c>
      <c r="BI162" s="59">
        <f ca="1">AVERAGE(OFFSET($BH$3,0,0,'Données projet'!$E$11+1,1))-AVERAGE(OFFSET($H$3,0,0,'Données projet'!$E$11+1,1))</f>
        <v>310.44153296396854</v>
      </c>
      <c r="BJ162" s="59">
        <f t="shared" si="146"/>
        <v>388.05195847800502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13.962347062840012</v>
      </c>
      <c r="BQ162" s="21">
        <f>EXP(-LN(2)/25)*BQ161+(1-EXP(-LN(2)/25))/(LN(2)/25)*Calculateur!BL162*Calculateur!BN162*VLOOKUP('Données projet'!$B$11,Paramètres!$A$1:$I$89,3,0)*0.475*44/12</f>
        <v>0.44976051555269508</v>
      </c>
      <c r="BR162" s="21">
        <f>EXP(-LN(2)/2)*BR161+(1-EXP(-LN(2)/2))/(LN(2)/2)*BL162*BO162*VLOOKUP('Données projet'!$B$11,Paramètres!$A$1:$I$89,3,0)*0.475*44/12</f>
        <v>1.6556304513611456E-12</v>
      </c>
      <c r="BS162" s="22">
        <f t="shared" si="169"/>
        <v>14.412107578394362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-2.2737367544323206E-13</v>
      </c>
      <c r="BZ162" s="13">
        <f>BY162*VLOOKUP('Données projet'!$B$12,Paramètres!$A$1:$I$89,3,0)*VLOOKUP('Données projet'!$B$12,Paramètres!$A$1:$I$89,5,0)</f>
        <v>-1.2710188457276673E-13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443.34220761968419</v>
      </c>
      <c r="CE162" s="59">
        <f t="shared" si="148"/>
        <v>546.58234447298014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35.815978585664247</v>
      </c>
      <c r="CL162" s="21">
        <f>EXP(-LN(2)/25)*CL161+(1-EXP(-LN(2)/25))/(LN(2)/25)*Calculateur!CG162*Calculateur!CI162*VLOOKUP('Données projet'!$B$12,Paramètres!$A$1:$I$89,3,0)*0.475*44/12</f>
        <v>3.8962194041061631</v>
      </c>
      <c r="CM162" s="21">
        <f>EXP(-LN(2)/2)*CM161+(1-EXP(-LN(2)/2))/(LN(2)/2)*CG162*CJ162*VLOOKUP('Données projet'!$B$12,Paramètres!$A$1:$I$89,3,0)*0.475*44/12</f>
        <v>5.4247837699843594E-14</v>
      </c>
      <c r="CN162" s="22">
        <f t="shared" si="172"/>
        <v>39.712197989770466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>
        <f>CT162*VLOOKUP('Données projet'!$B$13,Paramètres!$A$1:$I$89,3,0)*VLOOKUP('Données projet'!$B$13,Paramètres!$A$1:$I$89,5,0)</f>
        <v>0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214.22606988805535</v>
      </c>
      <c r="CZ162" s="59">
        <f t="shared" si="150"/>
        <v>305.78163836959078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20.096067449739028</v>
      </c>
      <c r="DG162" s="21">
        <f>EXP(-LN(2)/25)*DG161+(1-EXP(-LN(2)/25))/(LN(2)/25)*Calculateur!DB162*Calculateur!DD162*VLOOKUP('Données projet'!$B$13,Paramètres!$A$1:$I$89,3,0)*0.475*44/12</f>
        <v>2.2834481261844268</v>
      </c>
      <c r="DH162" s="21">
        <f>EXP(-LN(2)/2)*DH161+(1-EXP(-LN(2)/2))/(LN(2)/2)*DB162*DE162*VLOOKUP('Données projet'!$B$13,Paramètres!$A$1:$I$89,3,0)*0.475*44/12</f>
        <v>2.3708968145105865E-14</v>
      </c>
      <c r="DI162" s="22">
        <f t="shared" si="175"/>
        <v>22.379515575923481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-1.7053025658242404E-13</v>
      </c>
      <c r="DP162" s="17">
        <f>DO162*VLOOKUP('Données projet'!$B$14,Paramètres!$A$1:$I$89,3,0)*VLOOKUP('Données projet'!$B$14,Paramètres!$A$1:$I$89,5,0)</f>
        <v>-1.383341441396624E-13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304.26232113495314</v>
      </c>
      <c r="DU162" s="59">
        <f t="shared" si="152"/>
        <v>297.47246687305056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22.049565120966445</v>
      </c>
      <c r="EB162" s="21">
        <f>EXP(-LN(2)/25)*EB161+(1-EXP(-LN(2)/25))/(LN(2)/25)*Calculateur!DW162*Calculateur!DY162*VLOOKUP('Données projet'!$B$14,Paramètres!$A$1:$I$89,3,0)*0.475*44/12</f>
        <v>0.32344674288252467</v>
      </c>
      <c r="EC162" s="21">
        <f>EXP(-LN(2)/2)*EC161+(1-EXP(-LN(2)/2))/(LN(2)/2)*DW162*DZ162*VLOOKUP('Données projet'!$B$14,Paramètres!$A$1:$I$89,3,0)*0.475*44/12</f>
        <v>5.4573093763842831E-11</v>
      </c>
      <c r="ED162" s="22">
        <f t="shared" si="178"/>
        <v>22.373011863903542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-1.7053025658242404E-13</v>
      </c>
      <c r="EK162" s="17">
        <f>EJ162*VLOOKUP('Données projet'!$B$15,Paramètres!$A$1:$I$89,3,0)*VLOOKUP('Données projet'!$B$15,Paramètres!$A$1:$I$89,5,0)</f>
        <v>-1.6493686416652052E-13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355.72173590705142</v>
      </c>
      <c r="EP162" s="59">
        <f t="shared" si="154"/>
        <v>346.30980704469363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21.329514010339793</v>
      </c>
      <c r="EW162" s="21">
        <f>EXP(-LN(2)/25)*EW161+(1-EXP(-LN(2)/25))/(LN(2)/25)*Calculateur!ER162*Calculateur!ET162*VLOOKUP('Données projet'!$B$15,Paramètres!$A$1:$I$89,3,0)*0.475*44/12</f>
        <v>0.312884258535853</v>
      </c>
      <c r="EX162" s="21">
        <f>EXP(-LN(2)/2)*EX161+(1-EXP(-LN(2)/2))/(LN(2)/2)*ER162*EU162*VLOOKUP('Données projet'!$B$15,Paramètres!$A$1:$I$89,3,0)*0.475*44/12</f>
        <v>6.5067919487658535E-11</v>
      </c>
      <c r="EY162" s="22">
        <f t="shared" si="181"/>
        <v>21.642398268940713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-1.7053025658242404E-13</v>
      </c>
      <c r="FF162" s="17">
        <f>FE162*VLOOKUP('Données projet'!$B$16,Paramètres!$A$1:$I$89,3,0)*VLOOKUP('Données projet'!$B$16,Paramètres!$A$1:$I$89,5,0)</f>
        <v>-1.250327841262333E-13</v>
      </c>
      <c r="FG162" s="13" t="e">
        <f t="shared" si="182"/>
        <v>#NUM!</v>
      </c>
      <c r="FH162" s="20" t="e">
        <f t="shared" si="183"/>
        <v>#NUM!</v>
      </c>
      <c r="FI162" s="59" t="e">
        <f t="shared" si="131"/>
        <v>#NUM!</v>
      </c>
      <c r="FJ162" s="59">
        <f ca="1">AVERAGE(OFFSET($FI$3,0,0,'Données projet'!$E$16+1,1))-AVERAGE(OFFSET($H$3,0,0,'Données projet'!$E$16+1,1))</f>
        <v>278.45534008146865</v>
      </c>
      <c r="FK162" s="59">
        <f t="shared" si="156"/>
        <v>272.97841038165217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16.169147717515667</v>
      </c>
      <c r="FR162" s="21">
        <f>EXP(-LN(2)/25)*FR161+(1-EXP(-LN(2)/25))/(LN(2)/25)*Calculateur!FM162*Calculateur!FO162*VLOOKUP('Données projet'!$B$16,Paramètres!$A$1:$I$89,3,0)*0.475*44/12</f>
        <v>0.2371864540513722</v>
      </c>
      <c r="FS162" s="21">
        <f>EXP(-LN(2)/2)*FS161+(1-EXP(-LN(2)/2))/(LN(2)/2)*FM162*FP162*VLOOKUP('Données projet'!$B$16,Paramètres!$A$1:$I$89,3,0)*0.475*44/12</f>
        <v>4.932568090193474E-11</v>
      </c>
      <c r="FT162" s="22">
        <f t="shared" si="184"/>
        <v>16.406334171616365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6</v>
      </c>
      <c r="N163" s="13">
        <f>IF('Données projet'!$A$36&gt;35,N162+M163-V162,IF(A163&lt;'Données projet'!$A$36,$K$205^A163,IF(A163='Données projet'!$A$36,'Données projet'!$B$36,N162+M163-V162)))</f>
        <v>332.99999999999972</v>
      </c>
      <c r="O163" s="13">
        <f>N163*VLOOKUP('Données projet'!$B$9,Paramètres!$A$1:$I$89,3,0)*VLOOKUP('Données projet'!$B$9,Paramètres!$A$1:$I$89,5,0)</f>
        <v>301.29839999999973</v>
      </c>
      <c r="P163" s="13">
        <f t="shared" si="141"/>
        <v>71.448589534990461</v>
      </c>
      <c r="Q163" s="20">
        <f t="shared" si="162"/>
        <v>649.20100677344124</v>
      </c>
      <c r="R163" s="59">
        <f t="shared" si="109"/>
        <v>942.53434010677461</v>
      </c>
      <c r="S163" s="59">
        <f ca="1">AVERAGE(OFFSET($R$3,0,0,'Données projet'!$E$9+1,1))-AVERAGE(OFFSET($H$3,0,0,'Données projet'!$E$9+1,1))</f>
        <v>436.03161778768742</v>
      </c>
      <c r="T163" s="59">
        <f t="shared" si="142"/>
        <v>217.65884352525285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49.148971340802028</v>
      </c>
      <c r="AA163" s="21">
        <f>EXP(-LN(2)/25)*AA162+(1-EXP(-LN(2)/25))/(LN(2)/25)*Calculateur!V163*Calculateur!X163*VLOOKUP('Données projet'!$B$9,Paramètres!$A$1:$I$89,3,0)*0.475*44/12</f>
        <v>10.657787456553459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59.806758797355485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6</v>
      </c>
      <c r="AI163" s="13">
        <f>IF('Données projet'!$A$62&gt;35,AI162+AH163-AQ162,IF(A163&lt;'Données projet'!$A$62,$AF$205^A163,IF(A163='Données projet'!$A$62,'Données projet'!$B$62,AI162+AH163-AQ162)))</f>
        <v>332.99999999999972</v>
      </c>
      <c r="AJ163" s="13">
        <f>AI163*VLOOKUP('Données projet'!$B$10,Paramètres!$A$1:$I$89,3,0)*VLOOKUP('Données projet'!$B$10,Paramètres!$A$1:$I$89,5,0)</f>
        <v>337.66199999999975</v>
      </c>
      <c r="AK163" s="13">
        <f t="shared" si="164"/>
        <v>79.016707002632614</v>
      </c>
      <c r="AL163" s="20">
        <f t="shared" si="165"/>
        <v>725.71541469625129</v>
      </c>
      <c r="AM163" s="59">
        <f t="shared" si="113"/>
        <v>1019.0487480295847</v>
      </c>
      <c r="AN163" s="59">
        <f ca="1">AVERAGE(OFFSET($AM$3,0,0,'Données projet'!$E$10+1,1))-AVERAGE(OFFSET($H$3,0,0,'Données projet'!$E$10+1,1))</f>
        <v>483.45320081988984</v>
      </c>
      <c r="AO163" s="59">
        <f t="shared" si="144"/>
        <v>238.92443174298893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55.080743744002298</v>
      </c>
      <c r="AV163" s="21">
        <f>EXP(-LN(2)/25)*AV162+(1-EXP(-LN(2)/25))/(LN(2)/25)*Calculateur!AQ163*Calculateur!AS163*VLOOKUP('Données projet'!$B$10,Paramètres!$A$1:$I$89,3,0)*0.475*44/12</f>
        <v>11.944072149585775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67.02481589358807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1.7053025658242404E-13</v>
      </c>
      <c r="BE163" s="13">
        <f>BD163*VLOOKUP('Données projet'!$B$11,Paramètres!$A$1:$I$89,3,0)*VLOOKUP('Données projet'!$B$11,Paramètres!$A$1:$I$89,5,0)</f>
        <v>1.4897523215040567E-13</v>
      </c>
      <c r="BF163" s="13">
        <f t="shared" si="167"/>
        <v>2.136562777003313E-12</v>
      </c>
      <c r="BG163" s="20">
        <f t="shared" si="168"/>
        <v>3.9806453659427267E-12</v>
      </c>
      <c r="BH163" s="59">
        <f t="shared" si="116"/>
        <v>293.33333333333729</v>
      </c>
      <c r="BI163" s="59">
        <f ca="1">AVERAGE(OFFSET($BH$3,0,0,'Données projet'!$E$11+1,1))-AVERAGE(OFFSET($H$3,0,0,'Données projet'!$E$11+1,1))</f>
        <v>310.44153296396854</v>
      </c>
      <c r="BJ163" s="59">
        <f t="shared" si="146"/>
        <v>388.05195847800502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13.688553953128523</v>
      </c>
      <c r="BQ163" s="21">
        <f>EXP(-LN(2)/25)*BQ162+(1-EXP(-LN(2)/25))/(LN(2)/25)*Calculateur!BL163*Calculateur!BN163*VLOOKUP('Données projet'!$B$11,Paramètres!$A$1:$I$89,3,0)*0.475*44/12</f>
        <v>0.43746179060302909</v>
      </c>
      <c r="BR163" s="21">
        <f>EXP(-LN(2)/2)*BR162+(1-EXP(-LN(2)/2))/(LN(2)/2)*BL163*BO163*VLOOKUP('Données projet'!$B$11,Paramètres!$A$1:$I$89,3,0)*0.475*44/12</f>
        <v>1.1707075192964105E-12</v>
      </c>
      <c r="BS163" s="22">
        <f t="shared" si="169"/>
        <v>14.126015743732722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-2.2737367544323206E-13</v>
      </c>
      <c r="BZ163" s="13">
        <f>BY163*VLOOKUP('Données projet'!$B$12,Paramètres!$A$1:$I$89,3,0)*VLOOKUP('Données projet'!$B$12,Paramètres!$A$1:$I$89,5,0)</f>
        <v>-1.2710188457276673E-13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443.34220761968419</v>
      </c>
      <c r="CE163" s="59">
        <f t="shared" si="148"/>
        <v>546.58234447298014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35.113649091189238</v>
      </c>
      <c r="CL163" s="21">
        <f>EXP(-LN(2)/25)*CL162+(1-EXP(-LN(2)/25))/(LN(2)/25)*Calculateur!CG163*Calculateur!CI163*VLOOKUP('Données projet'!$B$12,Paramètres!$A$1:$I$89,3,0)*0.475*44/12</f>
        <v>3.7896770796076065</v>
      </c>
      <c r="CM163" s="21">
        <f>EXP(-LN(2)/2)*CM162+(1-EXP(-LN(2)/2))/(LN(2)/2)*CG163*CJ163*VLOOKUP('Données projet'!$B$12,Paramètres!$A$1:$I$89,3,0)*0.475*44/12</f>
        <v>3.8359013902266648E-14</v>
      </c>
      <c r="CN163" s="22">
        <f t="shared" si="172"/>
        <v>38.90332617079688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>
        <f>CT163*VLOOKUP('Données projet'!$B$13,Paramètres!$A$1:$I$89,3,0)*VLOOKUP('Données projet'!$B$13,Paramètres!$A$1:$I$89,5,0)</f>
        <v>0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214.22606988805535</v>
      </c>
      <c r="CZ163" s="59">
        <f t="shared" si="150"/>
        <v>305.78163836959078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19.701995824440473</v>
      </c>
      <c r="DG163" s="21">
        <f>EXP(-LN(2)/25)*DG162+(1-EXP(-LN(2)/25))/(LN(2)/25)*Calculateur!DB163*Calculateur!DD163*VLOOKUP('Données projet'!$B$13,Paramètres!$A$1:$I$89,3,0)*0.475*44/12</f>
        <v>2.2210071170925958</v>
      </c>
      <c r="DH163" s="21">
        <f>EXP(-LN(2)/2)*DH162+(1-EXP(-LN(2)/2))/(LN(2)/2)*DB163*DE163*VLOOKUP('Données projet'!$B$13,Paramètres!$A$1:$I$89,3,0)*0.475*44/12</f>
        <v>1.6764772150340198E-14</v>
      </c>
      <c r="DI163" s="22">
        <f t="shared" si="175"/>
        <v>21.923002941533088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-1.7053025658242404E-13</v>
      </c>
      <c r="DP163" s="17">
        <f>DO163*VLOOKUP('Données projet'!$B$14,Paramètres!$A$1:$I$89,3,0)*VLOOKUP('Données projet'!$B$14,Paramètres!$A$1:$I$89,5,0)</f>
        <v>-1.383341441396624E-13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304.26232113495314</v>
      </c>
      <c r="DU163" s="59">
        <f t="shared" si="152"/>
        <v>297.47246687305056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21.617186597851049</v>
      </c>
      <c r="EB163" s="21">
        <f>EXP(-LN(2)/25)*EB162+(1-EXP(-LN(2)/25))/(LN(2)/25)*Calculateur!DW163*Calculateur!DY163*VLOOKUP('Données projet'!$B$14,Paramètres!$A$1:$I$89,3,0)*0.475*44/12</f>
        <v>0.31460207468907708</v>
      </c>
      <c r="EC163" s="21">
        <f>EXP(-LN(2)/2)*EC162+(1-EXP(-LN(2)/2))/(LN(2)/2)*DW163*DZ163*VLOOKUP('Données projet'!$B$14,Paramètres!$A$1:$I$89,3,0)*0.475*44/12</f>
        <v>3.8589004670742554E-11</v>
      </c>
      <c r="ED163" s="22">
        <f t="shared" si="178"/>
        <v>21.931788672578715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-1.7053025658242404E-13</v>
      </c>
      <c r="EK163" s="17">
        <f>EJ163*VLOOKUP('Données projet'!$B$15,Paramètres!$A$1:$I$89,3,0)*VLOOKUP('Données projet'!$B$15,Paramètres!$A$1:$I$89,5,0)</f>
        <v>-1.6493686416652052E-13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355.72173590705142</v>
      </c>
      <c r="EP163" s="59">
        <f t="shared" si="154"/>
        <v>346.30980704469363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20.911255250315971</v>
      </c>
      <c r="EW163" s="21">
        <f>EXP(-LN(2)/25)*EW162+(1-EXP(-LN(2)/25))/(LN(2)/25)*Calculateur!ER163*Calculateur!ET163*VLOOKUP('Données projet'!$B$15,Paramètres!$A$1:$I$89,3,0)*0.475*44/12</f>
        <v>0.30432842203232208</v>
      </c>
      <c r="EX163" s="21">
        <f>EXP(-LN(2)/2)*EX162+(1-EXP(-LN(2)/2))/(LN(2)/2)*ER163*EU163*VLOOKUP('Données projet'!$B$15,Paramètres!$A$1:$I$89,3,0)*0.475*44/12</f>
        <v>4.6009967107423657E-11</v>
      </c>
      <c r="EY163" s="22">
        <f t="shared" si="181"/>
        <v>21.215583672394306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-1.7053025658242404E-13</v>
      </c>
      <c r="FF163" s="17">
        <f>FE163*VLOOKUP('Données projet'!$B$16,Paramètres!$A$1:$I$89,3,0)*VLOOKUP('Données projet'!$B$16,Paramètres!$A$1:$I$89,5,0)</f>
        <v>-1.250327841262333E-13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278.45534008146865</v>
      </c>
      <c r="FK163" s="59">
        <f t="shared" si="156"/>
        <v>272.97841038165217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15.85208059298148</v>
      </c>
      <c r="FR163" s="21">
        <f>EXP(-LN(2)/25)*FR162+(1-EXP(-LN(2)/25))/(LN(2)/25)*Calculateur!FM163*Calculateur!FO163*VLOOKUP('Données projet'!$B$16,Paramètres!$A$1:$I$89,3,0)*0.475*44/12</f>
        <v>0.23070057799224392</v>
      </c>
      <c r="FS163" s="21">
        <f>EXP(-LN(2)/2)*FS162+(1-EXP(-LN(2)/2))/(LN(2)/2)*FM163*FP163*VLOOKUP('Données projet'!$B$16,Paramètres!$A$1:$I$89,3,0)*0.475*44/12</f>
        <v>3.4878523452401834E-11</v>
      </c>
      <c r="FT163" s="22">
        <f t="shared" si="184"/>
        <v>16.082781171008602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6</v>
      </c>
      <c r="N164" s="13">
        <f>IF('Données projet'!$A$36&gt;35,N163+M164-V163,IF(A164&lt;'Données projet'!$A$36,$K$205^A164,IF(A164='Données projet'!$A$36,'Données projet'!$B$36,N163+M164-V163)))</f>
        <v>338.99999999999972</v>
      </c>
      <c r="O164" s="13">
        <f>N164*VLOOKUP('Données projet'!$B$9,Paramètres!$A$1:$I$89,3,0)*VLOOKUP('Données projet'!$B$9,Paramètres!$A$1:$I$89,5,0)</f>
        <v>306.72719999999975</v>
      </c>
      <c r="P164" s="13">
        <f t="shared" si="141"/>
        <v>72.584917646145584</v>
      </c>
      <c r="Q164" s="20">
        <f t="shared" si="162"/>
        <v>660.63527156703651</v>
      </c>
      <c r="R164" s="59">
        <f t="shared" si="109"/>
        <v>953.96860490036988</v>
      </c>
      <c r="S164" s="59">
        <f ca="1">AVERAGE(OFFSET($R$3,0,0,'Données projet'!$E$9+1,1))-AVERAGE(OFFSET($H$3,0,0,'Données projet'!$E$9+1,1))</f>
        <v>436.03161778768742</v>
      </c>
      <c r="T164" s="59">
        <f t="shared" si="142"/>
        <v>217.65884352525285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48.185189990721348</v>
      </c>
      <c r="AA164" s="21">
        <f>EXP(-LN(2)/25)*AA163+(1-EXP(-LN(2)/25))/(LN(2)/25)*Calculateur!V164*Calculateur!X164*VLOOKUP('Données projet'!$B$9,Paramètres!$A$1:$I$89,3,0)*0.475*44/12</f>
        <v>10.366349698085321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58.55153968880667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6</v>
      </c>
      <c r="AI164" s="13">
        <f>IF('Données projet'!$A$62&gt;35,AI163+AH164-AQ163,IF(A164&lt;'Données projet'!$A$62,$AF$205^A164,IF(A164='Données projet'!$A$62,'Données projet'!$B$62,AI163+AH164-AQ163)))</f>
        <v>338.99999999999972</v>
      </c>
      <c r="AJ164" s="13">
        <f>AI164*VLOOKUP('Données projet'!$B$10,Paramètres!$A$1:$I$89,3,0)*VLOOKUP('Données projet'!$B$10,Paramètres!$A$1:$I$89,5,0)</f>
        <v>343.74599999999975</v>
      </c>
      <c r="AK164" s="13">
        <f t="shared" si="164"/>
        <v>80.273399486030442</v>
      </c>
      <c r="AL164" s="20">
        <f t="shared" si="165"/>
        <v>738.50045410483597</v>
      </c>
      <c r="AM164" s="59">
        <f t="shared" si="113"/>
        <v>1031.8337874381693</v>
      </c>
      <c r="AN164" s="59">
        <f ca="1">AVERAGE(OFFSET($AM$3,0,0,'Données projet'!$E$10+1,1))-AVERAGE(OFFSET($H$3,0,0,'Données projet'!$E$10+1,1))</f>
        <v>483.45320081988984</v>
      </c>
      <c r="AO164" s="59">
        <f t="shared" si="144"/>
        <v>238.92443174298893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54.000643955118775</v>
      </c>
      <c r="AV164" s="21">
        <f>EXP(-LN(2)/25)*AV163+(1-EXP(-LN(2)/25))/(LN(2)/25)*Calculateur!AQ164*Calculateur!AS164*VLOOKUP('Données projet'!$B$10,Paramètres!$A$1:$I$89,3,0)*0.475*44/12</f>
        <v>11.617460868543896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65.618104823662676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1.7053025658242404E-13</v>
      </c>
      <c r="BE164" s="13">
        <f>BD164*VLOOKUP('Données projet'!$B$11,Paramètres!$A$1:$I$89,3,0)*VLOOKUP('Données projet'!$B$11,Paramètres!$A$1:$I$89,5,0)</f>
        <v>1.4897523215040567E-13</v>
      </c>
      <c r="BF164" s="13">
        <f t="shared" si="167"/>
        <v>2.136562777003313E-12</v>
      </c>
      <c r="BG164" s="20">
        <f t="shared" si="168"/>
        <v>3.9806453659427267E-12</v>
      </c>
      <c r="BH164" s="59">
        <f t="shared" si="116"/>
        <v>293.33333333333729</v>
      </c>
      <c r="BI164" s="59">
        <f ca="1">AVERAGE(OFFSET($BH$3,0,0,'Données projet'!$E$11+1,1))-AVERAGE(OFFSET($H$3,0,0,'Données projet'!$E$11+1,1))</f>
        <v>310.44153296396854</v>
      </c>
      <c r="BJ164" s="59">
        <f t="shared" si="146"/>
        <v>388.05195847800502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13.420129759301169</v>
      </c>
      <c r="BQ164" s="21">
        <f>EXP(-LN(2)/25)*BQ163+(1-EXP(-LN(2)/25))/(LN(2)/25)*Calculateur!BL164*Calculateur!BN164*VLOOKUP('Données projet'!$B$11,Paramètres!$A$1:$I$89,3,0)*0.475*44/12</f>
        <v>0.42549937493387352</v>
      </c>
      <c r="BR164" s="21">
        <f>EXP(-LN(2)/2)*BR163+(1-EXP(-LN(2)/2))/(LN(2)/2)*BL164*BO164*VLOOKUP('Données projet'!$B$11,Paramètres!$A$1:$I$89,3,0)*0.475*44/12</f>
        <v>8.2781522568057282E-13</v>
      </c>
      <c r="BS164" s="22">
        <f t="shared" si="169"/>
        <v>13.845629134235869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-2.2737367544323206E-13</v>
      </c>
      <c r="BZ164" s="13">
        <f>BY164*VLOOKUP('Données projet'!$B$12,Paramètres!$A$1:$I$89,3,0)*VLOOKUP('Données projet'!$B$12,Paramètres!$A$1:$I$89,5,0)</f>
        <v>-1.2710188457276673E-13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443.34220761968419</v>
      </c>
      <c r="CE164" s="59">
        <f t="shared" si="148"/>
        <v>546.58234447298014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34.425091849722186</v>
      </c>
      <c r="CL164" s="21">
        <f>EXP(-LN(2)/25)*CL163+(1-EXP(-LN(2)/25))/(LN(2)/25)*Calculateur!CG164*Calculateur!CI164*VLOOKUP('Données projet'!$B$12,Paramètres!$A$1:$I$89,3,0)*0.475*44/12</f>
        <v>3.6860481605752802</v>
      </c>
      <c r="CM164" s="21">
        <f>EXP(-LN(2)/2)*CM163+(1-EXP(-LN(2)/2))/(LN(2)/2)*CG164*CJ164*VLOOKUP('Données projet'!$B$12,Paramètres!$A$1:$I$89,3,0)*0.475*44/12</f>
        <v>2.7123918849921797E-14</v>
      </c>
      <c r="CN164" s="22">
        <f t="shared" si="172"/>
        <v>38.111140010297497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>
        <f>CT164*VLOOKUP('Données projet'!$B$13,Paramètres!$A$1:$I$89,3,0)*VLOOKUP('Données projet'!$B$13,Paramètres!$A$1:$I$89,5,0)</f>
        <v>0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214.22606988805535</v>
      </c>
      <c r="CZ164" s="59">
        <f t="shared" si="150"/>
        <v>305.78163836959078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19.315651703354064</v>
      </c>
      <c r="DG164" s="21">
        <f>EXP(-LN(2)/25)*DG163+(1-EXP(-LN(2)/25))/(LN(2)/25)*Calculateur!DB164*Calculateur!DD164*VLOOKUP('Données projet'!$B$13,Paramètres!$A$1:$I$89,3,0)*0.475*44/12</f>
        <v>2.1602735606780108</v>
      </c>
      <c r="DH164" s="21">
        <f>EXP(-LN(2)/2)*DH163+(1-EXP(-LN(2)/2))/(LN(2)/2)*DB164*DE164*VLOOKUP('Données projet'!$B$13,Paramètres!$A$1:$I$89,3,0)*0.475*44/12</f>
        <v>1.1854484072552932E-14</v>
      </c>
      <c r="DI164" s="22">
        <f t="shared" si="175"/>
        <v>21.475925264032085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-1.7053025658242404E-13</v>
      </c>
      <c r="DP164" s="17">
        <f>DO164*VLOOKUP('Données projet'!$B$14,Paramètres!$A$1:$I$89,3,0)*VLOOKUP('Données projet'!$B$14,Paramètres!$A$1:$I$89,5,0)</f>
        <v>-1.383341441396624E-13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304.26232113495314</v>
      </c>
      <c r="DU164" s="59">
        <f t="shared" si="152"/>
        <v>297.47246687305056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21.193286753849087</v>
      </c>
      <c r="EB164" s="21">
        <f>EXP(-LN(2)/25)*EB163+(1-EXP(-LN(2)/25))/(LN(2)/25)*Calculateur!DW164*Calculateur!DY164*VLOOKUP('Données projet'!$B$14,Paramètres!$A$1:$I$89,3,0)*0.475*44/12</f>
        <v>0.30599926441250019</v>
      </c>
      <c r="EC164" s="21">
        <f>EXP(-LN(2)/2)*EC163+(1-EXP(-LN(2)/2))/(LN(2)/2)*DW164*DZ164*VLOOKUP('Données projet'!$B$14,Paramètres!$A$1:$I$89,3,0)*0.475*44/12</f>
        <v>2.7286546881921416E-11</v>
      </c>
      <c r="ED164" s="22">
        <f t="shared" si="178"/>
        <v>21.499286018288871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-1.7053025658242404E-13</v>
      </c>
      <c r="EK164" s="17">
        <f>EJ164*VLOOKUP('Données projet'!$B$15,Paramètres!$A$1:$I$89,3,0)*VLOOKUP('Données projet'!$B$15,Paramètres!$A$1:$I$89,5,0)</f>
        <v>-1.6493686416652052E-13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355.72173590705142</v>
      </c>
      <c r="EP164" s="59">
        <f t="shared" si="154"/>
        <v>346.30980704469363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20.501198289463566</v>
      </c>
      <c r="EW164" s="21">
        <f>EXP(-LN(2)/25)*EW163+(1-EXP(-LN(2)/25))/(LN(2)/25)*Calculateur!ER164*Calculateur!ET164*VLOOKUP('Données projet'!$B$15,Paramètres!$A$1:$I$89,3,0)*0.475*44/12</f>
        <v>0.29600654532791204</v>
      </c>
      <c r="EX164" s="21">
        <f>EXP(-LN(2)/2)*EX163+(1-EXP(-LN(2)/2))/(LN(2)/2)*ER164*EU164*VLOOKUP('Données projet'!$B$15,Paramètres!$A$1:$I$89,3,0)*0.475*44/12</f>
        <v>3.2533959743829268E-11</v>
      </c>
      <c r="EY164" s="22">
        <f t="shared" si="181"/>
        <v>20.797204834824011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-1.7053025658242404E-13</v>
      </c>
      <c r="FF164" s="17">
        <f>FE164*VLOOKUP('Données projet'!$B$16,Paramètres!$A$1:$I$89,3,0)*VLOOKUP('Données projet'!$B$16,Paramètres!$A$1:$I$89,5,0)</f>
        <v>-1.250327841262333E-13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278.45534008146865</v>
      </c>
      <c r="FK164" s="59">
        <f t="shared" si="156"/>
        <v>272.97841038165217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15.541230961367559</v>
      </c>
      <c r="FR164" s="21">
        <f>EXP(-LN(2)/25)*FR163+(1-EXP(-LN(2)/25))/(LN(2)/25)*Calculateur!FM164*Calculateur!FO164*VLOOKUP('Données projet'!$B$16,Paramètres!$A$1:$I$89,3,0)*0.475*44/12</f>
        <v>0.22439205855502989</v>
      </c>
      <c r="FS164" s="21">
        <f>EXP(-LN(2)/2)*FS163+(1-EXP(-LN(2)/2))/(LN(2)/2)*FM164*FP164*VLOOKUP('Données projet'!$B$16,Paramètres!$A$1:$I$89,3,0)*0.475*44/12</f>
        <v>2.466284045096737E-11</v>
      </c>
      <c r="FT164" s="22">
        <f t="shared" si="184"/>
        <v>15.765623019947251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6</v>
      </c>
      <c r="N165" s="13">
        <f>IF('Données projet'!$A$36&gt;35,N164+M165-V164,IF(A165&lt;'Données projet'!$A$36,$K$205^A165,IF(A165='Données projet'!$A$36,'Données projet'!$B$36,N164+M165-V164)))</f>
        <v>344.99999999999972</v>
      </c>
      <c r="O165" s="13">
        <f>N165*VLOOKUP('Données projet'!$B$9,Paramètres!$A$1:$I$89,3,0)*VLOOKUP('Données projet'!$B$9,Paramètres!$A$1:$I$89,5,0)</f>
        <v>312.15599999999972</v>
      </c>
      <c r="P165" s="13">
        <f t="shared" si="141"/>
        <v>73.718907001002492</v>
      </c>
      <c r="Q165" s="20">
        <f t="shared" si="162"/>
        <v>672.06546302674553</v>
      </c>
      <c r="R165" s="59">
        <f t="shared" si="109"/>
        <v>965.3987963600789</v>
      </c>
      <c r="S165" s="59">
        <f ca="1">AVERAGE(OFFSET($R$3,0,0,'Données projet'!$E$9+1,1))-AVERAGE(OFFSET($H$3,0,0,'Données projet'!$E$9+1,1))</f>
        <v>436.03161778768742</v>
      </c>
      <c r="T165" s="59">
        <f t="shared" si="142"/>
        <v>217.65884352525285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47.240307805067168</v>
      </c>
      <c r="AA165" s="21">
        <f>EXP(-LN(2)/25)*AA164+(1-EXP(-LN(2)/25))/(LN(2)/25)*Calculateur!V165*Calculateur!X165*VLOOKUP('Données projet'!$B$9,Paramètres!$A$1:$I$89,3,0)*0.475*44/12</f>
        <v>10.082881320448539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57.323189125515711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6</v>
      </c>
      <c r="AI165" s="13">
        <f>IF('Données projet'!$A$62&gt;35,AI164+AH165-AQ164,IF(A165&lt;'Données projet'!$A$62,$AF$205^A165,IF(A165='Données projet'!$A$62,'Données projet'!$B$62,AI164+AH165-AQ164)))</f>
        <v>344.99999999999972</v>
      </c>
      <c r="AJ165" s="13">
        <f>AI165*VLOOKUP('Données projet'!$B$10,Paramètres!$A$1:$I$89,3,0)*VLOOKUP('Données projet'!$B$10,Paramètres!$A$1:$I$89,5,0)</f>
        <v>349.82999999999976</v>
      </c>
      <c r="AK165" s="13">
        <f t="shared" si="164"/>
        <v>81.527505482803917</v>
      </c>
      <c r="AL165" s="20">
        <f t="shared" si="165"/>
        <v>751.28098871588315</v>
      </c>
      <c r="AM165" s="59">
        <f t="shared" si="113"/>
        <v>1044.6143220492165</v>
      </c>
      <c r="AN165" s="59">
        <f ca="1">AVERAGE(OFFSET($AM$3,0,0,'Données projet'!$E$10+1,1))-AVERAGE(OFFSET($H$3,0,0,'Données projet'!$E$10+1,1))</f>
        <v>483.45320081988984</v>
      </c>
      <c r="AO165" s="59">
        <f t="shared" si="144"/>
        <v>238.92443174298893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52.941724264299438</v>
      </c>
      <c r="AV165" s="21">
        <f>EXP(-LN(2)/25)*AV164+(1-EXP(-LN(2)/25))/(LN(2)/25)*Calculateur!AQ165*Calculateur!AS165*VLOOKUP('Données projet'!$B$10,Paramètres!$A$1:$I$89,3,0)*0.475*44/12</f>
        <v>11.299780790157849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64.241505054457292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1.7053025658242404E-13</v>
      </c>
      <c r="BE165" s="13">
        <f>BD165*VLOOKUP('Données projet'!$B$11,Paramètres!$A$1:$I$89,3,0)*VLOOKUP('Données projet'!$B$11,Paramètres!$A$1:$I$89,5,0)</f>
        <v>1.4897523215040567E-13</v>
      </c>
      <c r="BF165" s="13">
        <f t="shared" si="167"/>
        <v>2.136562777003313E-12</v>
      </c>
      <c r="BG165" s="20">
        <f t="shared" si="168"/>
        <v>3.9806453659427267E-12</v>
      </c>
      <c r="BH165" s="59">
        <f t="shared" si="116"/>
        <v>293.33333333333729</v>
      </c>
      <c r="BI165" s="59">
        <f ca="1">AVERAGE(OFFSET($BH$3,0,0,'Données projet'!$E$11+1,1))-AVERAGE(OFFSET($H$3,0,0,'Données projet'!$E$11+1,1))</f>
        <v>310.44153296396854</v>
      </c>
      <c r="BJ165" s="59">
        <f t="shared" si="146"/>
        <v>388.05195847800502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13.156969200192178</v>
      </c>
      <c r="BQ165" s="21">
        <f>EXP(-LN(2)/25)*BQ164+(1-EXP(-LN(2)/25))/(LN(2)/25)*Calculateur!BL165*Calculateur!BN165*VLOOKUP('Données projet'!$B$11,Paramètres!$A$1:$I$89,3,0)*0.475*44/12</f>
        <v>0.4138640721502671</v>
      </c>
      <c r="BR165" s="21">
        <f>EXP(-LN(2)/2)*BR164+(1-EXP(-LN(2)/2))/(LN(2)/2)*BL165*BO165*VLOOKUP('Données projet'!$B$11,Paramètres!$A$1:$I$89,3,0)*0.475*44/12</f>
        <v>5.8535375964820525E-13</v>
      </c>
      <c r="BS165" s="22">
        <f t="shared" si="169"/>
        <v>13.57083327234303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-2.2737367544323206E-13</v>
      </c>
      <c r="BZ165" s="13">
        <f>BY165*VLOOKUP('Données projet'!$B$12,Paramètres!$A$1:$I$89,3,0)*VLOOKUP('Données projet'!$B$12,Paramètres!$A$1:$I$89,5,0)</f>
        <v>-1.2710188457276673E-13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443.34220761968419</v>
      </c>
      <c r="CE165" s="59">
        <f t="shared" si="148"/>
        <v>546.58234447298014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33.75003679578186</v>
      </c>
      <c r="CL165" s="21">
        <f>EXP(-LN(2)/25)*CL164+(1-EXP(-LN(2)/25))/(LN(2)/25)*Calculateur!CG165*Calculateur!CI165*VLOOKUP('Données projet'!$B$12,Paramètres!$A$1:$I$89,3,0)*0.475*44/12</f>
        <v>3.5852529797835011</v>
      </c>
      <c r="CM165" s="21">
        <f>EXP(-LN(2)/2)*CM164+(1-EXP(-LN(2)/2))/(LN(2)/2)*CG165*CJ165*VLOOKUP('Données projet'!$B$12,Paramètres!$A$1:$I$89,3,0)*0.475*44/12</f>
        <v>1.9179506951133324E-14</v>
      </c>
      <c r="CN165" s="22">
        <f t="shared" si="172"/>
        <v>37.335289775565379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>
        <f>CT165*VLOOKUP('Données projet'!$B$13,Paramètres!$A$1:$I$89,3,0)*VLOOKUP('Données projet'!$B$13,Paramètres!$A$1:$I$89,5,0)</f>
        <v>0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214.22606988805535</v>
      </c>
      <c r="CZ165" s="59">
        <f t="shared" si="150"/>
        <v>305.78163836959078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18.936883554835514</v>
      </c>
      <c r="DG165" s="21">
        <f>EXP(-LN(2)/25)*DG164+(1-EXP(-LN(2)/25))/(LN(2)/25)*Calculateur!DB165*Calculateur!DD165*VLOOKUP('Données projet'!$B$13,Paramètres!$A$1:$I$89,3,0)*0.475*44/12</f>
        <v>2.1012007665574215</v>
      </c>
      <c r="DH165" s="21">
        <f>EXP(-LN(2)/2)*DH164+(1-EXP(-LN(2)/2))/(LN(2)/2)*DB165*DE165*VLOOKUP('Données projet'!$B$13,Paramètres!$A$1:$I$89,3,0)*0.475*44/12</f>
        <v>8.382386075170099E-15</v>
      </c>
      <c r="DI165" s="22">
        <f t="shared" si="175"/>
        <v>21.038084321392944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-1.7053025658242404E-13</v>
      </c>
      <c r="DP165" s="17">
        <f>DO165*VLOOKUP('Données projet'!$B$14,Paramètres!$A$1:$I$89,3,0)*VLOOKUP('Données projet'!$B$14,Paramètres!$A$1:$I$89,5,0)</f>
        <v>-1.383341441396624E-13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304.26232113495314</v>
      </c>
      <c r="DU165" s="59">
        <f t="shared" si="152"/>
        <v>297.47246687305056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20.777699327234629</v>
      </c>
      <c r="EB165" s="21">
        <f>EXP(-LN(2)/25)*EB164+(1-EXP(-LN(2)/25))/(LN(2)/25)*Calculateur!DW165*Calculateur!DY165*VLOOKUP('Données projet'!$B$14,Paramètres!$A$1:$I$89,3,0)*0.475*44/12</f>
        <v>0.29763169843533843</v>
      </c>
      <c r="EC165" s="21">
        <f>EXP(-LN(2)/2)*EC164+(1-EXP(-LN(2)/2))/(LN(2)/2)*DW165*DZ165*VLOOKUP('Données projet'!$B$14,Paramètres!$A$1:$I$89,3,0)*0.475*44/12</f>
        <v>1.9294502335371277E-11</v>
      </c>
      <c r="ED165" s="22">
        <f t="shared" si="178"/>
        <v>21.075331025689263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-1.7053025658242404E-13</v>
      </c>
      <c r="EK165" s="17">
        <f>EJ165*VLOOKUP('Données projet'!$B$15,Paramètres!$A$1:$I$89,3,0)*VLOOKUP('Données projet'!$B$15,Paramètres!$A$1:$I$89,5,0)</f>
        <v>-1.6493686416652052E-13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355.72173590705142</v>
      </c>
      <c r="EP165" s="59">
        <f t="shared" si="154"/>
        <v>346.30980704469363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20.099182295503425</v>
      </c>
      <c r="EW165" s="21">
        <f>EXP(-LN(2)/25)*EW164+(1-EXP(-LN(2)/25))/(LN(2)/25)*Calculateur!ER165*Calculateur!ET165*VLOOKUP('Données projet'!$B$15,Paramètres!$A$1:$I$89,3,0)*0.475*44/12</f>
        <v>0.28791223077961259</v>
      </c>
      <c r="EX165" s="21">
        <f>EXP(-LN(2)/2)*EX164+(1-EXP(-LN(2)/2))/(LN(2)/2)*ER165*EU165*VLOOKUP('Données projet'!$B$15,Paramètres!$A$1:$I$89,3,0)*0.475*44/12</f>
        <v>2.3004983553711828E-11</v>
      </c>
      <c r="EY165" s="22">
        <f t="shared" si="181"/>
        <v>20.38709452630604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-1.7053025658242404E-13</v>
      </c>
      <c r="FF165" s="17">
        <f>FE165*VLOOKUP('Données projet'!$B$16,Paramètres!$A$1:$I$89,3,0)*VLOOKUP('Données projet'!$B$16,Paramètres!$A$1:$I$89,5,0)</f>
        <v>-1.250327841262333E-13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278.45534008146865</v>
      </c>
      <c r="FK165" s="59">
        <f t="shared" si="156"/>
        <v>272.97841038165217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15.236476901430033</v>
      </c>
      <c r="FR165" s="21">
        <f>EXP(-LN(2)/25)*FR164+(1-EXP(-LN(2)/25))/(LN(2)/25)*Calculateur!FM165*Calculateur!FO165*VLOOKUP('Données projet'!$B$16,Paramètres!$A$1:$I$89,3,0)*0.475*44/12</f>
        <v>0.21825604591357708</v>
      </c>
      <c r="FS165" s="21">
        <f>EXP(-LN(2)/2)*FS164+(1-EXP(-LN(2)/2))/(LN(2)/2)*FM165*FP165*VLOOKUP('Données projet'!$B$16,Paramètres!$A$1:$I$89,3,0)*0.475*44/12</f>
        <v>1.7439261726200917E-11</v>
      </c>
      <c r="FT165" s="22">
        <f t="shared" si="184"/>
        <v>15.454732947361048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6</v>
      </c>
      <c r="N166" s="13">
        <f>IF('Données projet'!$A$36&gt;35,N165+M166-V165,IF(A166&lt;'Données projet'!$A$36,$K$205^A166,IF(A166='Données projet'!$A$36,'Données projet'!$B$36,N165+M166-V165)))</f>
        <v>350.99999999999972</v>
      </c>
      <c r="O166" s="13">
        <f>N166*VLOOKUP('Données projet'!$B$9,Paramètres!$A$1:$I$89,3,0)*VLOOKUP('Données projet'!$B$9,Paramètres!$A$1:$I$89,5,0)</f>
        <v>317.58479999999975</v>
      </c>
      <c r="P166" s="13">
        <f t="shared" si="141"/>
        <v>74.85060296671989</v>
      </c>
      <c r="Q166" s="20">
        <f t="shared" si="162"/>
        <v>683.49166016703657</v>
      </c>
      <c r="R166" s="59">
        <f t="shared" si="109"/>
        <v>976.82499350036983</v>
      </c>
      <c r="S166" s="59">
        <f ca="1">AVERAGE(OFFSET($R$3,0,0,'Données projet'!$E$9+1,1))-AVERAGE(OFFSET($H$3,0,0,'Données projet'!$E$9+1,1))</f>
        <v>436.03161778768742</v>
      </c>
      <c r="T166" s="59">
        <f t="shared" si="142"/>
        <v>217.65884352525285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46.31395418275244</v>
      </c>
      <c r="AA166" s="21">
        <f>EXP(-LN(2)/25)*AA165+(1-EXP(-LN(2)/25))/(LN(2)/25)*Calculateur!V166*Calculateur!X166*VLOOKUP('Données projet'!$B$9,Paramètres!$A$1:$I$89,3,0)*0.475*44/12</f>
        <v>9.8071644005051901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56.121118583257626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6</v>
      </c>
      <c r="AI166" s="13">
        <f>IF('Données projet'!$A$62&gt;35,AI165+AH166-AQ165,IF(A166&lt;'Données projet'!$A$62,$AF$205^A166,IF(A166='Données projet'!$A$62,'Données projet'!$B$62,AI165+AH166-AQ165)))</f>
        <v>350.99999999999972</v>
      </c>
      <c r="AJ166" s="13">
        <f>AI166*VLOOKUP('Données projet'!$B$10,Paramètres!$A$1:$I$89,3,0)*VLOOKUP('Données projet'!$B$10,Paramètres!$A$1:$I$89,5,0)</f>
        <v>355.91399999999976</v>
      </c>
      <c r="AK166" s="13">
        <f t="shared" si="164"/>
        <v>82.779075165580579</v>
      </c>
      <c r="AL166" s="20">
        <f t="shared" si="165"/>
        <v>764.05710591338584</v>
      </c>
      <c r="AM166" s="59">
        <f t="shared" si="113"/>
        <v>1057.3904392467191</v>
      </c>
      <c r="AN166" s="59">
        <f ca="1">AVERAGE(OFFSET($AM$3,0,0,'Données projet'!$E$10+1,1))-AVERAGE(OFFSET($H$3,0,0,'Données projet'!$E$10+1,1))</f>
        <v>483.45320081988984</v>
      </c>
      <c r="AO166" s="59">
        <f t="shared" si="144"/>
        <v>238.92443174298893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51.903569342739829</v>
      </c>
      <c r="AV166" s="21">
        <f>EXP(-LN(2)/25)*AV165+(1-EXP(-LN(2)/25))/(LN(2)/25)*Calculateur!AQ166*Calculateur!AS166*VLOOKUP('Données projet'!$B$10,Paramètres!$A$1:$I$89,3,0)*0.475*44/12</f>
        <v>10.990787690221337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62.894357032961167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1.7053025658242404E-13</v>
      </c>
      <c r="BE166" s="13">
        <f>BD166*VLOOKUP('Données projet'!$B$11,Paramètres!$A$1:$I$89,3,0)*VLOOKUP('Données projet'!$B$11,Paramètres!$A$1:$I$89,5,0)</f>
        <v>1.4897523215040567E-13</v>
      </c>
      <c r="BF166" s="13">
        <f t="shared" si="167"/>
        <v>2.136562777003313E-12</v>
      </c>
      <c r="BG166" s="20">
        <f t="shared" si="168"/>
        <v>3.9806453659427267E-12</v>
      </c>
      <c r="BH166" s="59">
        <f t="shared" si="116"/>
        <v>293.33333333333729</v>
      </c>
      <c r="BI166" s="59">
        <f ca="1">AVERAGE(OFFSET($BH$3,0,0,'Données projet'!$E$11+1,1))-AVERAGE(OFFSET($H$3,0,0,'Données projet'!$E$11+1,1))</f>
        <v>310.44153296396854</v>
      </c>
      <c r="BJ166" s="59">
        <f t="shared" si="146"/>
        <v>388.05195847800502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12.898969059135222</v>
      </c>
      <c r="BQ166" s="21">
        <f>EXP(-LN(2)/25)*BQ165+(1-EXP(-LN(2)/25))/(LN(2)/25)*Calculateur!BL166*Calculateur!BN166*VLOOKUP('Données projet'!$B$11,Paramètres!$A$1:$I$89,3,0)*0.475*44/12</f>
        <v>0.40254693733315239</v>
      </c>
      <c r="BR166" s="21">
        <f>EXP(-LN(2)/2)*BR165+(1-EXP(-LN(2)/2))/(LN(2)/2)*BL166*BO166*VLOOKUP('Données projet'!$B$11,Paramètres!$A$1:$I$89,3,0)*0.475*44/12</f>
        <v>4.1390761284028641E-13</v>
      </c>
      <c r="BS166" s="22">
        <f t="shared" si="169"/>
        <v>13.301515996468789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-2.2737367544323206E-13</v>
      </c>
      <c r="BZ166" s="13">
        <f>BY166*VLOOKUP('Données projet'!$B$12,Paramètres!$A$1:$I$89,3,0)*VLOOKUP('Données projet'!$B$12,Paramètres!$A$1:$I$89,5,0)</f>
        <v>-1.2710188457276673E-13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443.34220761968419</v>
      </c>
      <c r="CE166" s="59">
        <f t="shared" si="148"/>
        <v>546.58234447298014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33.088219159706377</v>
      </c>
      <c r="CL166" s="21">
        <f>EXP(-LN(2)/25)*CL165+(1-EXP(-LN(2)/25))/(LN(2)/25)*Calculateur!CG166*Calculateur!CI166*VLOOKUP('Données projet'!$B$12,Paramètres!$A$1:$I$89,3,0)*0.475*44/12</f>
        <v>3.4872140485110612</v>
      </c>
      <c r="CM166" s="21">
        <f>EXP(-LN(2)/2)*CM165+(1-EXP(-LN(2)/2))/(LN(2)/2)*CG166*CJ166*VLOOKUP('Données projet'!$B$12,Paramètres!$A$1:$I$89,3,0)*0.475*44/12</f>
        <v>1.3561959424960899E-14</v>
      </c>
      <c r="CN166" s="22">
        <f t="shared" si="172"/>
        <v>36.575433208217454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>
        <f>CT166*VLOOKUP('Données projet'!$B$13,Paramètres!$A$1:$I$89,3,0)*VLOOKUP('Données projet'!$B$13,Paramètres!$A$1:$I$89,5,0)</f>
        <v>0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214.22606988805535</v>
      </c>
      <c r="CZ166" s="59">
        <f t="shared" si="150"/>
        <v>305.78163836959078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18.565542818683657</v>
      </c>
      <c r="DG166" s="21">
        <f>EXP(-LN(2)/25)*DG165+(1-EXP(-LN(2)/25))/(LN(2)/25)*Calculateur!DB166*Calculateur!DD166*VLOOKUP('Données projet'!$B$13,Paramètres!$A$1:$I$89,3,0)*0.475*44/12</f>
        <v>2.0437433210985629</v>
      </c>
      <c r="DH166" s="21">
        <f>EXP(-LN(2)/2)*DH165+(1-EXP(-LN(2)/2))/(LN(2)/2)*DB166*DE166*VLOOKUP('Données projet'!$B$13,Paramètres!$A$1:$I$89,3,0)*0.475*44/12</f>
        <v>5.9272420362764662E-15</v>
      </c>
      <c r="DI166" s="22">
        <f t="shared" si="175"/>
        <v>20.609286139782228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-1.7053025658242404E-13</v>
      </c>
      <c r="DP166" s="17">
        <f>DO166*VLOOKUP('Données projet'!$B$14,Paramètres!$A$1:$I$89,3,0)*VLOOKUP('Données projet'!$B$14,Paramètres!$A$1:$I$89,5,0)</f>
        <v>-1.383341441396624E-13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304.26232113495314</v>
      </c>
      <c r="DU166" s="59">
        <f t="shared" si="152"/>
        <v>297.47246687305056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20.37026131657278</v>
      </c>
      <c r="EB166" s="21">
        <f>EXP(-LN(2)/25)*EB165+(1-EXP(-LN(2)/25))/(LN(2)/25)*Calculateur!DW166*Calculateur!DY166*VLOOKUP('Données projet'!$B$14,Paramètres!$A$1:$I$89,3,0)*0.475*44/12</f>
        <v>0.28949294398985331</v>
      </c>
      <c r="EC166" s="21">
        <f>EXP(-LN(2)/2)*EC165+(1-EXP(-LN(2)/2))/(LN(2)/2)*DW166*DZ166*VLOOKUP('Données projet'!$B$14,Paramètres!$A$1:$I$89,3,0)*0.475*44/12</f>
        <v>1.3643273440960708E-11</v>
      </c>
      <c r="ED166" s="22">
        <f t="shared" si="178"/>
        <v>20.659754260576275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-1.7053025658242404E-13</v>
      </c>
      <c r="EK166" s="17">
        <f>EJ166*VLOOKUP('Données projet'!$B$15,Paramètres!$A$1:$I$89,3,0)*VLOOKUP('Données projet'!$B$15,Paramètres!$A$1:$I$89,5,0)</f>
        <v>-1.6493686416652052E-13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355.72173590705142</v>
      </c>
      <c r="EP166" s="59">
        <f t="shared" si="154"/>
        <v>346.30980704469363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19.7050495899793</v>
      </c>
      <c r="EW166" s="21">
        <f>EXP(-LN(2)/25)*EW165+(1-EXP(-LN(2)/25))/(LN(2)/25)*Calculateur!ER166*Calculateur!ET166*VLOOKUP('Données projet'!$B$15,Paramètres!$A$1:$I$89,3,0)*0.475*44/12</f>
        <v>0.28003925568829791</v>
      </c>
      <c r="EX166" s="21">
        <f>EXP(-LN(2)/2)*EX165+(1-EXP(-LN(2)/2))/(LN(2)/2)*ER166*EU166*VLOOKUP('Données projet'!$B$15,Paramètres!$A$1:$I$89,3,0)*0.475*44/12</f>
        <v>1.6266979871914634E-11</v>
      </c>
      <c r="EY166" s="22">
        <f t="shared" si="181"/>
        <v>19.985088845683865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-1.7053025658242404E-13</v>
      </c>
      <c r="FF166" s="17">
        <f>FE166*VLOOKUP('Données projet'!$B$16,Paramètres!$A$1:$I$89,3,0)*VLOOKUP('Données projet'!$B$16,Paramètres!$A$1:$I$89,5,0)</f>
        <v>-1.250327841262333E-13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278.45534008146865</v>
      </c>
      <c r="FK166" s="59">
        <f t="shared" si="156"/>
        <v>272.97841038165217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14.937698882726259</v>
      </c>
      <c r="FR166" s="21">
        <f>EXP(-LN(2)/25)*FR165+(1-EXP(-LN(2)/25))/(LN(2)/25)*Calculateur!FM166*Calculateur!FO166*VLOOKUP('Données projet'!$B$16,Paramètres!$A$1:$I$89,3,0)*0.475*44/12</f>
        <v>0.2122878228604837</v>
      </c>
      <c r="FS166" s="21">
        <f>EXP(-LN(2)/2)*FS165+(1-EXP(-LN(2)/2))/(LN(2)/2)*FM166*FP166*VLOOKUP('Données projet'!$B$16,Paramètres!$A$1:$I$89,3,0)*0.475*44/12</f>
        <v>1.2331420225483685E-11</v>
      </c>
      <c r="FT166" s="22">
        <f t="shared" si="184"/>
        <v>15.149986705599074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6</v>
      </c>
      <c r="N167" s="13">
        <f>IF('Données projet'!$A$36&gt;35,N166+M167-V166,IF(A167&lt;'Données projet'!$A$36,$K$205^A167,IF(A167='Données projet'!$A$36,'Données projet'!$B$36,N166+M167-V166)))</f>
        <v>356.99999999999972</v>
      </c>
      <c r="O167" s="13">
        <f>N167*VLOOKUP('Données projet'!$B$9,Paramètres!$A$1:$I$89,3,0)*VLOOKUP('Données projet'!$B$9,Paramètres!$A$1:$I$89,5,0)</f>
        <v>323.01359999999977</v>
      </c>
      <c r="P167" s="13">
        <f t="shared" si="141"/>
        <v>75.980049270566099</v>
      </c>
      <c r="Q167" s="20">
        <f t="shared" si="162"/>
        <v>694.91393914623552</v>
      </c>
      <c r="R167" s="59">
        <f t="shared" si="109"/>
        <v>988.24727247956889</v>
      </c>
      <c r="S167" s="59">
        <f ca="1">AVERAGE(OFFSET($R$3,0,0,'Données projet'!$E$9+1,1))-AVERAGE(OFFSET($H$3,0,0,'Données projet'!$E$9+1,1))</f>
        <v>436.03161778768742</v>
      </c>
      <c r="T167" s="59">
        <f t="shared" si="142"/>
        <v>217.65884352525285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45.405765789951388</v>
      </c>
      <c r="AA167" s="21">
        <f>EXP(-LN(2)/25)*AA166+(1-EXP(-LN(2)/25))/(LN(2)/25)*Calculateur!V167*Calculateur!X167*VLOOKUP('Données projet'!$B$9,Paramètres!$A$1:$I$89,3,0)*0.475*44/12</f>
        <v>9.5389869742370141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54.944752764188401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6</v>
      </c>
      <c r="AI167" s="13">
        <f>IF('Données projet'!$A$62&gt;35,AI166+AH167-AQ166,IF(A167&lt;'Données projet'!$A$62,$AF$205^A167,IF(A167='Données projet'!$A$62,'Données projet'!$B$62,AI166+AH167-AQ166)))</f>
        <v>356.99999999999972</v>
      </c>
      <c r="AJ167" s="13">
        <f>AI167*VLOOKUP('Données projet'!$B$10,Paramètres!$A$1:$I$89,3,0)*VLOOKUP('Données projet'!$B$10,Paramètres!$A$1:$I$89,5,0)</f>
        <v>361.99799999999971</v>
      </c>
      <c r="AK167" s="13">
        <f t="shared" si="164"/>
        <v>84.028156893394339</v>
      </c>
      <c r="AL167" s="20">
        <f t="shared" si="165"/>
        <v>776.82888992266123</v>
      </c>
      <c r="AM167" s="59">
        <f t="shared" si="113"/>
        <v>1070.1622232559946</v>
      </c>
      <c r="AN167" s="59">
        <f ca="1">AVERAGE(OFFSET($AM$3,0,0,'Données projet'!$E$10+1,1))-AVERAGE(OFFSET($H$3,0,0,'Données projet'!$E$10+1,1))</f>
        <v>483.45320081988984</v>
      </c>
      <c r="AO167" s="59">
        <f t="shared" si="144"/>
        <v>238.92443174298893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50.88577200598003</v>
      </c>
      <c r="AV167" s="21">
        <f>EXP(-LN(2)/25)*AV166+(1-EXP(-LN(2)/25))/(LN(2)/25)*Calculateur!AQ167*Calculateur!AS167*VLOOKUP('Données projet'!$B$10,Paramètres!$A$1:$I$89,3,0)*0.475*44/12</f>
        <v>10.690244022851831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61.576016028831859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1.7053025658242404E-13</v>
      </c>
      <c r="BE167" s="13">
        <f>BD167*VLOOKUP('Données projet'!$B$11,Paramètres!$A$1:$I$89,3,0)*VLOOKUP('Données projet'!$B$11,Paramètres!$A$1:$I$89,5,0)</f>
        <v>1.4897523215040567E-13</v>
      </c>
      <c r="BF167" s="13">
        <f t="shared" si="167"/>
        <v>2.136562777003313E-12</v>
      </c>
      <c r="BG167" s="20">
        <f t="shared" si="168"/>
        <v>3.9806453659427267E-12</v>
      </c>
      <c r="BH167" s="59">
        <f t="shared" si="116"/>
        <v>293.33333333333729</v>
      </c>
      <c r="BI167" s="59">
        <f ca="1">AVERAGE(OFFSET($BH$3,0,0,'Données projet'!$E$11+1,1))-AVERAGE(OFFSET($H$3,0,0,'Données projet'!$E$11+1,1))</f>
        <v>310.44153296396854</v>
      </c>
      <c r="BJ167" s="59">
        <f t="shared" si="146"/>
        <v>388.05195847800502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12.646028143479846</v>
      </c>
      <c r="BQ167" s="21">
        <f>EXP(-LN(2)/25)*BQ166+(1-EXP(-LN(2)/25))/(LN(2)/25)*Calculateur!BL167*Calculateur!BN167*VLOOKUP('Données projet'!$B$11,Paramètres!$A$1:$I$89,3,0)*0.475*44/12</f>
        <v>0.39153927016275392</v>
      </c>
      <c r="BR167" s="21">
        <f>EXP(-LN(2)/2)*BR166+(1-EXP(-LN(2)/2))/(LN(2)/2)*BL167*BO167*VLOOKUP('Données projet'!$B$11,Paramètres!$A$1:$I$89,3,0)*0.475*44/12</f>
        <v>2.9267687982410262E-13</v>
      </c>
      <c r="BS167" s="22">
        <f t="shared" si="169"/>
        <v>13.037567413642893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-2.2737367544323206E-13</v>
      </c>
      <c r="BZ167" s="13">
        <f>BY167*VLOOKUP('Données projet'!$B$12,Paramètres!$A$1:$I$89,3,0)*VLOOKUP('Données projet'!$B$12,Paramètres!$A$1:$I$89,5,0)</f>
        <v>-1.2710188457276673E-13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443.34220761968419</v>
      </c>
      <c r="CE167" s="59">
        <f t="shared" si="148"/>
        <v>546.58234447298014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32.439379363805436</v>
      </c>
      <c r="CL167" s="21">
        <f>EXP(-LN(2)/25)*CL166+(1-EXP(-LN(2)/25))/(LN(2)/25)*Calculateur!CG167*Calculateur!CI167*VLOOKUP('Données projet'!$B$12,Paramètres!$A$1:$I$89,3,0)*0.475*44/12</f>
        <v>3.3918559969699094</v>
      </c>
      <c r="CM167" s="21">
        <f>EXP(-LN(2)/2)*CM166+(1-EXP(-LN(2)/2))/(LN(2)/2)*CG167*CJ167*VLOOKUP('Données projet'!$B$12,Paramètres!$A$1:$I$89,3,0)*0.475*44/12</f>
        <v>9.5897534755666619E-15</v>
      </c>
      <c r="CN167" s="22">
        <f t="shared" si="172"/>
        <v>35.831235360775352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>
        <f>CT167*VLOOKUP('Données projet'!$B$13,Paramètres!$A$1:$I$89,3,0)*VLOOKUP('Données projet'!$B$13,Paramètres!$A$1:$I$89,5,0)</f>
        <v>0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214.22606988805535</v>
      </c>
      <c r="CZ167" s="59">
        <f t="shared" si="150"/>
        <v>305.78163836959078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18.20148384787225</v>
      </c>
      <c r="DG167" s="21">
        <f>EXP(-LN(2)/25)*DG166+(1-EXP(-LN(2)/25))/(LN(2)/25)*Calculateur!DB167*Calculateur!DD167*VLOOKUP('Données projet'!$B$13,Paramètres!$A$1:$I$89,3,0)*0.475*44/12</f>
        <v>1.9878570525073325</v>
      </c>
      <c r="DH167" s="21">
        <f>EXP(-LN(2)/2)*DH166+(1-EXP(-LN(2)/2))/(LN(2)/2)*DB167*DE167*VLOOKUP('Données projet'!$B$13,Paramètres!$A$1:$I$89,3,0)*0.475*44/12</f>
        <v>4.1911930375850495E-15</v>
      </c>
      <c r="DI167" s="22">
        <f t="shared" si="175"/>
        <v>20.189340900379587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-1.7053025658242404E-13</v>
      </c>
      <c r="DP167" s="17">
        <f>DO167*VLOOKUP('Données projet'!$B$14,Paramètres!$A$1:$I$89,3,0)*VLOOKUP('Données projet'!$B$14,Paramètres!$A$1:$I$89,5,0)</f>
        <v>-1.383341441396624E-13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304.26232113495314</v>
      </c>
      <c r="DU167" s="59">
        <f t="shared" si="152"/>
        <v>297.47246687305056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19.970812916787359</v>
      </c>
      <c r="EB167" s="21">
        <f>EXP(-LN(2)/25)*EB166+(1-EXP(-LN(2)/25))/(LN(2)/25)*Calculateur!DW167*Calculateur!DY167*VLOOKUP('Données projet'!$B$14,Paramètres!$A$1:$I$89,3,0)*0.475*44/12</f>
        <v>0.28157674421267848</v>
      </c>
      <c r="EC167" s="21">
        <f>EXP(-LN(2)/2)*EC166+(1-EXP(-LN(2)/2))/(LN(2)/2)*DW167*DZ167*VLOOKUP('Données projet'!$B$14,Paramètres!$A$1:$I$89,3,0)*0.475*44/12</f>
        <v>9.6472511676856385E-12</v>
      </c>
      <c r="ED167" s="22">
        <f t="shared" si="178"/>
        <v>20.252389661009683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-1.7053025658242404E-13</v>
      </c>
      <c r="EK167" s="17">
        <f>EJ167*VLOOKUP('Données projet'!$B$15,Paramètres!$A$1:$I$89,3,0)*VLOOKUP('Données projet'!$B$15,Paramètres!$A$1:$I$89,5,0)</f>
        <v>-1.6493686416652052E-13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355.72173590705142</v>
      </c>
      <c r="EP167" s="59">
        <f t="shared" si="154"/>
        <v>346.30980704469363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19.31864558641329</v>
      </c>
      <c r="EW167" s="21">
        <f>EXP(-LN(2)/25)*EW166+(1-EXP(-LN(2)/25))/(LN(2)/25)*Calculateur!ER167*Calculateur!ET167*VLOOKUP('Données projet'!$B$15,Paramètres!$A$1:$I$89,3,0)*0.475*44/12</f>
        <v>0.27238156751487697</v>
      </c>
      <c r="EX167" s="21">
        <f>EXP(-LN(2)/2)*EX166+(1-EXP(-LN(2)/2))/(LN(2)/2)*ER167*EU167*VLOOKUP('Données projet'!$B$15,Paramètres!$A$1:$I$89,3,0)*0.475*44/12</f>
        <v>1.1502491776855914E-11</v>
      </c>
      <c r="EY167" s="22">
        <f t="shared" si="181"/>
        <v>19.59102715393967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-1.7053025658242404E-13</v>
      </c>
      <c r="FF167" s="17">
        <f>FE167*VLOOKUP('Données projet'!$B$16,Paramètres!$A$1:$I$89,3,0)*VLOOKUP('Données projet'!$B$16,Paramètres!$A$1:$I$89,5,0)</f>
        <v>-1.250327841262333E-13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278.45534008146865</v>
      </c>
      <c r="FK167" s="59">
        <f t="shared" si="156"/>
        <v>272.97841038165217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14.64477971873267</v>
      </c>
      <c r="FR167" s="21">
        <f>EXP(-LN(2)/25)*FR166+(1-EXP(-LN(2)/25))/(LN(2)/25)*Calculateur!FM167*Calculateur!FO167*VLOOKUP('Données projet'!$B$16,Paramètres!$A$1:$I$89,3,0)*0.475*44/12</f>
        <v>0.20648280118063236</v>
      </c>
      <c r="FS167" s="21">
        <f>EXP(-LN(2)/2)*FS166+(1-EXP(-LN(2)/2))/(LN(2)/2)*FM167*FP167*VLOOKUP('Données projet'!$B$16,Paramètres!$A$1:$I$89,3,0)*0.475*44/12</f>
        <v>8.7196308631004586E-12</v>
      </c>
      <c r="FT167" s="22">
        <f t="shared" si="184"/>
        <v>14.851262519922022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6</v>
      </c>
      <c r="N168" s="13">
        <f>IF('Données projet'!$A$36&gt;35,N167+M168-V167,IF(A168&lt;'Données projet'!$A$36,$K$205^A168,IF(A168='Données projet'!$A$36,'Données projet'!$B$36,N167+M168-V167)))</f>
        <v>362.99999999999972</v>
      </c>
      <c r="O168" s="13">
        <f>N168*VLOOKUP('Données projet'!$B$9,Paramètres!$A$1:$I$89,3,0)*VLOOKUP('Données projet'!$B$9,Paramètres!$A$1:$I$89,5,0)</f>
        <v>328.44239999999974</v>
      </c>
      <c r="P168" s="13">
        <f t="shared" si="141"/>
        <v>77.107288085743335</v>
      </c>
      <c r="Q168" s="20">
        <f t="shared" si="162"/>
        <v>706.3323734160025</v>
      </c>
      <c r="R168" s="59">
        <f t="shared" si="109"/>
        <v>999.66570674933587</v>
      </c>
      <c r="S168" s="59">
        <f ca="1">AVERAGE(OFFSET($R$3,0,0,'Données projet'!$E$9+1,1))-AVERAGE(OFFSET($H$3,0,0,'Données projet'!$E$9+1,1))</f>
        <v>436.03161778768742</v>
      </c>
      <c r="T168" s="59">
        <f t="shared" si="142"/>
        <v>217.65884352525285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44.515386417592943</v>
      </c>
      <c r="AA168" s="21">
        <f>EXP(-LN(2)/25)*AA167+(1-EXP(-LN(2)/25))/(LN(2)/25)*Calculateur!V168*Calculateur!X168*VLOOKUP('Données projet'!$B$9,Paramètres!$A$1:$I$89,3,0)*0.475*44/12</f>
        <v>9.2781428737929801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53.793529291385923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6</v>
      </c>
      <c r="AI168" s="13">
        <f>IF('Données projet'!$A$62&gt;35,AI167+AH168-AQ167,IF(A168&lt;'Données projet'!$A$62,$AF$205^A168,IF(A168='Données projet'!$A$62,'Données projet'!$B$62,AI167+AH168-AQ167)))</f>
        <v>362.99999999999972</v>
      </c>
      <c r="AJ168" s="13">
        <f>AI168*VLOOKUP('Données projet'!$B$10,Paramètres!$A$1:$I$89,3,0)*VLOOKUP('Données projet'!$B$10,Paramètres!$A$1:$I$89,5,0)</f>
        <v>368.08199999999971</v>
      </c>
      <c r="AK168" s="13">
        <f t="shared" si="164"/>
        <v>85.274797306599979</v>
      </c>
      <c r="AL168" s="20">
        <f t="shared" si="165"/>
        <v>789.59642197566109</v>
      </c>
      <c r="AM168" s="59">
        <f t="shared" si="113"/>
        <v>1082.9297553089943</v>
      </c>
      <c r="AN168" s="59">
        <f ca="1">AVERAGE(OFFSET($AM$3,0,0,'Données projet'!$E$10+1,1))-AVERAGE(OFFSET($H$3,0,0,'Données projet'!$E$10+1,1))</f>
        <v>483.45320081988984</v>
      </c>
      <c r="AO168" s="59">
        <f t="shared" si="144"/>
        <v>238.92443174298893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49.88793305419901</v>
      </c>
      <c r="AV168" s="21">
        <f>EXP(-LN(2)/25)*AV167+(1-EXP(-LN(2)/25))/(LN(2)/25)*Calculateur!AQ168*Calculateur!AS168*VLOOKUP('Données projet'!$B$10,Paramètres!$A$1:$I$89,3,0)*0.475*44/12</f>
        <v>10.397918737871446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60.28585179207046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1.7053025658242404E-13</v>
      </c>
      <c r="BE168" s="13">
        <f>BD168*VLOOKUP('Données projet'!$B$11,Paramètres!$A$1:$I$89,3,0)*VLOOKUP('Données projet'!$B$11,Paramètres!$A$1:$I$89,5,0)</f>
        <v>1.4897523215040567E-13</v>
      </c>
      <c r="BF168" s="13">
        <f t="shared" si="167"/>
        <v>2.136562777003313E-12</v>
      </c>
      <c r="BG168" s="20">
        <f t="shared" si="168"/>
        <v>3.9806453659427267E-12</v>
      </c>
      <c r="BH168" s="59">
        <f t="shared" si="116"/>
        <v>293.33333333333729</v>
      </c>
      <c r="BI168" s="59">
        <f ca="1">AVERAGE(OFFSET($BH$3,0,0,'Données projet'!$E$11+1,1))-AVERAGE(OFFSET($H$3,0,0,'Données projet'!$E$11+1,1))</f>
        <v>310.44153296396854</v>
      </c>
      <c r="BJ168" s="59">
        <f t="shared" si="146"/>
        <v>388.05195847800502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12.398047244901747</v>
      </c>
      <c r="BQ168" s="21">
        <f>EXP(-LN(2)/25)*BQ167+(1-EXP(-LN(2)/25))/(LN(2)/25)*Calculateur!BL168*Calculateur!BN168*VLOOKUP('Données projet'!$B$11,Paramètres!$A$1:$I$89,3,0)*0.475*44/12</f>
        <v>0.38083260822999809</v>
      </c>
      <c r="BR168" s="21">
        <f>EXP(-LN(2)/2)*BR167+(1-EXP(-LN(2)/2))/(LN(2)/2)*BL168*BO168*VLOOKUP('Données projet'!$B$11,Paramètres!$A$1:$I$89,3,0)*0.475*44/12</f>
        <v>2.069538064201432E-13</v>
      </c>
      <c r="BS168" s="22">
        <f t="shared" si="169"/>
        <v>12.778879853131953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-2.2737367544323206E-13</v>
      </c>
      <c r="BZ168" s="13">
        <f>BY168*VLOOKUP('Données projet'!$B$12,Paramètres!$A$1:$I$89,3,0)*VLOOKUP('Données projet'!$B$12,Paramètres!$A$1:$I$89,5,0)</f>
        <v>-1.2710188457276673E-13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443.34220761968419</v>
      </c>
      <c r="CE168" s="59">
        <f t="shared" si="148"/>
        <v>546.58234447298014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31.80326292054891</v>
      </c>
      <c r="CL168" s="21">
        <f>EXP(-LN(2)/25)*CL167+(1-EXP(-LN(2)/25))/(LN(2)/25)*Calculateur!CG168*Calculateur!CI168*VLOOKUP('Données projet'!$B$12,Paramètres!$A$1:$I$89,3,0)*0.475*44/12</f>
        <v>3.2991055163628125</v>
      </c>
      <c r="CM168" s="21">
        <f>EXP(-LN(2)/2)*CM167+(1-EXP(-LN(2)/2))/(LN(2)/2)*CG168*CJ168*VLOOKUP('Données projet'!$B$12,Paramètres!$A$1:$I$89,3,0)*0.475*44/12</f>
        <v>6.7809797124804493E-15</v>
      </c>
      <c r="CN168" s="22">
        <f t="shared" si="172"/>
        <v>35.102368436911732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>
        <f>CT168*VLOOKUP('Données projet'!$B$13,Paramètres!$A$1:$I$89,3,0)*VLOOKUP('Données projet'!$B$13,Paramètres!$A$1:$I$89,5,0)</f>
        <v>0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214.22606988805535</v>
      </c>
      <c r="CZ168" s="59">
        <f t="shared" si="150"/>
        <v>305.78163836959078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17.844563851424411</v>
      </c>
      <c r="DG168" s="21">
        <f>EXP(-LN(2)/25)*DG167+(1-EXP(-LN(2)/25))/(LN(2)/25)*Calculateur!DB168*Calculateur!DD168*VLOOKUP('Données projet'!$B$13,Paramètres!$A$1:$I$89,3,0)*0.475*44/12</f>
        <v>1.9334989968696603</v>
      </c>
      <c r="DH168" s="21">
        <f>EXP(-LN(2)/2)*DH167+(1-EXP(-LN(2)/2))/(LN(2)/2)*DB168*DE168*VLOOKUP('Données projet'!$B$13,Paramètres!$A$1:$I$89,3,0)*0.475*44/12</f>
        <v>2.9636210181382331E-15</v>
      </c>
      <c r="DI168" s="22">
        <f t="shared" si="175"/>
        <v>19.778062848294073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-1.7053025658242404E-13</v>
      </c>
      <c r="DP168" s="17">
        <f>DO168*VLOOKUP('Données projet'!$B$14,Paramètres!$A$1:$I$89,3,0)*VLOOKUP('Données projet'!$B$14,Paramètres!$A$1:$I$89,5,0)</f>
        <v>-1.383341441396624E-13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304.26232113495314</v>
      </c>
      <c r="DU168" s="59">
        <f t="shared" si="152"/>
        <v>297.47246687305056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19.579197456482266</v>
      </c>
      <c r="EB168" s="21">
        <f>EXP(-LN(2)/25)*EB167+(1-EXP(-LN(2)/25))/(LN(2)/25)*Calculateur!DW168*Calculateur!DY168*VLOOKUP('Données projet'!$B$14,Paramètres!$A$1:$I$89,3,0)*0.475*44/12</f>
        <v>0.27387701333470538</v>
      </c>
      <c r="EC168" s="21">
        <f>EXP(-LN(2)/2)*EC167+(1-EXP(-LN(2)/2))/(LN(2)/2)*DW168*DZ168*VLOOKUP('Données projet'!$B$14,Paramètres!$A$1:$I$89,3,0)*0.475*44/12</f>
        <v>6.8216367204803539E-12</v>
      </c>
      <c r="ED168" s="22">
        <f t="shared" si="178"/>
        <v>19.853074469823792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-1.7053025658242404E-13</v>
      </c>
      <c r="EK168" s="17">
        <f>EJ168*VLOOKUP('Données projet'!$B$15,Paramètres!$A$1:$I$89,3,0)*VLOOKUP('Données projet'!$B$15,Paramètres!$A$1:$I$89,5,0)</f>
        <v>-1.6493686416652052E-13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355.72173590705142</v>
      </c>
      <c r="EP168" s="59">
        <f t="shared" si="154"/>
        <v>346.30980704469363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18.939818729674037</v>
      </c>
      <c r="EW168" s="21">
        <f>EXP(-LN(2)/25)*EW167+(1-EXP(-LN(2)/25))/(LN(2)/25)*Calculateur!ER168*Calculateur!ET168*VLOOKUP('Données projet'!$B$15,Paramètres!$A$1:$I$89,3,0)*0.475*44/12</f>
        <v>0.26493327922725857</v>
      </c>
      <c r="EX168" s="21">
        <f>EXP(-LN(2)/2)*EX167+(1-EXP(-LN(2)/2))/(LN(2)/2)*ER168*EU168*VLOOKUP('Données projet'!$B$15,Paramètres!$A$1:$I$89,3,0)*0.475*44/12</f>
        <v>8.1334899359573169E-12</v>
      </c>
      <c r="EY168" s="22">
        <f t="shared" si="181"/>
        <v>19.204752008909427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-1.7053025658242404E-13</v>
      </c>
      <c r="FF168" s="17">
        <f>FE168*VLOOKUP('Données projet'!$B$16,Paramètres!$A$1:$I$89,3,0)*VLOOKUP('Données projet'!$B$16,Paramètres!$A$1:$I$89,5,0)</f>
        <v>-1.250327841262333E-13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278.45534008146865</v>
      </c>
      <c r="FK168" s="59">
        <f t="shared" si="156"/>
        <v>272.97841038165217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14.357604520881946</v>
      </c>
      <c r="FR168" s="21">
        <f>EXP(-LN(2)/25)*FR167+(1-EXP(-LN(2)/25))/(LN(2)/25)*Calculateur!FM168*Calculateur!FO168*VLOOKUP('Données projet'!$B$16,Paramètres!$A$1:$I$89,3,0)*0.475*44/12</f>
        <v>0.20083651812388939</v>
      </c>
      <c r="FS168" s="21">
        <f>EXP(-LN(2)/2)*FS167+(1-EXP(-LN(2)/2))/(LN(2)/2)*FM168*FP168*VLOOKUP('Données projet'!$B$16,Paramètres!$A$1:$I$89,3,0)*0.475*44/12</f>
        <v>6.1657101127418425E-12</v>
      </c>
      <c r="FT168" s="22">
        <f t="shared" si="184"/>
        <v>14.558441039012001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6</v>
      </c>
      <c r="N169" s="13">
        <f>IF('Données projet'!$A$36&gt;35,N168+M169-V168,IF(A169&lt;'Données projet'!$A$36,$K$205^A169,IF(A169='Données projet'!$A$36,'Données projet'!$B$36,N168+M169-V168)))</f>
        <v>368.99999999999972</v>
      </c>
      <c r="O169" s="13">
        <f>N169*VLOOKUP('Données projet'!$B$9,Paramètres!$A$1:$I$89,3,0)*VLOOKUP('Données projet'!$B$9,Paramètres!$A$1:$I$89,5,0)</f>
        <v>333.8711999999997</v>
      </c>
      <c r="P169" s="13">
        <f t="shared" si="141"/>
        <v>78.232360111376238</v>
      </c>
      <c r="Q169" s="20">
        <f t="shared" si="162"/>
        <v>717.74703386064641</v>
      </c>
      <c r="R169" s="59">
        <f t="shared" si="109"/>
        <v>1011.0803671939798</v>
      </c>
      <c r="S169" s="59">
        <f ca="1">AVERAGE(OFFSET($R$3,0,0,'Données projet'!$E$9+1,1))-AVERAGE(OFFSET($H$3,0,0,'Données projet'!$E$9+1,1))</f>
        <v>436.03161778768742</v>
      </c>
      <c r="T169" s="59">
        <f t="shared" si="142"/>
        <v>217.65884352525285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43.642466841648648</v>
      </c>
      <c r="AA169" s="21">
        <f>EXP(-LN(2)/25)*AA168+(1-EXP(-LN(2)/25))/(LN(2)/25)*Calculateur!V169*Calculateur!X169*VLOOKUP('Données projet'!$B$9,Paramètres!$A$1:$I$89,3,0)*0.475*44/12</f>
        <v>9.0244315689927834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52.66689841064143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6</v>
      </c>
      <c r="AI169" s="13">
        <f>IF('Données projet'!$A$62&gt;35,AI168+AH169-AQ168,IF(A169&lt;'Données projet'!$A$62,$AF$205^A169,IF(A169='Données projet'!$A$62,'Données projet'!$B$62,AI168+AH169-AQ168)))</f>
        <v>368.99999999999972</v>
      </c>
      <c r="AJ169" s="13">
        <f>AI169*VLOOKUP('Données projet'!$B$10,Paramètres!$A$1:$I$89,3,0)*VLOOKUP('Données projet'!$B$10,Paramètres!$A$1:$I$89,5,0)</f>
        <v>374.16599999999971</v>
      </c>
      <c r="AK169" s="13">
        <f t="shared" si="164"/>
        <v>86.519041415334357</v>
      </c>
      <c r="AL169" s="20">
        <f t="shared" si="165"/>
        <v>802.35978046504022</v>
      </c>
      <c r="AM169" s="59">
        <f t="shared" si="113"/>
        <v>1095.6931137983736</v>
      </c>
      <c r="AN169" s="59">
        <f ca="1">AVERAGE(OFFSET($AM$3,0,0,'Données projet'!$E$10+1,1))-AVERAGE(OFFSET($H$3,0,0,'Données projet'!$E$10+1,1))</f>
        <v>483.45320081988984</v>
      </c>
      <c r="AO169" s="59">
        <f t="shared" si="144"/>
        <v>238.92443174298893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48.909661115640752</v>
      </c>
      <c r="AV169" s="21">
        <f>EXP(-LN(2)/25)*AV168+(1-EXP(-LN(2)/25))/(LN(2)/25)*Calculateur!AQ169*Calculateur!AS169*VLOOKUP('Données projet'!$B$10,Paramètres!$A$1:$I$89,3,0)*0.475*44/12</f>
        <v>10.113587103181571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59.023248218822324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1.7053025658242404E-13</v>
      </c>
      <c r="BE169" s="13">
        <f>BD169*VLOOKUP('Données projet'!$B$11,Paramètres!$A$1:$I$89,3,0)*VLOOKUP('Données projet'!$B$11,Paramètres!$A$1:$I$89,5,0)</f>
        <v>1.4897523215040567E-13</v>
      </c>
      <c r="BF169" s="13">
        <f t="shared" si="167"/>
        <v>2.136562777003313E-12</v>
      </c>
      <c r="BG169" s="20">
        <f t="shared" si="168"/>
        <v>3.9806453659427267E-12</v>
      </c>
      <c r="BH169" s="59">
        <f t="shared" si="116"/>
        <v>293.33333333333729</v>
      </c>
      <c r="BI169" s="59">
        <f ca="1">AVERAGE(OFFSET($BH$3,0,0,'Données projet'!$E$11+1,1))-AVERAGE(OFFSET($H$3,0,0,'Données projet'!$E$11+1,1))</f>
        <v>310.44153296396854</v>
      </c>
      <c r="BJ169" s="59">
        <f t="shared" si="146"/>
        <v>388.05195847800502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12.154929100491351</v>
      </c>
      <c r="BQ169" s="21">
        <f>EXP(-LN(2)/25)*BQ168+(1-EXP(-LN(2)/25))/(LN(2)/25)*Calculateur!BL169*Calculateur!BN169*VLOOKUP('Données projet'!$B$11,Paramètres!$A$1:$I$89,3,0)*0.475*44/12</f>
        <v>0.37041872053083236</v>
      </c>
      <c r="BR169" s="21">
        <f>EXP(-LN(2)/2)*BR168+(1-EXP(-LN(2)/2))/(LN(2)/2)*BL169*BO169*VLOOKUP('Données projet'!$B$11,Paramètres!$A$1:$I$89,3,0)*0.475*44/12</f>
        <v>1.4633843991205131E-13</v>
      </c>
      <c r="BS169" s="22">
        <f t="shared" si="169"/>
        <v>12.525347821022329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-2.2737367544323206E-13</v>
      </c>
      <c r="BZ169" s="13">
        <f>BY169*VLOOKUP('Données projet'!$B$12,Paramètres!$A$1:$I$89,3,0)*VLOOKUP('Données projet'!$B$12,Paramètres!$A$1:$I$89,5,0)</f>
        <v>-1.2710188457276673E-13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443.34220761968419</v>
      </c>
      <c r="CE169" s="59">
        <f t="shared" si="148"/>
        <v>546.58234447298014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31.179620332751927</v>
      </c>
      <c r="CL169" s="21">
        <f>EXP(-LN(2)/25)*CL168+(1-EXP(-LN(2)/25))/(LN(2)/25)*Calculateur!CG169*Calculateur!CI169*VLOOKUP('Données projet'!$B$12,Paramètres!$A$1:$I$89,3,0)*0.475*44/12</f>
        <v>3.2088913025254526</v>
      </c>
      <c r="CM169" s="21">
        <f>EXP(-LN(2)/2)*CM168+(1-EXP(-LN(2)/2))/(LN(2)/2)*CG169*CJ169*VLOOKUP('Données projet'!$B$12,Paramètres!$A$1:$I$89,3,0)*0.475*44/12</f>
        <v>4.794876737783331E-15</v>
      </c>
      <c r="CN169" s="22">
        <f t="shared" si="172"/>
        <v>34.388511635277389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>
        <f>CT169*VLOOKUP('Données projet'!$B$13,Paramètres!$A$1:$I$89,3,0)*VLOOKUP('Données projet'!$B$13,Paramètres!$A$1:$I$89,5,0)</f>
        <v>0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214.22606988805535</v>
      </c>
      <c r="CZ169" s="59">
        <f t="shared" si="150"/>
        <v>305.78163836959078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17.494642838407213</v>
      </c>
      <c r="DG169" s="21">
        <f>EXP(-LN(2)/25)*DG168+(1-EXP(-LN(2)/25))/(LN(2)/25)*Calculateur!DB169*Calculateur!DD169*VLOOKUP('Données projet'!$B$13,Paramètres!$A$1:$I$89,3,0)*0.475*44/12</f>
        <v>1.8806273651219663</v>
      </c>
      <c r="DH169" s="21">
        <f>EXP(-LN(2)/2)*DH168+(1-EXP(-LN(2)/2))/(LN(2)/2)*DB169*DE169*VLOOKUP('Données projet'!$B$13,Paramètres!$A$1:$I$89,3,0)*0.475*44/12</f>
        <v>2.0955965187925247E-15</v>
      </c>
      <c r="DI169" s="22">
        <f t="shared" si="175"/>
        <v>19.375270203529183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-1.7053025658242404E-13</v>
      </c>
      <c r="DP169" s="17">
        <f>DO169*VLOOKUP('Données projet'!$B$14,Paramètres!$A$1:$I$89,3,0)*VLOOKUP('Données projet'!$B$14,Paramètres!$A$1:$I$89,5,0)</f>
        <v>-1.383341441396624E-13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304.26232113495314</v>
      </c>
      <c r="DU169" s="59">
        <f t="shared" si="152"/>
        <v>297.47246687305056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19.19526133649191</v>
      </c>
      <c r="EB169" s="21">
        <f>EXP(-LN(2)/25)*EB168+(1-EXP(-LN(2)/25))/(LN(2)/25)*Calculateur!DW169*Calculateur!DY169*VLOOKUP('Données projet'!$B$14,Paramètres!$A$1:$I$89,3,0)*0.475*44/12</f>
        <v>0.26638783200250166</v>
      </c>
      <c r="EC169" s="21">
        <f>EXP(-LN(2)/2)*EC168+(1-EXP(-LN(2)/2))/(LN(2)/2)*DW169*DZ169*VLOOKUP('Données projet'!$B$14,Paramètres!$A$1:$I$89,3,0)*0.475*44/12</f>
        <v>4.8236255838428192E-12</v>
      </c>
      <c r="ED169" s="22">
        <f t="shared" si="178"/>
        <v>19.461649168499235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-1.7053025658242404E-13</v>
      </c>
      <c r="EK169" s="17">
        <f>EJ169*VLOOKUP('Données projet'!$B$15,Paramètres!$A$1:$I$89,3,0)*VLOOKUP('Données projet'!$B$15,Paramètres!$A$1:$I$89,5,0)</f>
        <v>-1.6493686416652052E-13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355.72173590705142</v>
      </c>
      <c r="EP169" s="59">
        <f t="shared" si="154"/>
        <v>346.30980704469363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18.568420436533874</v>
      </c>
      <c r="EW169" s="21">
        <f>EXP(-LN(2)/25)*EW168+(1-EXP(-LN(2)/25))/(LN(2)/25)*Calculateur!ER169*Calculateur!ET169*VLOOKUP('Données projet'!$B$15,Paramètres!$A$1:$I$89,3,0)*0.475*44/12</f>
        <v>0.25768866477455354</v>
      </c>
      <c r="EX169" s="21">
        <f>EXP(-LN(2)/2)*EX168+(1-EXP(-LN(2)/2))/(LN(2)/2)*ER169*EU169*VLOOKUP('Données projet'!$B$15,Paramètres!$A$1:$I$89,3,0)*0.475*44/12</f>
        <v>5.7512458884279571E-12</v>
      </c>
      <c r="EY169" s="22">
        <f t="shared" si="181"/>
        <v>18.826109101314177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-1.7053025658242404E-13</v>
      </c>
      <c r="FF169" s="17">
        <f>FE169*VLOOKUP('Données projet'!$B$16,Paramètres!$A$1:$I$89,3,0)*VLOOKUP('Données projet'!$B$16,Paramètres!$A$1:$I$89,5,0)</f>
        <v>-1.250327841262333E-13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278.45534008146865</v>
      </c>
      <c r="FK169" s="59">
        <f t="shared" si="156"/>
        <v>272.97841038165217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14.0760606535015</v>
      </c>
      <c r="FR169" s="21">
        <f>EXP(-LN(2)/25)*FR168+(1-EXP(-LN(2)/25))/(LN(2)/25)*Calculateur!FM169*Calculateur!FO169*VLOOKUP('Données projet'!$B$16,Paramètres!$A$1:$I$89,3,0)*0.475*44/12</f>
        <v>0.19534463297425816</v>
      </c>
      <c r="FS169" s="21">
        <f>EXP(-LN(2)/2)*FS168+(1-EXP(-LN(2)/2))/(LN(2)/2)*FM169*FP169*VLOOKUP('Données projet'!$B$16,Paramètres!$A$1:$I$89,3,0)*0.475*44/12</f>
        <v>4.3598154315502293E-12</v>
      </c>
      <c r="FT169" s="22">
        <f t="shared" si="184"/>
        <v>14.271405286480118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6</v>
      </c>
      <c r="N170" s="13">
        <f>IF('Données projet'!$A$36&gt;35,N169+M170-V169,IF(A170&lt;'Données projet'!$A$36,$K$205^A170,IF(A170='Données projet'!$A$36,'Données projet'!$B$36,N169+M170-V169)))</f>
        <v>374.99999999999972</v>
      </c>
      <c r="O170" s="13">
        <f>N170*VLOOKUP('Données projet'!$B$9,Paramètres!$A$1:$I$89,3,0)*VLOOKUP('Données projet'!$B$9,Paramètres!$A$1:$I$89,5,0)</f>
        <v>339.29999999999973</v>
      </c>
      <c r="P170" s="13">
        <f t="shared" si="141"/>
        <v>79.355304647150447</v>
      </c>
      <c r="Q170" s="20">
        <f t="shared" si="162"/>
        <v>729.15798892711973</v>
      </c>
      <c r="R170" s="59">
        <f t="shared" si="109"/>
        <v>1022.491322260453</v>
      </c>
      <c r="S170" s="59">
        <f ca="1">AVERAGE(OFFSET($R$3,0,0,'Données projet'!$E$9+1,1))-AVERAGE(OFFSET($H$3,0,0,'Données projet'!$E$9+1,1))</f>
        <v>436.03161778768742</v>
      </c>
      <c r="T170" s="59">
        <f t="shared" si="142"/>
        <v>217.65884352525285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42.786664686160258</v>
      </c>
      <c r="AA170" s="21">
        <f>EXP(-LN(2)/25)*AA169+(1-EXP(-LN(2)/25))/(LN(2)/25)*Calculateur!V170*Calculateur!X170*VLOOKUP('Données projet'!$B$9,Paramètres!$A$1:$I$89,3,0)*0.475*44/12</f>
        <v>8.7776580131644444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51.564322699324705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6</v>
      </c>
      <c r="AI170" s="13">
        <f>IF('Données projet'!$A$62&gt;35,AI169+AH170-AQ169,IF(A170&lt;'Données projet'!$A$62,$AF$205^A170,IF(A170='Données projet'!$A$62,'Données projet'!$B$62,AI169+AH170-AQ169)))</f>
        <v>374.99999999999972</v>
      </c>
      <c r="AJ170" s="13">
        <f>AI170*VLOOKUP('Données projet'!$B$10,Paramètres!$A$1:$I$89,3,0)*VLOOKUP('Données projet'!$B$10,Paramètres!$A$1:$I$89,5,0)</f>
        <v>380.24999999999977</v>
      </c>
      <c r="AK170" s="13">
        <f t="shared" si="164"/>
        <v>87.760932682061437</v>
      </c>
      <c r="AL170" s="20">
        <f t="shared" si="165"/>
        <v>815.11904108792316</v>
      </c>
      <c r="AM170" s="59">
        <f t="shared" si="113"/>
        <v>1108.4523744212565</v>
      </c>
      <c r="AN170" s="59">
        <f ca="1">AVERAGE(OFFSET($AM$3,0,0,'Données projet'!$E$10+1,1))-AVERAGE(OFFSET($H$3,0,0,'Données projet'!$E$10+1,1))</f>
        <v>483.45320081988984</v>
      </c>
      <c r="AO170" s="59">
        <f t="shared" si="144"/>
        <v>238.92443174298893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47.950572493110656</v>
      </c>
      <c r="AV170" s="21">
        <f>EXP(-LN(2)/25)*AV169+(1-EXP(-LN(2)/25))/(LN(2)/25)*Calculateur!AQ170*Calculateur!AS170*VLOOKUP('Données projet'!$B$10,Paramètres!$A$1:$I$89,3,0)*0.475*44/12</f>
        <v>9.8370305319946389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57.787603025105298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1.7053025658242404E-13</v>
      </c>
      <c r="BE170" s="13">
        <f>BD170*VLOOKUP('Données projet'!$B$11,Paramètres!$A$1:$I$89,3,0)*VLOOKUP('Données projet'!$B$11,Paramètres!$A$1:$I$89,5,0)</f>
        <v>1.4897523215040567E-13</v>
      </c>
      <c r="BF170" s="13">
        <f t="shared" si="167"/>
        <v>2.136562777003313E-12</v>
      </c>
      <c r="BG170" s="20">
        <f t="shared" si="168"/>
        <v>3.9806453659427267E-12</v>
      </c>
      <c r="BH170" s="59">
        <f t="shared" si="116"/>
        <v>293.33333333333729</v>
      </c>
      <c r="BI170" s="59">
        <f ca="1">AVERAGE(OFFSET($BH$3,0,0,'Données projet'!$E$11+1,1))-AVERAGE(OFFSET($H$3,0,0,'Données projet'!$E$11+1,1))</f>
        <v>310.44153296396854</v>
      </c>
      <c r="BJ170" s="59">
        <f t="shared" si="146"/>
        <v>388.05195847800502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11.916578354605418</v>
      </c>
      <c r="BQ170" s="21">
        <f>EXP(-LN(2)/25)*BQ169+(1-EXP(-LN(2)/25))/(LN(2)/25)*Calculateur!BL170*Calculateur!BN170*VLOOKUP('Données projet'!$B$11,Paramètres!$A$1:$I$89,3,0)*0.475*44/12</f>
        <v>0.36028960113844283</v>
      </c>
      <c r="BR170" s="21">
        <f>EXP(-LN(2)/2)*BR169+(1-EXP(-LN(2)/2))/(LN(2)/2)*BL170*BO170*VLOOKUP('Données projet'!$B$11,Paramètres!$A$1:$I$89,3,0)*0.475*44/12</f>
        <v>1.034769032100716E-13</v>
      </c>
      <c r="BS170" s="22">
        <f t="shared" si="169"/>
        <v>12.276867955743963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-2.2737367544323206E-13</v>
      </c>
      <c r="BZ170" s="13">
        <f>BY170*VLOOKUP('Données projet'!$B$12,Paramètres!$A$1:$I$89,3,0)*VLOOKUP('Données projet'!$B$12,Paramètres!$A$1:$I$89,5,0)</f>
        <v>-1.2710188457276673E-13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443.34220761968419</v>
      </c>
      <c r="CE170" s="59">
        <f t="shared" si="148"/>
        <v>546.58234447298014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30.568206995717222</v>
      </c>
      <c r="CL170" s="21">
        <f>EXP(-LN(2)/25)*CL169+(1-EXP(-LN(2)/25))/(LN(2)/25)*Calculateur!CG170*Calculateur!CI170*VLOOKUP('Données projet'!$B$12,Paramètres!$A$1:$I$89,3,0)*0.475*44/12</f>
        <v>3.1211440011096347</v>
      </c>
      <c r="CM170" s="21">
        <f>EXP(-LN(2)/2)*CM169+(1-EXP(-LN(2)/2))/(LN(2)/2)*CG170*CJ170*VLOOKUP('Données projet'!$B$12,Paramètres!$A$1:$I$89,3,0)*0.475*44/12</f>
        <v>3.3904898562402247E-15</v>
      </c>
      <c r="CN170" s="22">
        <f t="shared" si="172"/>
        <v>33.68935099682686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>
        <f>CT170*VLOOKUP('Données projet'!$B$13,Paramètres!$A$1:$I$89,3,0)*VLOOKUP('Données projet'!$B$13,Paramètres!$A$1:$I$89,5,0)</f>
        <v>0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214.22606988805535</v>
      </c>
      <c r="CZ170" s="59">
        <f t="shared" si="150"/>
        <v>305.78163836959078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17.151583563024538</v>
      </c>
      <c r="DG170" s="21">
        <f>EXP(-LN(2)/25)*DG169+(1-EXP(-LN(2)/25))/(LN(2)/25)*Calculateur!DB170*Calculateur!DD170*VLOOKUP('Données projet'!$B$13,Paramètres!$A$1:$I$89,3,0)*0.475*44/12</f>
        <v>1.8292015109248112</v>
      </c>
      <c r="DH170" s="21">
        <f>EXP(-LN(2)/2)*DH169+(1-EXP(-LN(2)/2))/(LN(2)/2)*DB170*DE170*VLOOKUP('Données projet'!$B$13,Paramètres!$A$1:$I$89,3,0)*0.475*44/12</f>
        <v>1.4818105090691165E-15</v>
      </c>
      <c r="DI170" s="22">
        <f t="shared" si="175"/>
        <v>18.980785073949349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-1.7053025658242404E-13</v>
      </c>
      <c r="DP170" s="17">
        <f>DO170*VLOOKUP('Données projet'!$B$14,Paramètres!$A$1:$I$89,3,0)*VLOOKUP('Données projet'!$B$14,Paramètres!$A$1:$I$89,5,0)</f>
        <v>-1.383341441396624E-13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304.26232113495314</v>
      </c>
      <c r="DU170" s="59">
        <f t="shared" si="152"/>
        <v>297.47246687305056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18.818853969636656</v>
      </c>
      <c r="EB170" s="21">
        <f>EXP(-LN(2)/25)*EB169+(1-EXP(-LN(2)/25))/(LN(2)/25)*Calculateur!DW170*Calculateur!DY170*VLOOKUP('Données projet'!$B$14,Paramètres!$A$1:$I$89,3,0)*0.475*44/12</f>
        <v>0.259103442727666</v>
      </c>
      <c r="EC170" s="21">
        <f>EXP(-LN(2)/2)*EC169+(1-EXP(-LN(2)/2))/(LN(2)/2)*DW170*DZ170*VLOOKUP('Données projet'!$B$14,Paramètres!$A$1:$I$89,3,0)*0.475*44/12</f>
        <v>3.410818360240177E-12</v>
      </c>
      <c r="ED170" s="22">
        <f t="shared" si="178"/>
        <v>19.077957412367734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-1.7053025658242404E-13</v>
      </c>
      <c r="EK170" s="17">
        <f>EJ170*VLOOKUP('Données projet'!$B$15,Paramètres!$A$1:$I$89,3,0)*VLOOKUP('Données projet'!$B$15,Paramètres!$A$1:$I$89,5,0)</f>
        <v>-1.6493686416652052E-13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355.72173590705142</v>
      </c>
      <c r="EP170" s="59">
        <f t="shared" si="154"/>
        <v>346.30980704469363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18.204305037391599</v>
      </c>
      <c r="EW170" s="21">
        <f>EXP(-LN(2)/25)*EW169+(1-EXP(-LN(2)/25))/(LN(2)/25)*Calculateur!ER170*Calculateur!ET170*VLOOKUP('Données projet'!$B$15,Paramètres!$A$1:$I$89,3,0)*0.475*44/12</f>
        <v>0.25064215468503548</v>
      </c>
      <c r="EX170" s="21">
        <f>EXP(-LN(2)/2)*EX169+(1-EXP(-LN(2)/2))/(LN(2)/2)*ER170*EU170*VLOOKUP('Données projet'!$B$15,Paramètres!$A$1:$I$89,3,0)*0.475*44/12</f>
        <v>4.0667449679786585E-12</v>
      </c>
      <c r="EY170" s="22">
        <f t="shared" si="181"/>
        <v>18.454947192080702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-1.7053025658242404E-13</v>
      </c>
      <c r="FF170" s="17">
        <f>FE170*VLOOKUP('Données projet'!$B$16,Paramètres!$A$1:$I$89,3,0)*VLOOKUP('Données projet'!$B$16,Paramètres!$A$1:$I$89,5,0)</f>
        <v>-1.250327841262333E-13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278.45534008146865</v>
      </c>
      <c r="FK170" s="59">
        <f t="shared" si="156"/>
        <v>272.97841038165217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13.800037689635582</v>
      </c>
      <c r="FR170" s="21">
        <f>EXP(-LN(2)/25)*FR169+(1-EXP(-LN(2)/25))/(LN(2)/25)*Calculateur!FM170*Calculateur!FO170*VLOOKUP('Données projet'!$B$16,Paramètres!$A$1:$I$89,3,0)*0.475*44/12</f>
        <v>0.1900029237128493</v>
      </c>
      <c r="FS170" s="21">
        <f>EXP(-LN(2)/2)*FS169+(1-EXP(-LN(2)/2))/(LN(2)/2)*FM170*FP170*VLOOKUP('Données projet'!$B$16,Paramètres!$A$1:$I$89,3,0)*0.475*44/12</f>
        <v>3.0828550563709213E-12</v>
      </c>
      <c r="FT170" s="22">
        <f t="shared" si="184"/>
        <v>13.990040613351514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6</v>
      </c>
      <c r="N171" s="13">
        <f>IF('Données projet'!$A$36&gt;35,N170+M171-V170,IF(A171&lt;'Données projet'!$A$36,$K$205^A171,IF(A171='Données projet'!$A$36,'Données projet'!$B$36,N170+M171-V170)))</f>
        <v>380.99999999999972</v>
      </c>
      <c r="O171" s="13">
        <f>N171*VLOOKUP('Données projet'!$B$9,Paramètres!$A$1:$I$89,3,0)*VLOOKUP('Données projet'!$B$9,Paramètres!$A$1:$I$89,5,0)</f>
        <v>344.72879999999975</v>
      </c>
      <c r="P171" s="13">
        <f t="shared" si="141"/>
        <v>80.476159663038629</v>
      </c>
      <c r="Q171" s="20">
        <f t="shared" si="162"/>
        <v>740.56530474645842</v>
      </c>
      <c r="R171" s="59">
        <f t="shared" si="109"/>
        <v>1033.8986380797917</v>
      </c>
      <c r="S171" s="59">
        <f ca="1">AVERAGE(OFFSET($R$3,0,0,'Données projet'!$E$9+1,1))-AVERAGE(OFFSET($H$3,0,0,'Données projet'!$E$9+1,1))</f>
        <v>436.03161778768742</v>
      </c>
      <c r="T171" s="59">
        <f t="shared" si="142"/>
        <v>217.65884352525285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41.947644288953221</v>
      </c>
      <c r="AA171" s="21">
        <f>EXP(-LN(2)/25)*AA170+(1-EXP(-LN(2)/25))/(LN(2)/25)*Calculateur!V171*Calculateur!X171*VLOOKUP('Données projet'!$B$9,Paramètres!$A$1:$I$89,3,0)*0.475*44/12</f>
        <v>8.5376324931974885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50.485276782150706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6</v>
      </c>
      <c r="AI171" s="13">
        <f>IF('Données projet'!$A$62&gt;35,AI170+AH171-AQ170,IF(A171&lt;'Données projet'!$A$62,$AF$205^A171,IF(A171='Données projet'!$A$62,'Données projet'!$B$62,AI170+AH171-AQ170)))</f>
        <v>380.99999999999972</v>
      </c>
      <c r="AJ171" s="13">
        <f>AI171*VLOOKUP('Données projet'!$B$10,Paramètres!$A$1:$I$89,3,0)*VLOOKUP('Données projet'!$B$10,Paramètres!$A$1:$I$89,5,0)</f>
        <v>386.33399999999978</v>
      </c>
      <c r="AK171" s="13">
        <f t="shared" si="164"/>
        <v>89.000513098683939</v>
      </c>
      <c r="AL171" s="20">
        <f t="shared" si="165"/>
        <v>827.87427698020747</v>
      </c>
      <c r="AM171" s="59">
        <f t="shared" si="113"/>
        <v>1121.2076103135407</v>
      </c>
      <c r="AN171" s="59">
        <f ca="1">AVERAGE(OFFSET($AM$3,0,0,'Données projet'!$E$10+1,1))-AVERAGE(OFFSET($H$3,0,0,'Données projet'!$E$10+1,1))</f>
        <v>483.45320081988984</v>
      </c>
      <c r="AO171" s="59">
        <f t="shared" si="144"/>
        <v>238.92443174298893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47.010291013482082</v>
      </c>
      <c r="AV171" s="21">
        <f>EXP(-LN(2)/25)*AV170+(1-EXP(-LN(2)/25))/(LN(2)/25)*Calculateur!AQ171*Calculateur!AS171*VLOOKUP('Données projet'!$B$10,Paramètres!$A$1:$I$89,3,0)*0.475*44/12</f>
        <v>9.5680364147902921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56.578327428272374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1.7053025658242404E-13</v>
      </c>
      <c r="BE171" s="13">
        <f>BD171*VLOOKUP('Données projet'!$B$11,Paramètres!$A$1:$I$89,3,0)*VLOOKUP('Données projet'!$B$11,Paramètres!$A$1:$I$89,5,0)</f>
        <v>1.4897523215040567E-13</v>
      </c>
      <c r="BF171" s="13">
        <f t="shared" si="167"/>
        <v>2.136562777003313E-12</v>
      </c>
      <c r="BG171" s="20">
        <f t="shared" si="168"/>
        <v>3.9806453659427267E-12</v>
      </c>
      <c r="BH171" s="59">
        <f t="shared" si="116"/>
        <v>293.33333333333729</v>
      </c>
      <c r="BI171" s="59">
        <f ca="1">AVERAGE(OFFSET($BH$3,0,0,'Données projet'!$E$11+1,1))-AVERAGE(OFFSET($H$3,0,0,'Données projet'!$E$11+1,1))</f>
        <v>310.44153296396854</v>
      </c>
      <c r="BJ171" s="59">
        <f t="shared" si="146"/>
        <v>388.05195847800502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11.682901521466707</v>
      </c>
      <c r="BQ171" s="21">
        <f>EXP(-LN(2)/25)*BQ170+(1-EXP(-LN(2)/25))/(LN(2)/25)*Calculateur!BL171*Calculateur!BN171*VLOOKUP('Données projet'!$B$11,Paramètres!$A$1:$I$89,3,0)*0.475*44/12</f>
        <v>0.35043746304850543</v>
      </c>
      <c r="BR171" s="21">
        <f>EXP(-LN(2)/2)*BR170+(1-EXP(-LN(2)/2))/(LN(2)/2)*BL171*BO171*VLOOKUP('Données projet'!$B$11,Paramètres!$A$1:$I$89,3,0)*0.475*44/12</f>
        <v>7.3169219956025656E-14</v>
      </c>
      <c r="BS171" s="22">
        <f t="shared" si="169"/>
        <v>12.033338984515286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-2.2737367544323206E-13</v>
      </c>
      <c r="BZ171" s="13">
        <f>BY171*VLOOKUP('Données projet'!$B$12,Paramètres!$A$1:$I$89,3,0)*VLOOKUP('Données projet'!$B$12,Paramètres!$A$1:$I$89,5,0)</f>
        <v>-1.2710188457276673E-13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443.34220761968419</v>
      </c>
      <c r="CE171" s="59">
        <f t="shared" si="148"/>
        <v>546.58234447298014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29.968783101296456</v>
      </c>
      <c r="CL171" s="21">
        <f>EXP(-LN(2)/25)*CL170+(1-EXP(-LN(2)/25))/(LN(2)/25)*Calculateur!CG171*Calculateur!CI171*VLOOKUP('Données projet'!$B$12,Paramètres!$A$1:$I$89,3,0)*0.475*44/12</f>
        <v>3.0357961542654621</v>
      </c>
      <c r="CM171" s="21">
        <f>EXP(-LN(2)/2)*CM170+(1-EXP(-LN(2)/2))/(LN(2)/2)*CG171*CJ171*VLOOKUP('Données projet'!$B$12,Paramètres!$A$1:$I$89,3,0)*0.475*44/12</f>
        <v>2.3974383688916655E-15</v>
      </c>
      <c r="CN171" s="22">
        <f t="shared" si="172"/>
        <v>33.004579255561922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>
        <f>CT171*VLOOKUP('Données projet'!$B$13,Paramètres!$A$1:$I$89,3,0)*VLOOKUP('Données projet'!$B$13,Paramètres!$A$1:$I$89,5,0)</f>
        <v>0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214.22606988805535</v>
      </c>
      <c r="CZ171" s="59">
        <f t="shared" si="150"/>
        <v>305.78163836959078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16.81525147078662</v>
      </c>
      <c r="DG171" s="21">
        <f>EXP(-LN(2)/25)*DG170+(1-EXP(-LN(2)/25))/(LN(2)/25)*Calculateur!DB171*Calculateur!DD171*VLOOKUP('Données projet'!$B$13,Paramètres!$A$1:$I$89,3,0)*0.475*44/12</f>
        <v>1.7791818994150455</v>
      </c>
      <c r="DH171" s="21">
        <f>EXP(-LN(2)/2)*DH170+(1-EXP(-LN(2)/2))/(LN(2)/2)*DB171*DE171*VLOOKUP('Données projet'!$B$13,Paramètres!$A$1:$I$89,3,0)*0.475*44/12</f>
        <v>1.0477982593962624E-15</v>
      </c>
      <c r="DI171" s="22">
        <f t="shared" si="175"/>
        <v>18.594433370201667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-1.7053025658242404E-13</v>
      </c>
      <c r="DP171" s="17">
        <f>DO171*VLOOKUP('Données projet'!$B$14,Paramètres!$A$1:$I$89,3,0)*VLOOKUP('Données projet'!$B$14,Paramètres!$A$1:$I$89,5,0)</f>
        <v>-1.383341441396624E-13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304.26232113495314</v>
      </c>
      <c r="DU171" s="59">
        <f t="shared" si="152"/>
        <v>297.47246687305056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18.449827721659609</v>
      </c>
      <c r="EB171" s="21">
        <f>EXP(-LN(2)/25)*EB170+(1-EXP(-LN(2)/25))/(LN(2)/25)*Calculateur!DW171*Calculateur!DY171*VLOOKUP('Données projet'!$B$14,Paramètres!$A$1:$I$89,3,0)*0.475*44/12</f>
        <v>0.25201824546062013</v>
      </c>
      <c r="EC171" s="21">
        <f>EXP(-LN(2)/2)*EC170+(1-EXP(-LN(2)/2))/(LN(2)/2)*DW171*DZ171*VLOOKUP('Données projet'!$B$14,Paramètres!$A$1:$I$89,3,0)*0.475*44/12</f>
        <v>2.4118127919214096E-12</v>
      </c>
      <c r="ED171" s="22">
        <f t="shared" si="178"/>
        <v>18.70184596712264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-1.7053025658242404E-13</v>
      </c>
      <c r="EK171" s="17">
        <f>EJ171*VLOOKUP('Données projet'!$B$15,Paramètres!$A$1:$I$89,3,0)*VLOOKUP('Données projet'!$B$15,Paramètres!$A$1:$I$89,5,0)</f>
        <v>-1.6493686416652052E-13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355.72173590705142</v>
      </c>
      <c r="EP171" s="59">
        <f t="shared" si="154"/>
        <v>346.30980704469363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17.847329719138038</v>
      </c>
      <c r="EW171" s="21">
        <f>EXP(-LN(2)/25)*EW170+(1-EXP(-LN(2)/25))/(LN(2)/25)*Calculateur!ER171*Calculateur!ET171*VLOOKUP('Données projet'!$B$15,Paramètres!$A$1:$I$89,3,0)*0.475*44/12</f>
        <v>0.24378833178447512</v>
      </c>
      <c r="EX171" s="21">
        <f>EXP(-LN(2)/2)*EX170+(1-EXP(-LN(2)/2))/(LN(2)/2)*ER171*EU171*VLOOKUP('Données projet'!$B$15,Paramètres!$A$1:$I$89,3,0)*0.475*44/12</f>
        <v>2.8756229442139786E-12</v>
      </c>
      <c r="EY171" s="22">
        <f t="shared" si="181"/>
        <v>18.091118050925388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-1.7053025658242404E-13</v>
      </c>
      <c r="FF171" s="17">
        <f>FE171*VLOOKUP('Données projet'!$B$16,Paramètres!$A$1:$I$89,3,0)*VLOOKUP('Données projet'!$B$16,Paramètres!$A$1:$I$89,5,0)</f>
        <v>-1.250327841262333E-13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278.45534008146865</v>
      </c>
      <c r="FK171" s="59">
        <f t="shared" si="156"/>
        <v>272.97841038165217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13.529427367733691</v>
      </c>
      <c r="FR171" s="21">
        <f>EXP(-LN(2)/25)*FR170+(1-EXP(-LN(2)/25))/(LN(2)/25)*Calculateur!FM171*Calculateur!FO171*VLOOKUP('Données projet'!$B$16,Paramètres!$A$1:$I$89,3,0)*0.475*44/12</f>
        <v>0.18480728377210193</v>
      </c>
      <c r="FS171" s="21">
        <f>EXP(-LN(2)/2)*FS170+(1-EXP(-LN(2)/2))/(LN(2)/2)*FM171*FP171*VLOOKUP('Données projet'!$B$16,Paramètres!$A$1:$I$89,3,0)*0.475*44/12</f>
        <v>2.1799077157751146E-12</v>
      </c>
      <c r="FT171" s="22">
        <f t="shared" si="184"/>
        <v>13.714234651507972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6</v>
      </c>
      <c r="N172" s="13">
        <f>IF('Données projet'!$A$36&gt;35,N171+M172-V171,IF(A172&lt;'Données projet'!$A$36,$K$205^A172,IF(A172='Données projet'!$A$36,'Données projet'!$B$36,N171+M172-V171)))</f>
        <v>386.99999999999972</v>
      </c>
      <c r="O172" s="13">
        <f>N172*VLOOKUP('Données projet'!$B$9,Paramètres!$A$1:$I$89,3,0)*VLOOKUP('Données projet'!$B$9,Paramètres!$A$1:$I$89,5,0)</f>
        <v>350.15759999999972</v>
      </c>
      <c r="P172" s="13">
        <f t="shared" si="141"/>
        <v>81.594961864510594</v>
      </c>
      <c r="Q172" s="20">
        <f t="shared" si="162"/>
        <v>751.96904524735544</v>
      </c>
      <c r="R172" s="59">
        <f t="shared" si="109"/>
        <v>1045.3023785806888</v>
      </c>
      <c r="S172" s="59">
        <f ca="1">AVERAGE(OFFSET($R$3,0,0,'Données projet'!$E$9+1,1))-AVERAGE(OFFSET($H$3,0,0,'Données projet'!$E$9+1,1))</f>
        <v>436.03161778768742</v>
      </c>
      <c r="T172" s="59">
        <f t="shared" si="142"/>
        <v>217.65884352525285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41.125076569983506</v>
      </c>
      <c r="AA172" s="21">
        <f>EXP(-LN(2)/25)*AA171+(1-EXP(-LN(2)/25))/(LN(2)/25)*Calculateur!V172*Calculateur!X172*VLOOKUP('Données projet'!$B$9,Paramètres!$A$1:$I$89,3,0)*0.475*44/12</f>
        <v>8.3041704836964225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49.42924705367993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6</v>
      </c>
      <c r="AI172" s="13">
        <f>IF('Données projet'!$A$62&gt;35,AI171+AH172-AQ171,IF(A172&lt;'Données projet'!$A$62,$AF$205^A172,IF(A172='Données projet'!$A$62,'Données projet'!$B$62,AI171+AH172-AQ171)))</f>
        <v>386.99999999999972</v>
      </c>
      <c r="AJ172" s="13">
        <f>AI172*VLOOKUP('Données projet'!$B$10,Paramètres!$A$1:$I$89,3,0)*VLOOKUP('Données projet'!$B$10,Paramètres!$A$1:$I$89,5,0)</f>
        <v>392.41799999999972</v>
      </c>
      <c r="AK172" s="13">
        <f t="shared" si="164"/>
        <v>90.237823258660029</v>
      </c>
      <c r="AL172" s="20">
        <f t="shared" si="165"/>
        <v>840.62555884216579</v>
      </c>
      <c r="AM172" s="59">
        <f t="shared" si="113"/>
        <v>1133.9588921754992</v>
      </c>
      <c r="AN172" s="59">
        <f ca="1">AVERAGE(OFFSET($AM$3,0,0,'Données projet'!$E$10+1,1))-AVERAGE(OFFSET($H$3,0,0,'Données projet'!$E$10+1,1))</f>
        <v>483.45320081988984</v>
      </c>
      <c r="AO172" s="59">
        <f t="shared" si="144"/>
        <v>238.92443174298893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46.08844788015395</v>
      </c>
      <c r="AV172" s="21">
        <f>EXP(-LN(2)/25)*AV171+(1-EXP(-LN(2)/25))/(LN(2)/25)*Calculateur!AQ172*Calculateur!AS172*VLOOKUP('Données projet'!$B$10,Paramètres!$A$1:$I$89,3,0)*0.475*44/12</f>
        <v>9.3063979558666841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55.394845836020636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1.7053025658242404E-13</v>
      </c>
      <c r="BE172" s="13">
        <f>BD172*VLOOKUP('Données projet'!$B$11,Paramètres!$A$1:$I$89,3,0)*VLOOKUP('Données projet'!$B$11,Paramètres!$A$1:$I$89,5,0)</f>
        <v>1.4897523215040567E-13</v>
      </c>
      <c r="BF172" s="13">
        <f t="shared" si="167"/>
        <v>2.136562777003313E-12</v>
      </c>
      <c r="BG172" s="20">
        <f t="shared" si="168"/>
        <v>3.9806453659427267E-12</v>
      </c>
      <c r="BH172" s="59">
        <f t="shared" si="116"/>
        <v>293.33333333333729</v>
      </c>
      <c r="BI172" s="59">
        <f ca="1">AVERAGE(OFFSET($BH$3,0,0,'Données projet'!$E$11+1,1))-AVERAGE(OFFSET($H$3,0,0,'Données projet'!$E$11+1,1))</f>
        <v>310.44153296396854</v>
      </c>
      <c r="BJ172" s="59">
        <f t="shared" si="146"/>
        <v>388.05195847800502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11.453806948497052</v>
      </c>
      <c r="BQ172" s="21">
        <f>EXP(-LN(2)/25)*BQ171+(1-EXP(-LN(2)/25))/(LN(2)/25)*Calculateur!BL172*Calculateur!BN172*VLOOKUP('Données projet'!$B$11,Paramètres!$A$1:$I$89,3,0)*0.475*44/12</f>
        <v>0.34085473219273882</v>
      </c>
      <c r="BR172" s="21">
        <f>EXP(-LN(2)/2)*BR171+(1-EXP(-LN(2)/2))/(LN(2)/2)*BL172*BO172*VLOOKUP('Données projet'!$B$11,Paramètres!$A$1:$I$89,3,0)*0.475*44/12</f>
        <v>5.1738451605035801E-14</v>
      </c>
      <c r="BS172" s="22">
        <f t="shared" si="169"/>
        <v>11.794661680689842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-2.2737367544323206E-13</v>
      </c>
      <c r="BZ172" s="13">
        <f>BY172*VLOOKUP('Données projet'!$B$12,Paramètres!$A$1:$I$89,3,0)*VLOOKUP('Données projet'!$B$12,Paramètres!$A$1:$I$89,5,0)</f>
        <v>-1.2710188457276673E-13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443.34220761968419</v>
      </c>
      <c r="CE172" s="59">
        <f t="shared" si="148"/>
        <v>546.58234447298014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29.381113543832807</v>
      </c>
      <c r="CL172" s="21">
        <f>EXP(-LN(2)/25)*CL171+(1-EXP(-LN(2)/25))/(LN(2)/25)*Calculateur!CG172*Calculateur!CI172*VLOOKUP('Données projet'!$B$12,Paramètres!$A$1:$I$89,3,0)*0.475*44/12</f>
        <v>2.9527821487814916</v>
      </c>
      <c r="CM172" s="21">
        <f>EXP(-LN(2)/2)*CM171+(1-EXP(-LN(2)/2))/(LN(2)/2)*CG172*CJ172*VLOOKUP('Données projet'!$B$12,Paramètres!$A$1:$I$89,3,0)*0.475*44/12</f>
        <v>1.6952449281201123E-15</v>
      </c>
      <c r="CN172" s="22">
        <f t="shared" si="172"/>
        <v>32.333895692614298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>
        <f>CT172*VLOOKUP('Données projet'!$B$13,Paramètres!$A$1:$I$89,3,0)*VLOOKUP('Données projet'!$B$13,Paramètres!$A$1:$I$89,5,0)</f>
        <v>0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214.22606988805535</v>
      </c>
      <c r="CZ172" s="59">
        <f t="shared" si="150"/>
        <v>305.78163836959078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16.485514645735169</v>
      </c>
      <c r="DG172" s="21">
        <f>EXP(-LN(2)/25)*DG171+(1-EXP(-LN(2)/25))/(LN(2)/25)*Calculateur!DB172*Calculateur!DD172*VLOOKUP('Données projet'!$B$13,Paramètres!$A$1:$I$89,3,0)*0.475*44/12</f>
        <v>1.7305300768124314</v>
      </c>
      <c r="DH172" s="21">
        <f>EXP(-LN(2)/2)*DH171+(1-EXP(-LN(2)/2))/(LN(2)/2)*DB172*DE172*VLOOKUP('Données projet'!$B$13,Paramètres!$A$1:$I$89,3,0)*0.475*44/12</f>
        <v>7.4090525453455827E-16</v>
      </c>
      <c r="DI172" s="22">
        <f t="shared" si="175"/>
        <v>18.216044722547601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-1.7053025658242404E-13</v>
      </c>
      <c r="DP172" s="17">
        <f>DO172*VLOOKUP('Données projet'!$B$14,Paramètres!$A$1:$I$89,3,0)*VLOOKUP('Données projet'!$B$14,Paramètres!$A$1:$I$89,5,0)</f>
        <v>-1.383341441396624E-13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304.26232113495314</v>
      </c>
      <c r="DU172" s="59">
        <f t="shared" si="152"/>
        <v>297.47246687305056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18.088037853321605</v>
      </c>
      <c r="EB172" s="21">
        <f>EXP(-LN(2)/25)*EB171+(1-EXP(-LN(2)/25))/(LN(2)/25)*Calculateur!DW172*Calculateur!DY172*VLOOKUP('Données projet'!$B$14,Paramètres!$A$1:$I$89,3,0)*0.475*44/12</f>
        <v>0.24512679328543593</v>
      </c>
      <c r="EC172" s="21">
        <f>EXP(-LN(2)/2)*EC171+(1-EXP(-LN(2)/2))/(LN(2)/2)*DW172*DZ172*VLOOKUP('Données projet'!$B$14,Paramètres!$A$1:$I$89,3,0)*0.475*44/12</f>
        <v>1.7054091801200885E-12</v>
      </c>
      <c r="ED172" s="22">
        <f t="shared" si="178"/>
        <v>18.333164646608747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-1.7053025658242404E-13</v>
      </c>
      <c r="EK172" s="17">
        <f>EJ172*VLOOKUP('Données projet'!$B$15,Paramètres!$A$1:$I$89,3,0)*VLOOKUP('Données projet'!$B$15,Paramètres!$A$1:$I$89,5,0)</f>
        <v>-1.6493686416652052E-13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355.72173590705142</v>
      </c>
      <c r="EP172" s="59">
        <f t="shared" si="154"/>
        <v>346.30980704469363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17.497354469141985</v>
      </c>
      <c r="EW172" s="21">
        <f>EXP(-LN(2)/25)*EW171+(1-EXP(-LN(2)/25))/(LN(2)/25)*Calculateur!ER172*Calculateur!ET172*VLOOKUP('Données projet'!$B$15,Paramètres!$A$1:$I$89,3,0)*0.475*44/12</f>
        <v>0.23712192703155746</v>
      </c>
      <c r="EX172" s="21">
        <f>EXP(-LN(2)/2)*EX171+(1-EXP(-LN(2)/2))/(LN(2)/2)*ER172*EU172*VLOOKUP('Données projet'!$B$15,Paramètres!$A$1:$I$89,3,0)*0.475*44/12</f>
        <v>2.0333724839893292E-12</v>
      </c>
      <c r="EY172" s="22">
        <f t="shared" si="181"/>
        <v>17.734476396175577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-1.7053025658242404E-13</v>
      </c>
      <c r="FF172" s="17">
        <f>FE172*VLOOKUP('Données projet'!$B$16,Paramètres!$A$1:$I$89,3,0)*VLOOKUP('Données projet'!$B$16,Paramètres!$A$1:$I$89,5,0)</f>
        <v>-1.250327841262333E-13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278.45534008146865</v>
      </c>
      <c r="FK172" s="59">
        <f t="shared" si="156"/>
        <v>272.97841038165217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13.264123549188296</v>
      </c>
      <c r="FR172" s="21">
        <f>EXP(-LN(2)/25)*FR171+(1-EXP(-LN(2)/25))/(LN(2)/25)*Calculateur!FM172*Calculateur!FO172*VLOOKUP('Données projet'!$B$16,Paramètres!$A$1:$I$89,3,0)*0.475*44/12</f>
        <v>0.17975371887876113</v>
      </c>
      <c r="FS172" s="21">
        <f>EXP(-LN(2)/2)*FS171+(1-EXP(-LN(2)/2))/(LN(2)/2)*FM172*FP172*VLOOKUP('Données projet'!$B$16,Paramètres!$A$1:$I$89,3,0)*0.475*44/12</f>
        <v>1.5414275281854606E-12</v>
      </c>
      <c r="FT172" s="22">
        <f t="shared" si="184"/>
        <v>13.443877268068599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6</v>
      </c>
      <c r="N173" s="13">
        <f>IF('Données projet'!$A$36&gt;35,N172+M173-V172,IF(A173&lt;'Données projet'!$A$36,$K$205^A173,IF(A173='Données projet'!$A$36,'Données projet'!$B$36,N172+M173-V172)))</f>
        <v>392.99999999999972</v>
      </c>
      <c r="O173" s="13">
        <f>N173*VLOOKUP('Données projet'!$B$9,Paramètres!$A$1:$I$89,3,0)*VLOOKUP('Données projet'!$B$9,Paramètres!$A$1:$I$89,5,0)</f>
        <v>355.58639999999974</v>
      </c>
      <c r="P173" s="13">
        <f t="shared" si="141"/>
        <v>82.711746753583299</v>
      </c>
      <c r="Q173" s="20">
        <f t="shared" si="162"/>
        <v>763.36927226249054</v>
      </c>
      <c r="R173" s="59">
        <f t="shared" si="109"/>
        <v>1056.7026055958238</v>
      </c>
      <c r="S173" s="59">
        <f ca="1">AVERAGE(OFFSET($R$3,0,0,'Données projet'!$E$9+1,1))-AVERAGE(OFFSET($H$3,0,0,'Données projet'!$E$9+1,1))</f>
        <v>436.03161778768742</v>
      </c>
      <c r="T173" s="59">
        <f t="shared" si="142"/>
        <v>217.65884352525285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40.318638902266017</v>
      </c>
      <c r="AA173" s="21">
        <f>EXP(-LN(2)/25)*AA172+(1-EXP(-LN(2)/25))/(LN(2)/25)*Calculateur!V173*Calculateur!X173*VLOOKUP('Données projet'!$B$9,Paramètres!$A$1:$I$89,3,0)*0.475*44/12</f>
        <v>8.0770925051223976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48.395731407388411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6</v>
      </c>
      <c r="AI173" s="13">
        <f>IF('Données projet'!$A$62&gt;35,AI172+AH173-AQ172,IF(A173&lt;'Données projet'!$A$62,$AF$205^A173,IF(A173='Données projet'!$A$62,'Données projet'!$B$62,AI172+AH173-AQ172)))</f>
        <v>392.99999999999972</v>
      </c>
      <c r="AJ173" s="13">
        <f>AI173*VLOOKUP('Données projet'!$B$10,Paramètres!$A$1:$I$89,3,0)*VLOOKUP('Données projet'!$B$10,Paramètres!$A$1:$I$89,5,0)</f>
        <v>398.50199999999973</v>
      </c>
      <c r="AK173" s="13">
        <f t="shared" si="164"/>
        <v>91.47290242452118</v>
      </c>
      <c r="AL173" s="20">
        <f t="shared" si="165"/>
        <v>853.3729550560405</v>
      </c>
      <c r="AM173" s="59">
        <f t="shared" si="113"/>
        <v>1146.7062883893739</v>
      </c>
      <c r="AN173" s="59">
        <f ca="1">AVERAGE(OFFSET($AM$3,0,0,'Données projet'!$E$10+1,1))-AVERAGE(OFFSET($H$3,0,0,'Données projet'!$E$10+1,1))</f>
        <v>483.45320081988984</v>
      </c>
      <c r="AO173" s="59">
        <f t="shared" si="144"/>
        <v>238.92443174298893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45.18468152840159</v>
      </c>
      <c r="AV173" s="21">
        <f>EXP(-LN(2)/25)*AV172+(1-EXP(-LN(2)/25))/(LN(2)/25)*Calculateur!AQ173*Calculateur!AS173*VLOOKUP('Données projet'!$B$10,Paramètres!$A$1:$I$89,3,0)*0.475*44/12</f>
        <v>9.0519140143613104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54.236595542762899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1.7053025658242404E-13</v>
      </c>
      <c r="BE173" s="13">
        <f>BD173*VLOOKUP('Données projet'!$B$11,Paramètres!$A$1:$I$89,3,0)*VLOOKUP('Données projet'!$B$11,Paramètres!$A$1:$I$89,5,0)</f>
        <v>1.4897523215040567E-13</v>
      </c>
      <c r="BF173" s="13">
        <f t="shared" si="167"/>
        <v>2.136562777003313E-12</v>
      </c>
      <c r="BG173" s="20">
        <f t="shared" si="168"/>
        <v>3.9806453659427267E-12</v>
      </c>
      <c r="BH173" s="59">
        <f t="shared" si="116"/>
        <v>293.33333333333729</v>
      </c>
      <c r="BI173" s="59">
        <f ca="1">AVERAGE(OFFSET($BH$3,0,0,'Données projet'!$E$11+1,1))-AVERAGE(OFFSET($H$3,0,0,'Données projet'!$E$11+1,1))</f>
        <v>310.44153296396854</v>
      </c>
      <c r="BJ173" s="59">
        <f t="shared" si="146"/>
        <v>388.05195847800502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11.229204780369439</v>
      </c>
      <c r="BQ173" s="21">
        <f>EXP(-LN(2)/25)*BQ172+(1-EXP(-LN(2)/25))/(LN(2)/25)*Calculateur!BL173*Calculateur!BN173*VLOOKUP('Données projet'!$B$11,Paramètres!$A$1:$I$89,3,0)*0.475*44/12</f>
        <v>0.33153404161615702</v>
      </c>
      <c r="BR173" s="21">
        <f>EXP(-LN(2)/2)*BR172+(1-EXP(-LN(2)/2))/(LN(2)/2)*BL173*BO173*VLOOKUP('Données projet'!$B$11,Paramètres!$A$1:$I$89,3,0)*0.475*44/12</f>
        <v>3.6584609978012828E-14</v>
      </c>
      <c r="BS173" s="22">
        <f t="shared" si="169"/>
        <v>11.560738821985634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-2.2737367544323206E-13</v>
      </c>
      <c r="BZ173" s="13">
        <f>BY173*VLOOKUP('Données projet'!$B$12,Paramètres!$A$1:$I$89,3,0)*VLOOKUP('Données projet'!$B$12,Paramètres!$A$1:$I$89,5,0)</f>
        <v>-1.2710188457276673E-13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443.34220761968419</v>
      </c>
      <c r="CE173" s="59">
        <f t="shared" si="148"/>
        <v>546.58234447298014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28.804967827947983</v>
      </c>
      <c r="CL173" s="21">
        <f>EXP(-LN(2)/25)*CL172+(1-EXP(-LN(2)/25))/(LN(2)/25)*Calculateur!CG173*Calculateur!CI173*VLOOKUP('Données projet'!$B$12,Paramètres!$A$1:$I$89,3,0)*0.475*44/12</f>
        <v>2.872038165642997</v>
      </c>
      <c r="CM173" s="21">
        <f>EXP(-LN(2)/2)*CM172+(1-EXP(-LN(2)/2))/(LN(2)/2)*CG173*CJ173*VLOOKUP('Données projet'!$B$12,Paramètres!$A$1:$I$89,3,0)*0.475*44/12</f>
        <v>1.1987191844458327E-15</v>
      </c>
      <c r="CN173" s="22">
        <f t="shared" si="172"/>
        <v>31.677005993590981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>
        <f>CT173*VLOOKUP('Données projet'!$B$13,Paramètres!$A$1:$I$89,3,0)*VLOOKUP('Données projet'!$B$13,Paramètres!$A$1:$I$89,5,0)</f>
        <v>0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214.22606988805535</v>
      </c>
      <c r="CZ173" s="59">
        <f t="shared" si="150"/>
        <v>305.78163836959078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16.162243758703369</v>
      </c>
      <c r="DG173" s="21">
        <f>EXP(-LN(2)/25)*DG172+(1-EXP(-LN(2)/25))/(LN(2)/25)*Calculateur!DB173*Calculateur!DD173*VLOOKUP('Données projet'!$B$13,Paramètres!$A$1:$I$89,3,0)*0.475*44/12</f>
        <v>1.6832086408573739</v>
      </c>
      <c r="DH173" s="21">
        <f>EXP(-LN(2)/2)*DH172+(1-EXP(-LN(2)/2))/(LN(2)/2)*DB173*DE173*VLOOKUP('Données projet'!$B$13,Paramètres!$A$1:$I$89,3,0)*0.475*44/12</f>
        <v>5.2389912969813118E-16</v>
      </c>
      <c r="DI173" s="22">
        <f t="shared" si="175"/>
        <v>17.845452399560742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-1.7053025658242404E-13</v>
      </c>
      <c r="DP173" s="17">
        <f>DO173*VLOOKUP('Données projet'!$B$14,Paramètres!$A$1:$I$89,3,0)*VLOOKUP('Données projet'!$B$14,Paramètres!$A$1:$I$89,5,0)</f>
        <v>-1.383341441396624E-13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304.26232113495314</v>
      </c>
      <c r="DU173" s="59">
        <f t="shared" si="152"/>
        <v>297.47246687305056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17.733342463631679</v>
      </c>
      <c r="EB173" s="21">
        <f>EXP(-LN(2)/25)*EB172+(1-EXP(-LN(2)/25))/(LN(2)/25)*Calculateur!DW173*Calculateur!DY173*VLOOKUP('Données projet'!$B$14,Paramètres!$A$1:$I$89,3,0)*0.475*44/12</f>
        <v>0.23842378823238788</v>
      </c>
      <c r="EC173" s="21">
        <f>EXP(-LN(2)/2)*EC172+(1-EXP(-LN(2)/2))/(LN(2)/2)*DW173*DZ173*VLOOKUP('Données projet'!$B$14,Paramètres!$A$1:$I$89,3,0)*0.475*44/12</f>
        <v>1.2059063959607048E-12</v>
      </c>
      <c r="ED173" s="22">
        <f t="shared" si="178"/>
        <v>17.971766251865272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-1.7053025658242404E-13</v>
      </c>
      <c r="EK173" s="17">
        <f>EJ173*VLOOKUP('Données projet'!$B$15,Paramètres!$A$1:$I$89,3,0)*VLOOKUP('Données projet'!$B$15,Paramètres!$A$1:$I$89,5,0)</f>
        <v>-1.6493686416652052E-13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355.72173590705142</v>
      </c>
      <c r="EP173" s="59">
        <f t="shared" si="154"/>
        <v>346.30980704469363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17.154242020334532</v>
      </c>
      <c r="EW173" s="21">
        <f>EXP(-LN(2)/25)*EW172+(1-EXP(-LN(2)/25))/(LN(2)/25)*Calculateur!ER173*Calculateur!ET173*VLOOKUP('Données projet'!$B$15,Paramètres!$A$1:$I$89,3,0)*0.475*44/12</f>
        <v>0.23063781546717932</v>
      </c>
      <c r="EX173" s="21">
        <f>EXP(-LN(2)/2)*EX172+(1-EXP(-LN(2)/2))/(LN(2)/2)*ER173*EU173*VLOOKUP('Données projet'!$B$15,Paramètres!$A$1:$I$89,3,0)*0.475*44/12</f>
        <v>1.4378114721069893E-12</v>
      </c>
      <c r="EY173" s="22">
        <f t="shared" si="181"/>
        <v>17.384879835803151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-1.7053025658242404E-13</v>
      </c>
      <c r="FF173" s="17">
        <f>FE173*VLOOKUP('Données projet'!$B$16,Paramètres!$A$1:$I$89,3,0)*VLOOKUP('Données projet'!$B$16,Paramètres!$A$1:$I$89,5,0)</f>
        <v>-1.250327841262333E-13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278.45534008146865</v>
      </c>
      <c r="FK173" s="59">
        <f t="shared" si="156"/>
        <v>272.97841038165217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13.004022176705226</v>
      </c>
      <c r="FR173" s="21">
        <f>EXP(-LN(2)/25)*FR172+(1-EXP(-LN(2)/25))/(LN(2)/25)*Calculateur!FM173*Calculateur!FO173*VLOOKUP('Données projet'!$B$16,Paramètres!$A$1:$I$89,3,0)*0.475*44/12</f>
        <v>0.17483834398318415</v>
      </c>
      <c r="FS173" s="21">
        <f>EXP(-LN(2)/2)*FS172+(1-EXP(-LN(2)/2))/(LN(2)/2)*FM173*FP173*VLOOKUP('Données projet'!$B$16,Paramètres!$A$1:$I$89,3,0)*0.475*44/12</f>
        <v>1.0899538578875573E-12</v>
      </c>
      <c r="FT173" s="22">
        <f t="shared" si="184"/>
        <v>13.178860520689501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>
        <f>VLOOKUP(A174,'Données projet'!$A$35:$I$55,2,0)</f>
        <v>399</v>
      </c>
      <c r="L174" s="12">
        <f>VLOOKUP(A174,'Données projet'!$A$35:$I$55,9,0)</f>
        <v>6</v>
      </c>
      <c r="M174" s="12">
        <f t="array" ref="M174">INDEX(L:L,MIN(IF(ISNUMBER(L174:L370),ROW(L174:L370),"")))</f>
        <v>6</v>
      </c>
      <c r="N174" s="13">
        <f>IF('Données projet'!$A$36&gt;35,N173+M174-V173,IF(A174&lt;'Données projet'!$A$36,$K$205^A174,IF(A174='Données projet'!$A$36,'Données projet'!$B$36,N173+M174-V173)))</f>
        <v>398.99999999999972</v>
      </c>
      <c r="O174" s="13">
        <f>N174*VLOOKUP('Données projet'!$B$9,Paramètres!$A$1:$I$89,3,0)*VLOOKUP('Données projet'!$B$9,Paramètres!$A$1:$I$89,5,0)</f>
        <v>361.01519999999971</v>
      </c>
      <c r="P174" s="13">
        <f t="shared" si="141"/>
        <v>83.826548686038024</v>
      </c>
      <c r="Q174" s="20">
        <f t="shared" si="162"/>
        <v>774.76604562818238</v>
      </c>
      <c r="R174" s="59">
        <f t="shared" si="109"/>
        <v>1068.0993789615156</v>
      </c>
      <c r="S174" s="59">
        <f ca="1">AVERAGE(OFFSET($R$3,0,0,'Données projet'!$E$9+1,1))-AVERAGE(OFFSET($H$3,0,0,'Données projet'!$E$9+1,1))</f>
        <v>436.03161778768742</v>
      </c>
      <c r="T174" s="59">
        <f t="shared" si="142"/>
        <v>217.65884352525285</v>
      </c>
      <c r="U174" s="15" t="str">
        <f>IF(ISNA(VLOOKUP(A174,'Données projet'!$A$35:$I$55,3,0)),0,VLOOKUP(A174,'Données projet'!$A$35:$I$55,3,0))</f>
        <v>CR</v>
      </c>
      <c r="V174" s="15">
        <f>IF(ISNA(VLOOKUP(A174,'Données projet'!$A$35:$I$55,4,0)),0,VLOOKUP(A174,'Données projet'!$A$35:$I$55,4,0))</f>
        <v>399</v>
      </c>
      <c r="W174" s="16">
        <f>IF(ISNA(VLOOKUP(A174,'Données projet'!$A$35:$I$55,5,0)),0%,VLOOKUP(A174,'Données projet'!$A$35:$I$55,5,0)*VLOOKUP('Données projet'!$B$9,Paramètres!$A$1:$I$89,7,0))</f>
        <v>0.30099999999999999</v>
      </c>
      <c r="X174" s="16">
        <f>IF(ISNA(VLOOKUP(A174,'Données projet'!$A$35:$I$55,6,0)),0%,VLOOKUP(A174,'Données projet'!$A$35:$I$55,6,0)*VLOOKUP('Données projet'!$B$9,Paramètres!$A$1:$I$89,7,0))</f>
        <v>4.3000000000000003E-2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159.65458964384439</v>
      </c>
      <c r="AA174" s="21">
        <f>EXP(-LN(2)/25)*AA173+(1-EXP(-LN(2)/25))/(LN(2)/25)*Calculateur!V174*Calculateur!X174*VLOOKUP('Données projet'!$B$9,Paramètres!$A$1:$I$89,3,0)*0.475*44/12</f>
        <v>24.94959406613776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184.60418370998215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>
        <f>VLOOKUP(A174,'Données projet'!$A$61:$I$81,2,0)</f>
        <v>399</v>
      </c>
      <c r="AG174" s="12">
        <f>VLOOKUP(A174,'Données projet'!$A$61:$I$81,9,0)</f>
        <v>6</v>
      </c>
      <c r="AH174" s="12">
        <f t="array" ref="AH174">INDEX(AG:AG,MIN(IF(ISNUMBER(AG174:AG370),ROW(AG174:AG370),"")))</f>
        <v>6</v>
      </c>
      <c r="AI174" s="13">
        <f>IF('Données projet'!$A$62&gt;35,AI173+AH174-AQ173,IF(A174&lt;'Données projet'!$A$62,$AF$205^A174,IF(A174='Données projet'!$A$62,'Données projet'!$B$62,AI173+AH174-AQ173)))</f>
        <v>398.99999999999972</v>
      </c>
      <c r="AJ174" s="13">
        <f>AI174*VLOOKUP('Données projet'!$B$10,Paramètres!$A$1:$I$89,3,0)*VLOOKUP('Données projet'!$B$10,Paramètres!$A$1:$I$89,5,0)</f>
        <v>404.58599999999979</v>
      </c>
      <c r="AK174" s="13">
        <f t="shared" si="164"/>
        <v>92.705788591148689</v>
      </c>
      <c r="AL174" s="20">
        <f t="shared" si="165"/>
        <v>866.11653179625011</v>
      </c>
      <c r="AM174" s="59">
        <f t="shared" si="113"/>
        <v>1159.4498651295835</v>
      </c>
      <c r="AN174" s="59">
        <f ca="1">AVERAGE(OFFSET($AM$3,0,0,'Données projet'!$E$10+1,1))-AVERAGE(OFFSET($H$3,0,0,'Données projet'!$E$10+1,1))</f>
        <v>483.45320081988984</v>
      </c>
      <c r="AO174" s="59">
        <f t="shared" si="144"/>
        <v>238.92443174298893</v>
      </c>
      <c r="AP174" s="15" t="str">
        <f>IF(ISNA(VLOOKUP(A174,'Données projet'!$A$61:$I$81,3,0)),0,VLOOKUP(A174,'Données projet'!$A$61:$I$81,3,0))</f>
        <v>CR</v>
      </c>
      <c r="AQ174" s="15">
        <f>IF(ISNA(VLOOKUP(A174,'Données projet'!$A$61:$I$81,4,0)),0,VLOOKUP(A174,'Données projet'!$A$61:$I$81,4,0))</f>
        <v>399</v>
      </c>
      <c r="AR174" s="16">
        <f>IF(ISNA(VLOOKUP(A174,'Données projet'!$A$61:$I$81,5,0)),0%,VLOOKUP(A174,'Données projet'!$A$61:$I$81,5,0)*VLOOKUP('Données projet'!$B$10,Paramètres!$A$1:$I$89,7,0))</f>
        <v>0.30099999999999999</v>
      </c>
      <c r="AS174" s="16">
        <f>IF(ISNA(VLOOKUP(A174,'Données projet'!$A$61:$I$81,6,0)),0%,VLOOKUP(A174,'Données projet'!$A$61:$I$81,6,0)*VLOOKUP('Données projet'!$B$10,Paramètres!$A$1:$I$89,7,0))</f>
        <v>4.3000000000000003E-2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178.92324701465321</v>
      </c>
      <c r="AV174" s="21">
        <f>EXP(-LN(2)/25)*AV173+(1-EXP(-LN(2)/25))/(LN(2)/25)*Calculateur!AQ174*Calculateur!AS174*VLOOKUP('Données projet'!$B$10,Paramètres!$A$1:$I$89,3,0)*0.475*44/12</f>
        <v>27.960751970671634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206.88399898532484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1.7053025658242404E-13</v>
      </c>
      <c r="BE174" s="13">
        <f>BD174*VLOOKUP('Données projet'!$B$11,Paramètres!$A$1:$I$89,3,0)*VLOOKUP('Données projet'!$B$11,Paramètres!$A$1:$I$89,5,0)</f>
        <v>1.4897523215040567E-13</v>
      </c>
      <c r="BF174" s="13">
        <f t="shared" si="167"/>
        <v>2.136562777003313E-12</v>
      </c>
      <c r="BG174" s="20">
        <f t="shared" si="168"/>
        <v>3.9806453659427267E-12</v>
      </c>
      <c r="BH174" s="59">
        <f t="shared" si="116"/>
        <v>293.33333333333729</v>
      </c>
      <c r="BI174" s="59">
        <f ca="1">AVERAGE(OFFSET($BH$3,0,0,'Données projet'!$E$11+1,1))-AVERAGE(OFFSET($H$3,0,0,'Données projet'!$E$11+1,1))</f>
        <v>310.44153296396854</v>
      </c>
      <c r="BJ174" s="59">
        <f t="shared" si="146"/>
        <v>388.05195847800502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11.009006923765014</v>
      </c>
      <c r="BQ174" s="21">
        <f>EXP(-LN(2)/25)*BQ173+(1-EXP(-LN(2)/25))/(LN(2)/25)*Calculateur!BL174*Calculateur!BN174*VLOOKUP('Données projet'!$B$11,Paramètres!$A$1:$I$89,3,0)*0.475*44/12</f>
        <v>0.32246822581354567</v>
      </c>
      <c r="BR174" s="21">
        <f>EXP(-LN(2)/2)*BR173+(1-EXP(-LN(2)/2))/(LN(2)/2)*BL174*BO174*VLOOKUP('Données projet'!$B$11,Paramètres!$A$1:$I$89,3,0)*0.475*44/12</f>
        <v>2.58692258025179E-14</v>
      </c>
      <c r="BS174" s="22">
        <f t="shared" si="169"/>
        <v>11.331475149578587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-2.2737367544323206E-13</v>
      </c>
      <c r="BZ174" s="13">
        <f>BY174*VLOOKUP('Données projet'!$B$12,Paramètres!$A$1:$I$89,3,0)*VLOOKUP('Données projet'!$B$12,Paramètres!$A$1:$I$89,5,0)</f>
        <v>-1.2710188457276673E-13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443.34220761968419</v>
      </c>
      <c r="CE174" s="59">
        <f t="shared" si="148"/>
        <v>546.58234447298014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28.240119978137475</v>
      </c>
      <c r="CL174" s="21">
        <f>EXP(-LN(2)/25)*CL173+(1-EXP(-LN(2)/25))/(LN(2)/25)*Calculateur!CG174*Calculateur!CI174*VLOOKUP('Données projet'!$B$12,Paramètres!$A$1:$I$89,3,0)*0.475*44/12</f>
        <v>2.793502130969566</v>
      </c>
      <c r="CM174" s="21">
        <f>EXP(-LN(2)/2)*CM173+(1-EXP(-LN(2)/2))/(LN(2)/2)*CG174*CJ174*VLOOKUP('Données projet'!$B$12,Paramètres!$A$1:$I$89,3,0)*0.475*44/12</f>
        <v>8.4762246406005616E-16</v>
      </c>
      <c r="CN174" s="22">
        <f t="shared" si="172"/>
        <v>31.033622109107043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>
        <f>CT174*VLOOKUP('Données projet'!$B$13,Paramètres!$A$1:$I$89,3,0)*VLOOKUP('Données projet'!$B$13,Paramètres!$A$1:$I$89,5,0)</f>
        <v>0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214.22606988805535</v>
      </c>
      <c r="CZ174" s="59">
        <f t="shared" si="150"/>
        <v>305.78163836959078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15.845312016590492</v>
      </c>
      <c r="DG174" s="21">
        <f>EXP(-LN(2)/25)*DG173+(1-EXP(-LN(2)/25))/(LN(2)/25)*Calculateur!DB174*Calculateur!DD174*VLOOKUP('Données projet'!$B$13,Paramètres!$A$1:$I$89,3,0)*0.475*44/12</f>
        <v>1.6371812120570335</v>
      </c>
      <c r="DH174" s="21">
        <f>EXP(-LN(2)/2)*DH173+(1-EXP(-LN(2)/2))/(LN(2)/2)*DB174*DE174*VLOOKUP('Données projet'!$B$13,Paramètres!$A$1:$I$89,3,0)*0.475*44/12</f>
        <v>3.7045262726727914E-16</v>
      </c>
      <c r="DI174" s="22">
        <f t="shared" si="175"/>
        <v>17.482493228647527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-1.7053025658242404E-13</v>
      </c>
      <c r="DP174" s="17">
        <f>DO174*VLOOKUP('Données projet'!$B$14,Paramètres!$A$1:$I$89,3,0)*VLOOKUP('Données projet'!$B$14,Paramètres!$A$1:$I$89,5,0)</f>
        <v>-1.383341441396624E-13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304.26232113495314</v>
      </c>
      <c r="DU174" s="59">
        <f t="shared" si="152"/>
        <v>297.47246687305056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17.385602434190748</v>
      </c>
      <c r="EB174" s="21">
        <f>EXP(-LN(2)/25)*EB173+(1-EXP(-LN(2)/25))/(LN(2)/25)*Calculateur!DW174*Calculateur!DY174*VLOOKUP('Données projet'!$B$14,Paramètres!$A$1:$I$89,3,0)*0.475*44/12</f>
        <v>0.23190407720501113</v>
      </c>
      <c r="EC174" s="21">
        <f>EXP(-LN(2)/2)*EC173+(1-EXP(-LN(2)/2))/(LN(2)/2)*DW174*DZ174*VLOOKUP('Données projet'!$B$14,Paramètres!$A$1:$I$89,3,0)*0.475*44/12</f>
        <v>8.5270459006004424E-13</v>
      </c>
      <c r="ED174" s="22">
        <f t="shared" si="178"/>
        <v>17.617506511396613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-1.7053025658242404E-13</v>
      </c>
      <c r="EK174" s="17">
        <f>EJ174*VLOOKUP('Données projet'!$B$15,Paramètres!$A$1:$I$89,3,0)*VLOOKUP('Données projet'!$B$15,Paramètres!$A$1:$I$89,5,0)</f>
        <v>-1.6493686416652052E-13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355.72173590705142</v>
      </c>
      <c r="EP174" s="59">
        <f t="shared" si="154"/>
        <v>346.30980704469363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16.817857797370262</v>
      </c>
      <c r="EW174" s="21">
        <f>EXP(-LN(2)/25)*EW173+(1-EXP(-LN(2)/25))/(LN(2)/25)*Calculateur!ER174*Calculateur!ET174*VLOOKUP('Données projet'!$B$15,Paramètres!$A$1:$I$89,3,0)*0.475*44/12</f>
        <v>0.22433101227451371</v>
      </c>
      <c r="EX174" s="21">
        <f>EXP(-LN(2)/2)*EX173+(1-EXP(-LN(2)/2))/(LN(2)/2)*ER174*EU174*VLOOKUP('Données projet'!$B$15,Paramètres!$A$1:$I$89,3,0)*0.475*44/12</f>
        <v>1.0166862419946646E-12</v>
      </c>
      <c r="EY174" s="22">
        <f t="shared" si="181"/>
        <v>17.042188809645793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-1.7053025658242404E-13</v>
      </c>
      <c r="FF174" s="17">
        <f>FE174*VLOOKUP('Données projet'!$B$16,Paramètres!$A$1:$I$89,3,0)*VLOOKUP('Données projet'!$B$16,Paramètres!$A$1:$I$89,5,0)</f>
        <v>-1.250327841262333E-13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278.45534008146865</v>
      </c>
      <c r="FK174" s="59">
        <f t="shared" si="156"/>
        <v>272.97841038165217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12.749021233490376</v>
      </c>
      <c r="FR174" s="21">
        <f>EXP(-LN(2)/25)*FR173+(1-EXP(-LN(2)/25))/(LN(2)/25)*Calculateur!FM174*Calculateur!FO174*VLOOKUP('Données projet'!$B$16,Paramètres!$A$1:$I$89,3,0)*0.475*44/12</f>
        <v>0.17005738027261508</v>
      </c>
      <c r="FS174" s="21">
        <f>EXP(-LN(2)/2)*FS173+(1-EXP(-LN(2)/2))/(LN(2)/2)*FM174*FP174*VLOOKUP('Données projet'!$B$16,Paramètres!$A$1:$I$89,3,0)*0.475*44/12</f>
        <v>7.7071376409273032E-13</v>
      </c>
      <c r="FT174" s="22">
        <f t="shared" si="184"/>
        <v>12.919078613763762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-2.8421709430404007E-13</v>
      </c>
      <c r="O175" s="13">
        <f>N175*VLOOKUP('Données projet'!$B$9,Paramètres!$A$1:$I$89,3,0)*VLOOKUP('Données projet'!$B$9,Paramètres!$A$1:$I$89,5,0)</f>
        <v>-2.5715962692629546E-13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436.03161778768742</v>
      </c>
      <c r="T175" s="59">
        <f t="shared" si="142"/>
        <v>217.65884352525285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156.52386052061283</v>
      </c>
      <c r="AA175" s="21">
        <f>EXP(-LN(2)/25)*AA174+(1-EXP(-LN(2)/25))/(LN(2)/25)*Calculateur!V175*Calculateur!X175*VLOOKUP('Données projet'!$B$9,Paramètres!$A$1:$I$89,3,0)*0.475*44/12</f>
        <v>24.267346104357095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180.79120662496993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-2.8421709430404007E-13</v>
      </c>
      <c r="AJ175" s="13">
        <f>AI175*VLOOKUP('Données projet'!$B$10,Paramètres!$A$1:$I$89,3,0)*VLOOKUP('Données projet'!$B$10,Paramètres!$A$1:$I$89,5,0)</f>
        <v>-2.8819613362429665E-13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483.45320081988984</v>
      </c>
      <c r="AO175" s="59">
        <f t="shared" si="144"/>
        <v>238.92443174298893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175.41467127310062</v>
      </c>
      <c r="AV175" s="21">
        <f>EXP(-LN(2)/25)*AV174+(1-EXP(-LN(2)/25))/(LN(2)/25)*Calculateur!AQ175*Calculateur!AS175*VLOOKUP('Données projet'!$B$10,Paramètres!$A$1:$I$89,3,0)*0.475*44/12</f>
        <v>27.196163737641577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202.61083501074219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1.7053025658242404E-13</v>
      </c>
      <c r="BE175" s="13">
        <f>BD175*VLOOKUP('Données projet'!$B$11,Paramètres!$A$1:$I$89,3,0)*VLOOKUP('Données projet'!$B$11,Paramètres!$A$1:$I$89,5,0)</f>
        <v>1.4897523215040567E-13</v>
      </c>
      <c r="BF175" s="13">
        <f t="shared" si="167"/>
        <v>2.136562777003313E-12</v>
      </c>
      <c r="BG175" s="20">
        <f t="shared" si="168"/>
        <v>3.9806453659427267E-12</v>
      </c>
      <c r="BH175" s="59">
        <f t="shared" si="116"/>
        <v>293.33333333333729</v>
      </c>
      <c r="BI175" s="59">
        <f ca="1">AVERAGE(OFFSET($BH$3,0,0,'Données projet'!$E$11+1,1))-AVERAGE(OFFSET($H$3,0,0,'Données projet'!$E$11+1,1))</f>
        <v>310.44153296396854</v>
      </c>
      <c r="BJ175" s="59">
        <f t="shared" si="146"/>
        <v>388.05195847800502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10.793127012821172</v>
      </c>
      <c r="BQ175" s="21">
        <f>EXP(-LN(2)/25)*BQ174+(1-EXP(-LN(2)/25))/(LN(2)/25)*Calculateur!BL175*Calculateur!BN175*VLOOKUP('Données projet'!$B$11,Paramètres!$A$1:$I$89,3,0)*0.475*44/12</f>
        <v>0.31365031522080727</v>
      </c>
      <c r="BR175" s="21">
        <f>EXP(-LN(2)/2)*BR174+(1-EXP(-LN(2)/2))/(LN(2)/2)*BL175*BO175*VLOOKUP('Données projet'!$B$11,Paramètres!$A$1:$I$89,3,0)*0.475*44/12</f>
        <v>1.8292304989006414E-14</v>
      </c>
      <c r="BS175" s="22">
        <f t="shared" si="169"/>
        <v>11.106777328041996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-2.2737367544323206E-13</v>
      </c>
      <c r="BZ175" s="13">
        <f>BY175*VLOOKUP('Données projet'!$B$12,Paramètres!$A$1:$I$89,3,0)*VLOOKUP('Données projet'!$B$12,Paramètres!$A$1:$I$89,5,0)</f>
        <v>-1.2710188457276673E-13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443.34220761968419</v>
      </c>
      <c r="CE175" s="59">
        <f t="shared" si="148"/>
        <v>546.58234447298014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27.686348450138581</v>
      </c>
      <c r="CL175" s="21">
        <f>EXP(-LN(2)/25)*CL174+(1-EXP(-LN(2)/25))/(LN(2)/25)*Calculateur!CG175*Calculateur!CI175*VLOOKUP('Données projet'!$B$12,Paramètres!$A$1:$I$89,3,0)*0.475*44/12</f>
        <v>2.7171136682943109</v>
      </c>
      <c r="CM175" s="21">
        <f>EXP(-LN(2)/2)*CM174+(1-EXP(-LN(2)/2))/(LN(2)/2)*CG175*CJ175*VLOOKUP('Données projet'!$B$12,Paramètres!$A$1:$I$89,3,0)*0.475*44/12</f>
        <v>5.9935959222291637E-16</v>
      </c>
      <c r="CN175" s="22">
        <f t="shared" si="172"/>
        <v>30.403462118432891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>
        <f>CT175*VLOOKUP('Données projet'!$B$13,Paramètres!$A$1:$I$89,3,0)*VLOOKUP('Données projet'!$B$13,Paramètres!$A$1:$I$89,5,0)</f>
        <v>0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214.22606988805535</v>
      </c>
      <c r="CZ175" s="59">
        <f t="shared" si="150"/>
        <v>305.78163836959078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15.534595112631175</v>
      </c>
      <c r="DG175" s="21">
        <f>EXP(-LN(2)/25)*DG174+(1-EXP(-LN(2)/25))/(LN(2)/25)*Calculateur!DB175*Calculateur!DD175*VLOOKUP('Données projet'!$B$13,Paramètres!$A$1:$I$89,3,0)*0.475*44/12</f>
        <v>1.5924124057177158</v>
      </c>
      <c r="DH175" s="21">
        <f>EXP(-LN(2)/2)*DH174+(1-EXP(-LN(2)/2))/(LN(2)/2)*DB175*DE175*VLOOKUP('Données projet'!$B$13,Paramètres!$A$1:$I$89,3,0)*0.475*44/12</f>
        <v>2.6194956484906559E-16</v>
      </c>
      <c r="DI175" s="22">
        <f t="shared" si="175"/>
        <v>17.12700751834889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-1.7053025658242404E-13</v>
      </c>
      <c r="DP175" s="17">
        <f>DO175*VLOOKUP('Données projet'!$B$14,Paramètres!$A$1:$I$89,3,0)*VLOOKUP('Données projet'!$B$14,Paramètres!$A$1:$I$89,5,0)</f>
        <v>-1.383341441396624E-13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304.26232113495314</v>
      </c>
      <c r="DU175" s="59">
        <f t="shared" si="152"/>
        <v>297.47246687305056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17.044681374626677</v>
      </c>
      <c r="EB175" s="21">
        <f>EXP(-LN(2)/25)*EB174+(1-EXP(-LN(2)/25))/(LN(2)/25)*Calculateur!DW175*Calculateur!DY175*VLOOKUP('Données projet'!$B$14,Paramètres!$A$1:$I$89,3,0)*0.475*44/12</f>
        <v>0.22556264801853471</v>
      </c>
      <c r="EC175" s="21">
        <f>EXP(-LN(2)/2)*EC174+(1-EXP(-LN(2)/2))/(LN(2)/2)*DW175*DZ175*VLOOKUP('Données projet'!$B$14,Paramètres!$A$1:$I$89,3,0)*0.475*44/12</f>
        <v>6.029531979803524E-13</v>
      </c>
      <c r="ED175" s="22">
        <f t="shared" si="178"/>
        <v>17.270244022645816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-1.7053025658242404E-13</v>
      </c>
      <c r="EK175" s="17">
        <f>EJ175*VLOOKUP('Données projet'!$B$15,Paramètres!$A$1:$I$89,3,0)*VLOOKUP('Données projet'!$B$15,Paramètres!$A$1:$I$89,5,0)</f>
        <v>-1.6493686416652052E-13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355.72173590705142</v>
      </c>
      <c r="EP175" s="59">
        <f t="shared" si="154"/>
        <v>346.30980704469363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16.488069863844206</v>
      </c>
      <c r="EW175" s="21">
        <f>EXP(-LN(2)/25)*EW174+(1-EXP(-LN(2)/25))/(LN(2)/25)*Calculateur!ER175*Calculateur!ET175*VLOOKUP('Données projet'!$B$15,Paramètres!$A$1:$I$89,3,0)*0.475*44/12</f>
        <v>0.21819666894681192</v>
      </c>
      <c r="EX175" s="21">
        <f>EXP(-LN(2)/2)*EX174+(1-EXP(-LN(2)/2))/(LN(2)/2)*ER175*EU175*VLOOKUP('Données projet'!$B$15,Paramètres!$A$1:$I$89,3,0)*0.475*44/12</f>
        <v>7.1890573605349464E-13</v>
      </c>
      <c r="EY175" s="22">
        <f t="shared" si="181"/>
        <v>16.706266532791737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-1.7053025658242404E-13</v>
      </c>
      <c r="FF175" s="17">
        <f>FE175*VLOOKUP('Données projet'!$B$16,Paramètres!$A$1:$I$89,3,0)*VLOOKUP('Données projet'!$B$16,Paramètres!$A$1:$I$89,5,0)</f>
        <v>-1.250327841262333E-13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278.45534008146865</v>
      </c>
      <c r="FK175" s="59">
        <f t="shared" si="156"/>
        <v>272.97841038165217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12.499020703236752</v>
      </c>
      <c r="FR175" s="21">
        <f>EXP(-LN(2)/25)*FR174+(1-EXP(-LN(2)/25))/(LN(2)/25)*Calculateur!FM175*Calculateur!FO175*VLOOKUP('Données projet'!$B$16,Paramètres!$A$1:$I$89,3,0)*0.475*44/12</f>
        <v>0.16540715226613145</v>
      </c>
      <c r="FS175" s="21">
        <f>EXP(-LN(2)/2)*FS174+(1-EXP(-LN(2)/2))/(LN(2)/2)*FM175*FP175*VLOOKUP('Données projet'!$B$16,Paramètres!$A$1:$I$89,3,0)*0.475*44/12</f>
        <v>5.4497692894377866E-13</v>
      </c>
      <c r="FT175" s="22">
        <f t="shared" si="184"/>
        <v>12.66442785550343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-2.8421709430404007E-13</v>
      </c>
      <c r="O176" s="13">
        <f>N176*VLOOKUP('Données projet'!$B$9,Paramètres!$A$1:$I$89,3,0)*VLOOKUP('Données projet'!$B$9,Paramètres!$A$1:$I$89,5,0)</f>
        <v>-2.5715962692629546E-13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436.03161778768742</v>
      </c>
      <c r="T176" s="59">
        <f t="shared" si="142"/>
        <v>217.65884352525285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153.45452308593164</v>
      </c>
      <c r="AA176" s="21">
        <f>EXP(-LN(2)/25)*AA175+(1-EXP(-LN(2)/25))/(LN(2)/25)*Calculateur!V176*Calculateur!X176*VLOOKUP('Données projet'!$B$9,Paramètres!$A$1:$I$89,3,0)*0.475*44/12</f>
        <v>23.603754248969182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177.05827733490082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-2.8421709430404007E-13</v>
      </c>
      <c r="AJ176" s="13">
        <f>AI176*VLOOKUP('Données projet'!$B$10,Paramètres!$A$1:$I$89,3,0)*VLOOKUP('Données projet'!$B$10,Paramètres!$A$1:$I$89,5,0)</f>
        <v>-2.8819613362429665E-13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483.45320081988984</v>
      </c>
      <c r="AO176" s="59">
        <f t="shared" si="144"/>
        <v>238.92443174298893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171.97489656181997</v>
      </c>
      <c r="AV176" s="21">
        <f>EXP(-LN(2)/25)*AV175+(1-EXP(-LN(2)/25))/(LN(2)/25)*Calculateur!AQ176*Calculateur!AS176*VLOOKUP('Données projet'!$B$10,Paramètres!$A$1:$I$89,3,0)*0.475*44/12</f>
        <v>26.452483210051675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198.42737977187164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1.7053025658242404E-13</v>
      </c>
      <c r="BE176" s="13">
        <f>BD176*VLOOKUP('Données projet'!$B$11,Paramètres!$A$1:$I$89,3,0)*VLOOKUP('Données projet'!$B$11,Paramètres!$A$1:$I$89,5,0)</f>
        <v>1.4897523215040567E-13</v>
      </c>
      <c r="BF176" s="13">
        <f t="shared" si="167"/>
        <v>2.136562777003313E-12</v>
      </c>
      <c r="BG176" s="20">
        <f t="shared" si="168"/>
        <v>3.9806453659427267E-12</v>
      </c>
      <c r="BH176" s="59">
        <f t="shared" si="116"/>
        <v>293.33333333333729</v>
      </c>
      <c r="BI176" s="59">
        <f ca="1">AVERAGE(OFFSET($BH$3,0,0,'Données projet'!$E$11+1,1))-AVERAGE(OFFSET($H$3,0,0,'Données projet'!$E$11+1,1))</f>
        <v>310.44153296396854</v>
      </c>
      <c r="BJ176" s="59">
        <f t="shared" si="146"/>
        <v>388.05195847800502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10.581480375257193</v>
      </c>
      <c r="BQ176" s="21">
        <f>EXP(-LN(2)/25)*BQ175+(1-EXP(-LN(2)/25))/(LN(2)/25)*Calculateur!BL176*Calculateur!BN176*VLOOKUP('Données projet'!$B$11,Paramètres!$A$1:$I$89,3,0)*0.475*44/12</f>
        <v>0.30507353085694106</v>
      </c>
      <c r="BR176" s="21">
        <f>EXP(-LN(2)/2)*BR175+(1-EXP(-LN(2)/2))/(LN(2)/2)*BL176*BO176*VLOOKUP('Données projet'!$B$11,Paramètres!$A$1:$I$89,3,0)*0.475*44/12</f>
        <v>1.293461290125895E-14</v>
      </c>
      <c r="BS176" s="22">
        <f t="shared" si="169"/>
        <v>10.886553906114147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-2.2737367544323206E-13</v>
      </c>
      <c r="BZ176" s="13">
        <f>BY176*VLOOKUP('Données projet'!$B$12,Paramètres!$A$1:$I$89,3,0)*VLOOKUP('Données projet'!$B$12,Paramètres!$A$1:$I$89,5,0)</f>
        <v>-1.2710188457276673E-13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443.34220761968419</v>
      </c>
      <c r="CE176" s="59">
        <f t="shared" si="148"/>
        <v>546.58234447298014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27.143436044036466</v>
      </c>
      <c r="CL176" s="21">
        <f>EXP(-LN(2)/25)*CL175+(1-EXP(-LN(2)/25))/(LN(2)/25)*Calculateur!CG176*Calculateur!CI176*VLOOKUP('Données projet'!$B$12,Paramètres!$A$1:$I$89,3,0)*0.475*44/12</f>
        <v>2.642814052148005</v>
      </c>
      <c r="CM176" s="21">
        <f>EXP(-LN(2)/2)*CM175+(1-EXP(-LN(2)/2))/(LN(2)/2)*CG176*CJ176*VLOOKUP('Données projet'!$B$12,Paramètres!$A$1:$I$89,3,0)*0.475*44/12</f>
        <v>4.2381123203002808E-16</v>
      </c>
      <c r="CN176" s="22">
        <f t="shared" si="172"/>
        <v>29.786250096184471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>
        <f>CT176*VLOOKUP('Données projet'!$B$13,Paramètres!$A$1:$I$89,3,0)*VLOOKUP('Données projet'!$B$13,Paramètres!$A$1:$I$89,5,0)</f>
        <v>0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214.22606988805535</v>
      </c>
      <c r="CZ176" s="59">
        <f t="shared" si="150"/>
        <v>305.78163836959078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15.229971177639902</v>
      </c>
      <c r="DG176" s="21">
        <f>EXP(-LN(2)/25)*DG175+(1-EXP(-LN(2)/25))/(LN(2)/25)*Calculateur!DB176*Calculateur!DD176*VLOOKUP('Données projet'!$B$13,Paramètres!$A$1:$I$89,3,0)*0.475*44/12</f>
        <v>1.5488678047420359</v>
      </c>
      <c r="DH176" s="21">
        <f>EXP(-LN(2)/2)*DH175+(1-EXP(-LN(2)/2))/(LN(2)/2)*DB176*DE176*VLOOKUP('Données projet'!$B$13,Paramètres!$A$1:$I$89,3,0)*0.475*44/12</f>
        <v>1.8522631363363957E-16</v>
      </c>
      <c r="DI176" s="22">
        <f t="shared" si="175"/>
        <v>16.778838982381938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-1.7053025658242404E-13</v>
      </c>
      <c r="DP176" s="17">
        <f>DO176*VLOOKUP('Données projet'!$B$14,Paramètres!$A$1:$I$89,3,0)*VLOOKUP('Données projet'!$B$14,Paramètres!$A$1:$I$89,5,0)</f>
        <v>-1.383341441396624E-13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304.26232113495314</v>
      </c>
      <c r="DU176" s="59">
        <f t="shared" si="152"/>
        <v>297.47246687305056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16.710445569099345</v>
      </c>
      <c r="EB176" s="21">
        <f>EXP(-LN(2)/25)*EB175+(1-EXP(-LN(2)/25))/(LN(2)/25)*Calculateur!DW176*Calculateur!DY176*VLOOKUP('Données projet'!$B$14,Paramètres!$A$1:$I$89,3,0)*0.475*44/12</f>
        <v>0.21939462554664374</v>
      </c>
      <c r="EC176" s="21">
        <f>EXP(-LN(2)/2)*EC175+(1-EXP(-LN(2)/2))/(LN(2)/2)*DW176*DZ176*VLOOKUP('Données projet'!$B$14,Paramètres!$A$1:$I$89,3,0)*0.475*44/12</f>
        <v>4.2635229503002212E-13</v>
      </c>
      <c r="ED176" s="22">
        <f t="shared" si="178"/>
        <v>16.929840194646417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-1.7053025658242404E-13</v>
      </c>
      <c r="EK176" s="17">
        <f>EJ176*VLOOKUP('Données projet'!$B$15,Paramètres!$A$1:$I$89,3,0)*VLOOKUP('Données projet'!$B$15,Paramètres!$A$1:$I$89,5,0)</f>
        <v>-1.6493686416652052E-13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355.72173590705142</v>
      </c>
      <c r="EP176" s="59">
        <f t="shared" si="154"/>
        <v>346.30980704469363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16.164748870543818</v>
      </c>
      <c r="EW176" s="21">
        <f>EXP(-LN(2)/25)*EW175+(1-EXP(-LN(2)/25))/(LN(2)/25)*Calculateur!ER176*Calculateur!ET176*VLOOKUP('Données projet'!$B$15,Paramètres!$A$1:$I$89,3,0)*0.475*44/12</f>
        <v>0.21223006955999721</v>
      </c>
      <c r="EX176" s="21">
        <f>EXP(-LN(2)/2)*EX175+(1-EXP(-LN(2)/2))/(LN(2)/2)*ER176*EU176*VLOOKUP('Données projet'!$B$15,Paramètres!$A$1:$I$89,3,0)*0.475*44/12</f>
        <v>5.0834312099733231E-13</v>
      </c>
      <c r="EY176" s="22">
        <f t="shared" si="181"/>
        <v>16.376978940104323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-1.7053025658242404E-13</v>
      </c>
      <c r="FF176" s="17">
        <f>FE176*VLOOKUP('Données projet'!$B$16,Paramètres!$A$1:$I$89,3,0)*VLOOKUP('Données projet'!$B$16,Paramètres!$A$1:$I$89,5,0)</f>
        <v>-1.250327841262333E-13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278.45534008146865</v>
      </c>
      <c r="FK176" s="59">
        <f t="shared" si="156"/>
        <v>272.97841038165217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12.253922530896135</v>
      </c>
      <c r="FR176" s="21">
        <f>EXP(-LN(2)/25)*FR175+(1-EXP(-LN(2)/25))/(LN(2)/25)*Calculateur!FM176*Calculateur!FO176*VLOOKUP('Données projet'!$B$16,Paramètres!$A$1:$I$89,3,0)*0.475*44/12</f>
        <v>0.16088408498902998</v>
      </c>
      <c r="FS176" s="21">
        <f>EXP(-LN(2)/2)*FS175+(1-EXP(-LN(2)/2))/(LN(2)/2)*FM176*FP176*VLOOKUP('Données projet'!$B$16,Paramètres!$A$1:$I$89,3,0)*0.475*44/12</f>
        <v>3.8535688204636516E-13</v>
      </c>
      <c r="FT176" s="22">
        <f t="shared" si="184"/>
        <v>12.414806615885551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-2.8421709430404007E-13</v>
      </c>
      <c r="O177" s="13">
        <f>N177*VLOOKUP('Données projet'!$B$9,Paramètres!$A$1:$I$89,3,0)*VLOOKUP('Données projet'!$B$9,Paramètres!$A$1:$I$89,5,0)</f>
        <v>-2.5715962692629546E-13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436.03161778768742</v>
      </c>
      <c r="T177" s="59">
        <f t="shared" si="142"/>
        <v>217.65884352525285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150.44537348623356</v>
      </c>
      <c r="AA177" s="21">
        <f>EXP(-LN(2)/25)*AA176+(1-EXP(-LN(2)/25))/(LN(2)/25)*Calculateur!V177*Calculateur!X177*VLOOKUP('Données projet'!$B$9,Paramètres!$A$1:$I$89,3,0)*0.475*44/12</f>
        <v>22.95830834776363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173.40368183399718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-2.8421709430404007E-13</v>
      </c>
      <c r="AJ177" s="13">
        <f>AI177*VLOOKUP('Données projet'!$B$10,Paramètres!$A$1:$I$89,3,0)*VLOOKUP('Données projet'!$B$10,Paramètres!$A$1:$I$89,5,0)</f>
        <v>-2.8819613362429665E-13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483.45320081988984</v>
      </c>
      <c r="AO177" s="59">
        <f t="shared" si="144"/>
        <v>238.92443174298893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168.60257373457213</v>
      </c>
      <c r="AV177" s="21">
        <f>EXP(-LN(2)/25)*AV176+(1-EXP(-LN(2)/25))/(LN(2)/25)*Calculateur!AQ177*Calculateur!AS177*VLOOKUP('Données projet'!$B$10,Paramètres!$A$1:$I$89,3,0)*0.475*44/12</f>
        <v>25.729138665597176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194.33171240016929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1.7053025658242404E-13</v>
      </c>
      <c r="BE177" s="13">
        <f>BD177*VLOOKUP('Données projet'!$B$11,Paramètres!$A$1:$I$89,3,0)*VLOOKUP('Données projet'!$B$11,Paramètres!$A$1:$I$89,5,0)</f>
        <v>1.4897523215040567E-13</v>
      </c>
      <c r="BF177" s="13">
        <f t="shared" si="167"/>
        <v>2.136562777003313E-12</v>
      </c>
      <c r="BG177" s="20">
        <f t="shared" si="168"/>
        <v>3.9806453659427267E-12</v>
      </c>
      <c r="BH177" s="59">
        <f t="shared" si="116"/>
        <v>293.33333333333729</v>
      </c>
      <c r="BI177" s="59">
        <f ca="1">AVERAGE(OFFSET($BH$3,0,0,'Données projet'!$E$11+1,1))-AVERAGE(OFFSET($H$3,0,0,'Données projet'!$E$11+1,1))</f>
        <v>310.44153296396854</v>
      </c>
      <c r="BJ177" s="59">
        <f t="shared" si="146"/>
        <v>388.05195847800502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10.373983999164142</v>
      </c>
      <c r="BQ177" s="21">
        <f>EXP(-LN(2)/25)*BQ176+(1-EXP(-LN(2)/25))/(LN(2)/25)*Calculateur!BL177*Calculateur!BN177*VLOOKUP('Données projet'!$B$11,Paramètres!$A$1:$I$89,3,0)*0.475*44/12</f>
        <v>0.29673127911253827</v>
      </c>
      <c r="BR177" s="21">
        <f>EXP(-LN(2)/2)*BR176+(1-EXP(-LN(2)/2))/(LN(2)/2)*BL177*BO177*VLOOKUP('Données projet'!$B$11,Paramètres!$A$1:$I$89,3,0)*0.475*44/12</f>
        <v>9.146152494503207E-15</v>
      </c>
      <c r="BS177" s="22">
        <f t="shared" si="169"/>
        <v>10.67071527827669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-2.2737367544323206E-13</v>
      </c>
      <c r="BZ177" s="13">
        <f>BY177*VLOOKUP('Données projet'!$B$12,Paramètres!$A$1:$I$89,3,0)*VLOOKUP('Données projet'!$B$12,Paramètres!$A$1:$I$89,5,0)</f>
        <v>-1.2710188457276673E-13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443.34220761968419</v>
      </c>
      <c r="CE177" s="59">
        <f t="shared" si="148"/>
        <v>546.58234447298014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26.611169819074142</v>
      </c>
      <c r="CL177" s="21">
        <f>EXP(-LN(2)/25)*CL176+(1-EXP(-LN(2)/25))/(LN(2)/25)*Calculateur!CG177*Calculateur!CI177*VLOOKUP('Données projet'!$B$12,Paramètres!$A$1:$I$89,3,0)*0.475*44/12</f>
        <v>2.5705461629124668</v>
      </c>
      <c r="CM177" s="21">
        <f>EXP(-LN(2)/2)*CM176+(1-EXP(-LN(2)/2))/(LN(2)/2)*CG177*CJ177*VLOOKUP('Données projet'!$B$12,Paramètres!$A$1:$I$89,3,0)*0.475*44/12</f>
        <v>2.9967979611145818E-16</v>
      </c>
      <c r="CN177" s="22">
        <f t="shared" si="172"/>
        <v>29.18171598198661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>
        <f>CT177*VLOOKUP('Données projet'!$B$13,Paramètres!$A$1:$I$89,3,0)*VLOOKUP('Données projet'!$B$13,Paramètres!$A$1:$I$89,5,0)</f>
        <v>0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214.22606988805535</v>
      </c>
      <c r="CZ177" s="59">
        <f t="shared" si="150"/>
        <v>305.78163836959078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14.931320732211553</v>
      </c>
      <c r="DG177" s="21">
        <f>EXP(-LN(2)/25)*DG176+(1-EXP(-LN(2)/25))/(LN(2)/25)*Calculateur!DB177*Calculateur!DD177*VLOOKUP('Données projet'!$B$13,Paramètres!$A$1:$I$89,3,0)*0.475*44/12</f>
        <v>1.5065139331699471</v>
      </c>
      <c r="DH177" s="21">
        <f>EXP(-LN(2)/2)*DH176+(1-EXP(-LN(2)/2))/(LN(2)/2)*DB177*DE177*VLOOKUP('Données projet'!$B$13,Paramètres!$A$1:$I$89,3,0)*0.475*44/12</f>
        <v>1.309747824245328E-16</v>
      </c>
      <c r="DI177" s="22">
        <f t="shared" si="175"/>
        <v>16.437834665381502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-1.7053025658242404E-13</v>
      </c>
      <c r="DP177" s="17">
        <f>DO177*VLOOKUP('Données projet'!$B$14,Paramètres!$A$1:$I$89,3,0)*VLOOKUP('Données projet'!$B$14,Paramètres!$A$1:$I$89,5,0)</f>
        <v>-1.383341441396624E-13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304.26232113495314</v>
      </c>
      <c r="DU177" s="59">
        <f t="shared" si="152"/>
        <v>297.47246687305056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16.382763923854693</v>
      </c>
      <c r="EB177" s="21">
        <f>EXP(-LN(2)/25)*EB176+(1-EXP(-LN(2)/25))/(LN(2)/25)*Calculateur!DW177*Calculateur!DY177*VLOOKUP('Données projet'!$B$14,Paramètres!$A$1:$I$89,3,0)*0.475*44/12</f>
        <v>0.21339526797360883</v>
      </c>
      <c r="EC177" s="21">
        <f>EXP(-LN(2)/2)*EC176+(1-EXP(-LN(2)/2))/(LN(2)/2)*DW177*DZ177*VLOOKUP('Données projet'!$B$14,Paramètres!$A$1:$I$89,3,0)*0.475*44/12</f>
        <v>3.014765989901762E-13</v>
      </c>
      <c r="ED177" s="22">
        <f t="shared" si="178"/>
        <v>16.596159191828605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-1.7053025658242404E-13</v>
      </c>
      <c r="EK177" s="17">
        <f>EJ177*VLOOKUP('Données projet'!$B$15,Paramètres!$A$1:$I$89,3,0)*VLOOKUP('Données projet'!$B$15,Paramètres!$A$1:$I$89,5,0)</f>
        <v>-1.6493686416652052E-13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355.72173590705142</v>
      </c>
      <c r="EP177" s="59">
        <f t="shared" si="154"/>
        <v>346.30980704469363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15.847768004715718</v>
      </c>
      <c r="EW177" s="21">
        <f>EXP(-LN(2)/25)*EW176+(1-EXP(-LN(2)/25))/(LN(2)/25)*Calculateur!ER177*Calculateur!ET177*VLOOKUP('Données projet'!$B$15,Paramètres!$A$1:$I$89,3,0)*0.475*44/12</f>
        <v>0.20642662714718479</v>
      </c>
      <c r="EX177" s="21">
        <f>EXP(-LN(2)/2)*EX176+(1-EXP(-LN(2)/2))/(LN(2)/2)*ER177*EU177*VLOOKUP('Données projet'!$B$15,Paramètres!$A$1:$I$89,3,0)*0.475*44/12</f>
        <v>3.5945286802674732E-13</v>
      </c>
      <c r="EY177" s="22">
        <f t="shared" si="181"/>
        <v>16.054194631863261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-1.7053025658242404E-13</v>
      </c>
      <c r="FF177" s="17">
        <f>FE177*VLOOKUP('Données projet'!$B$16,Paramètres!$A$1:$I$89,3,0)*VLOOKUP('Données projet'!$B$16,Paramètres!$A$1:$I$89,5,0)</f>
        <v>-1.250327841262333E-13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278.45534008146865</v>
      </c>
      <c r="FK177" s="59">
        <f t="shared" si="156"/>
        <v>272.97841038165217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12.013630584219994</v>
      </c>
      <c r="FR177" s="21">
        <f>EXP(-LN(2)/25)*FR176+(1-EXP(-LN(2)/25))/(LN(2)/25)*Calculateur!FM177*Calculateur!FO177*VLOOKUP('Données projet'!$B$16,Paramètres!$A$1:$I$89,3,0)*0.475*44/12</f>
        <v>0.15648470122447863</v>
      </c>
      <c r="FS177" s="21">
        <f>EXP(-LN(2)/2)*FS176+(1-EXP(-LN(2)/2))/(LN(2)/2)*FM177*FP177*VLOOKUP('Données projet'!$B$16,Paramètres!$A$1:$I$89,3,0)*0.475*44/12</f>
        <v>2.7248846447188933E-13</v>
      </c>
      <c r="FT177" s="22">
        <f t="shared" si="184"/>
        <v>12.170115285444744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-2.8421709430404007E-13</v>
      </c>
      <c r="O178" s="13">
        <f>N178*VLOOKUP('Données projet'!$B$9,Paramètres!$A$1:$I$89,3,0)*VLOOKUP('Données projet'!$B$9,Paramètres!$A$1:$I$89,5,0)</f>
        <v>-2.5715962692629546E-13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436.03161778768742</v>
      </c>
      <c r="T178" s="59">
        <f t="shared" si="142"/>
        <v>217.65884352525285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147.49523147478556</v>
      </c>
      <c r="AA178" s="21">
        <f>EXP(-LN(2)/25)*AA177+(1-EXP(-LN(2)/25))/(LN(2)/25)*Calculateur!V178*Calculateur!X178*VLOOKUP('Données projet'!$B$9,Paramètres!$A$1:$I$89,3,0)*0.475*44/12</f>
        <v>22.330512198669069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169.82574367345461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-2.8421709430404007E-13</v>
      </c>
      <c r="AJ178" s="13">
        <f>AI178*VLOOKUP('Données projet'!$B$10,Paramètres!$A$1:$I$89,3,0)*VLOOKUP('Données projet'!$B$10,Paramètres!$A$1:$I$89,5,0)</f>
        <v>-2.8819613362429665E-13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483.45320081988984</v>
      </c>
      <c r="AO178" s="59">
        <f t="shared" si="144"/>
        <v>238.92443174298893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165.29638010105279</v>
      </c>
      <c r="AV178" s="21">
        <f>EXP(-LN(2)/25)*AV177+(1-EXP(-LN(2)/25))/(LN(2)/25)*Calculateur!AQ178*Calculateur!AS178*VLOOKUP('Données projet'!$B$10,Paramètres!$A$1:$I$89,3,0)*0.475*44/12</f>
        <v>25.025574015749825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190.3219541168026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1.7053025658242404E-13</v>
      </c>
      <c r="BE178" s="13">
        <f>BD178*VLOOKUP('Données projet'!$B$11,Paramètres!$A$1:$I$89,3,0)*VLOOKUP('Données projet'!$B$11,Paramètres!$A$1:$I$89,5,0)</f>
        <v>1.4897523215040567E-13</v>
      </c>
      <c r="BF178" s="13">
        <f t="shared" si="167"/>
        <v>2.136562777003313E-12</v>
      </c>
      <c r="BG178" s="20">
        <f t="shared" si="168"/>
        <v>3.9806453659427267E-12</v>
      </c>
      <c r="BH178" s="59">
        <f t="shared" si="116"/>
        <v>293.33333333333729</v>
      </c>
      <c r="BI178" s="59">
        <f ca="1">AVERAGE(OFFSET($BH$3,0,0,'Données projet'!$E$11+1,1))-AVERAGE(OFFSET($H$3,0,0,'Données projet'!$E$11+1,1))</f>
        <v>310.44153296396854</v>
      </c>
      <c r="BJ178" s="59">
        <f t="shared" si="146"/>
        <v>388.05195847800502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10.170556500445985</v>
      </c>
      <c r="BQ178" s="21">
        <f>EXP(-LN(2)/25)*BQ177+(1-EXP(-LN(2)/25))/(LN(2)/25)*Calculateur!BL178*Calculateur!BN178*VLOOKUP('Données projet'!$B$11,Paramètres!$A$1:$I$89,3,0)*0.475*44/12</f>
        <v>0.28861714668078614</v>
      </c>
      <c r="BR178" s="21">
        <f>EXP(-LN(2)/2)*BR177+(1-EXP(-LN(2)/2))/(LN(2)/2)*BL178*BO178*VLOOKUP('Données projet'!$B$11,Paramètres!$A$1:$I$89,3,0)*0.475*44/12</f>
        <v>6.4673064506294751E-15</v>
      </c>
      <c r="BS178" s="22">
        <f t="shared" si="169"/>
        <v>10.459173647126779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-2.2737367544323206E-13</v>
      </c>
      <c r="BZ178" s="13">
        <f>BY178*VLOOKUP('Données projet'!$B$12,Paramètres!$A$1:$I$89,3,0)*VLOOKUP('Données projet'!$B$12,Paramètres!$A$1:$I$89,5,0)</f>
        <v>-1.2710188457276673E-13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443.34220761968419</v>
      </c>
      <c r="CE178" s="59">
        <f t="shared" si="148"/>
        <v>546.58234447298014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26.089341010132991</v>
      </c>
      <c r="CL178" s="21">
        <f>EXP(-LN(2)/25)*CL177+(1-EXP(-LN(2)/25))/(LN(2)/25)*Calculateur!CG178*Calculateur!CI178*VLOOKUP('Données projet'!$B$12,Paramètres!$A$1:$I$89,3,0)*0.475*44/12</f>
        <v>2.5002544429084779</v>
      </c>
      <c r="CM178" s="21">
        <f>EXP(-LN(2)/2)*CM177+(1-EXP(-LN(2)/2))/(LN(2)/2)*CG178*CJ178*VLOOKUP('Données projet'!$B$12,Paramètres!$A$1:$I$89,3,0)*0.475*44/12</f>
        <v>2.1190561601501404E-16</v>
      </c>
      <c r="CN178" s="22">
        <f t="shared" si="172"/>
        <v>28.589595453041468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>
        <f>CT178*VLOOKUP('Données projet'!$B$13,Paramètres!$A$1:$I$89,3,0)*VLOOKUP('Données projet'!$B$13,Paramètres!$A$1:$I$89,5,0)</f>
        <v>0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214.22606988805535</v>
      </c>
      <c r="CZ178" s="59">
        <f t="shared" si="150"/>
        <v>305.78163836959078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14.638526639859268</v>
      </c>
      <c r="DG178" s="21">
        <f>EXP(-LN(2)/25)*DG177+(1-EXP(-LN(2)/25))/(LN(2)/25)*Calculateur!DB178*Calculateur!DD178*VLOOKUP('Données projet'!$B$13,Paramètres!$A$1:$I$89,3,0)*0.475*44/12</f>
        <v>1.4653182304432903</v>
      </c>
      <c r="DH178" s="21">
        <f>EXP(-LN(2)/2)*DH177+(1-EXP(-LN(2)/2))/(LN(2)/2)*DB178*DE178*VLOOKUP('Données projet'!$B$13,Paramètres!$A$1:$I$89,3,0)*0.475*44/12</f>
        <v>9.2613156816819784E-17</v>
      </c>
      <c r="DI178" s="22">
        <f t="shared" si="175"/>
        <v>16.103844870302559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-1.7053025658242404E-13</v>
      </c>
      <c r="DP178" s="17">
        <f>DO178*VLOOKUP('Données projet'!$B$14,Paramètres!$A$1:$I$89,3,0)*VLOOKUP('Données projet'!$B$14,Paramètres!$A$1:$I$89,5,0)</f>
        <v>-1.383341441396624E-13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304.26232113495314</v>
      </c>
      <c r="DU178" s="59">
        <f t="shared" si="152"/>
        <v>297.47246687305056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16.061507915807219</v>
      </c>
      <c r="EB178" s="21">
        <f>EXP(-LN(2)/25)*EB177+(1-EXP(-LN(2)/25))/(LN(2)/25)*Calculateur!DW178*Calculateur!DY178*VLOOKUP('Données projet'!$B$14,Paramètres!$A$1:$I$89,3,0)*0.475*44/12</f>
        <v>0.20755996314890107</v>
      </c>
      <c r="EC178" s="21">
        <f>EXP(-LN(2)/2)*EC177+(1-EXP(-LN(2)/2))/(LN(2)/2)*DW178*DZ178*VLOOKUP('Données projet'!$B$14,Paramètres!$A$1:$I$89,3,0)*0.475*44/12</f>
        <v>2.1317614751501106E-13</v>
      </c>
      <c r="ED178" s="22">
        <f t="shared" si="178"/>
        <v>16.269067878956335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-1.7053025658242404E-13</v>
      </c>
      <c r="EK178" s="17">
        <f>EJ178*VLOOKUP('Données projet'!$B$15,Paramètres!$A$1:$I$89,3,0)*VLOOKUP('Données projet'!$B$15,Paramètres!$A$1:$I$89,5,0)</f>
        <v>-1.6493686416652052E-13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355.72173590705142</v>
      </c>
      <c r="EP178" s="59">
        <f t="shared" si="154"/>
        <v>346.30980704469363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15.53700294032727</v>
      </c>
      <c r="EW178" s="21">
        <f>EXP(-LN(2)/25)*EW177+(1-EXP(-LN(2)/25))/(LN(2)/25)*Calculateur!ER178*Calculateur!ET178*VLOOKUP('Données projet'!$B$15,Paramètres!$A$1:$I$89,3,0)*0.475*44/12</f>
        <v>0.2007818801723405</v>
      </c>
      <c r="EX178" s="21">
        <f>EXP(-LN(2)/2)*EX177+(1-EXP(-LN(2)/2))/(LN(2)/2)*ER178*EU178*VLOOKUP('Données projet'!$B$15,Paramètres!$A$1:$I$89,3,0)*0.475*44/12</f>
        <v>2.5417156049866615E-13</v>
      </c>
      <c r="EY178" s="22">
        <f t="shared" si="181"/>
        <v>15.737784820499865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-1.7053025658242404E-13</v>
      </c>
      <c r="FF178" s="17">
        <f>FE178*VLOOKUP('Données projet'!$B$16,Paramètres!$A$1:$I$89,3,0)*VLOOKUP('Données projet'!$B$16,Paramètres!$A$1:$I$89,5,0)</f>
        <v>-1.250327841262333E-13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278.45534008146865</v>
      </c>
      <c r="FK178" s="59">
        <f t="shared" si="156"/>
        <v>272.97841038165217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11.778050616054557</v>
      </c>
      <c r="FR178" s="21">
        <f>EXP(-LN(2)/25)*FR177+(1-EXP(-LN(2)/25))/(LN(2)/25)*Calculateur!FM178*Calculateur!FO178*VLOOKUP('Données projet'!$B$16,Paramètres!$A$1:$I$89,3,0)*0.475*44/12</f>
        <v>0.15220561884032247</v>
      </c>
      <c r="FS178" s="21">
        <f>EXP(-LN(2)/2)*FS177+(1-EXP(-LN(2)/2))/(LN(2)/2)*FM178*FP178*VLOOKUP('Données projet'!$B$16,Paramètres!$A$1:$I$89,3,0)*0.475*44/12</f>
        <v>1.9267844102318258E-13</v>
      </c>
      <c r="FT178" s="22">
        <f t="shared" si="184"/>
        <v>11.930256234895072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-2.8421709430404007E-13</v>
      </c>
      <c r="O179" s="13">
        <f>N179*VLOOKUP('Données projet'!$B$9,Paramètres!$A$1:$I$89,3,0)*VLOOKUP('Données projet'!$B$9,Paramètres!$A$1:$I$89,5,0)</f>
        <v>-2.5715962692629546E-13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436.03161778768742</v>
      </c>
      <c r="T179" s="59">
        <f t="shared" si="142"/>
        <v>217.65884352525285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144.60293994877307</v>
      </c>
      <c r="AA179" s="21">
        <f>EXP(-LN(2)/25)*AA178+(1-EXP(-LN(2)/25))/(LN(2)/25)*Calculateur!V179*Calculateur!X179*VLOOKUP('Données projet'!$B$9,Paramètres!$A$1:$I$89,3,0)*0.475*44/12</f>
        <v>21.719883168285865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166.32282311705893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-2.8421709430404007E-13</v>
      </c>
      <c r="AJ179" s="13">
        <f>AI179*VLOOKUP('Données projet'!$B$10,Paramètres!$A$1:$I$89,3,0)*VLOOKUP('Données projet'!$B$10,Paramètres!$A$1:$I$89,5,0)</f>
        <v>-2.8819613362429665E-13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483.45320081988984</v>
      </c>
      <c r="AO179" s="59">
        <f t="shared" si="144"/>
        <v>238.92443174298893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162.05501890810777</v>
      </c>
      <c r="AV179" s="21">
        <f>EXP(-LN(2)/25)*AV178+(1-EXP(-LN(2)/25))/(LN(2)/25)*Calculateur!AQ179*Calculateur!AS179*VLOOKUP('Données projet'!$B$10,Paramètres!$A$1:$I$89,3,0)*0.475*44/12</f>
        <v>24.341248378251404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186.39626728635918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1.7053025658242404E-13</v>
      </c>
      <c r="BE179" s="13">
        <f>BD179*VLOOKUP('Données projet'!$B$11,Paramètres!$A$1:$I$89,3,0)*VLOOKUP('Données projet'!$B$11,Paramètres!$A$1:$I$89,5,0)</f>
        <v>1.4897523215040567E-13</v>
      </c>
      <c r="BF179" s="13">
        <f t="shared" si="167"/>
        <v>2.136562777003313E-12</v>
      </c>
      <c r="BG179" s="20">
        <f t="shared" si="168"/>
        <v>3.9806453659427267E-12</v>
      </c>
      <c r="BH179" s="59">
        <f t="shared" si="116"/>
        <v>293.33333333333729</v>
      </c>
      <c r="BI179" s="59">
        <f ca="1">AVERAGE(OFFSET($BH$3,0,0,'Données projet'!$E$11+1,1))-AVERAGE(OFFSET($H$3,0,0,'Données projet'!$E$11+1,1))</f>
        <v>310.44153296396854</v>
      </c>
      <c r="BJ179" s="59">
        <f t="shared" si="146"/>
        <v>388.05195847800502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9.9711180908991661</v>
      </c>
      <c r="BQ179" s="21">
        <f>EXP(-LN(2)/25)*BQ178+(1-EXP(-LN(2)/25))/(LN(2)/25)*Calculateur!BL179*Calculateur!BN179*VLOOKUP('Données projet'!$B$11,Paramètres!$A$1:$I$89,3,0)*0.475*44/12</f>
        <v>0.28072489562708397</v>
      </c>
      <c r="BR179" s="21">
        <f>EXP(-LN(2)/2)*BR178+(1-EXP(-LN(2)/2))/(LN(2)/2)*BL179*BO179*VLOOKUP('Données projet'!$B$11,Paramètres!$A$1:$I$89,3,0)*0.475*44/12</f>
        <v>4.5730762472516035E-15</v>
      </c>
      <c r="BS179" s="22">
        <f t="shared" si="169"/>
        <v>10.251842986526256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-2.2737367544323206E-13</v>
      </c>
      <c r="BZ179" s="13">
        <f>BY179*VLOOKUP('Données projet'!$B$12,Paramètres!$A$1:$I$89,3,0)*VLOOKUP('Données projet'!$B$12,Paramètres!$A$1:$I$89,5,0)</f>
        <v>-1.2710188457276673E-13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443.34220761968419</v>
      </c>
      <c r="CE179" s="59">
        <f t="shared" si="148"/>
        <v>546.58234447298014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25.577744945851027</v>
      </c>
      <c r="CL179" s="21">
        <f>EXP(-LN(2)/25)*CL178+(1-EXP(-LN(2)/25))/(LN(2)/25)*Calculateur!CG179*Calculateur!CI179*VLOOKUP('Données projet'!$B$12,Paramètres!$A$1:$I$89,3,0)*0.475*44/12</f>
        <v>2.4318848536844788</v>
      </c>
      <c r="CM179" s="21">
        <f>EXP(-LN(2)/2)*CM178+(1-EXP(-LN(2)/2))/(LN(2)/2)*CG179*CJ179*VLOOKUP('Données projet'!$B$12,Paramètres!$A$1:$I$89,3,0)*0.475*44/12</f>
        <v>1.4983989805572909E-16</v>
      </c>
      <c r="CN179" s="22">
        <f t="shared" si="172"/>
        <v>28.009629799535507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>
        <f>CT179*VLOOKUP('Données projet'!$B$13,Paramètres!$A$1:$I$89,3,0)*VLOOKUP('Données projet'!$B$13,Paramètres!$A$1:$I$89,5,0)</f>
        <v>0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214.22606988805535</v>
      </c>
      <c r="CZ179" s="59">
        <f t="shared" si="150"/>
        <v>305.78163836959078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14.351474061071251</v>
      </c>
      <c r="DG179" s="21">
        <f>EXP(-LN(2)/25)*DG178+(1-EXP(-LN(2)/25))/(LN(2)/25)*Calculateur!DB179*Calculateur!DD179*VLOOKUP('Données projet'!$B$13,Paramètres!$A$1:$I$89,3,0)*0.475*44/12</f>
        <v>1.4252490263740818</v>
      </c>
      <c r="DH179" s="21">
        <f>EXP(-LN(2)/2)*DH178+(1-EXP(-LN(2)/2))/(LN(2)/2)*DB179*DE179*VLOOKUP('Données projet'!$B$13,Paramètres!$A$1:$I$89,3,0)*0.475*44/12</f>
        <v>6.5487391212266398E-17</v>
      </c>
      <c r="DI179" s="22">
        <f t="shared" si="175"/>
        <v>15.776723087445333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-1.7053025658242404E-13</v>
      </c>
      <c r="DP179" s="17">
        <f>DO179*VLOOKUP('Données projet'!$B$14,Paramètres!$A$1:$I$89,3,0)*VLOOKUP('Données projet'!$B$14,Paramètres!$A$1:$I$89,5,0)</f>
        <v>-1.383341441396624E-13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304.26232113495314</v>
      </c>
      <c r="DU179" s="59">
        <f t="shared" si="152"/>
        <v>297.47246687305056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15.746551542130739</v>
      </c>
      <c r="EB179" s="21">
        <f>EXP(-LN(2)/25)*EB178+(1-EXP(-LN(2)/25))/(LN(2)/25)*Calculateur!DW179*Calculateur!DY179*VLOOKUP('Données projet'!$B$14,Paramètres!$A$1:$I$89,3,0)*0.475*44/12</f>
        <v>0.20188422504149028</v>
      </c>
      <c r="EC179" s="21">
        <f>EXP(-LN(2)/2)*EC178+(1-EXP(-LN(2)/2))/(LN(2)/2)*DW179*DZ179*VLOOKUP('Données projet'!$B$14,Paramètres!$A$1:$I$89,3,0)*0.475*44/12</f>
        <v>1.507382994950881E-13</v>
      </c>
      <c r="ED179" s="22">
        <f t="shared" si="178"/>
        <v>15.948435767172381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-1.7053025658242404E-13</v>
      </c>
      <c r="EK179" s="17">
        <f>EJ179*VLOOKUP('Données projet'!$B$15,Paramètres!$A$1:$I$89,3,0)*VLOOKUP('Données projet'!$B$15,Paramètres!$A$1:$I$89,5,0)</f>
        <v>-1.6493686416652052E-13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355.72173590705142</v>
      </c>
      <c r="EP179" s="59">
        <f t="shared" si="154"/>
        <v>346.30980704469363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15.232331789303505</v>
      </c>
      <c r="EW179" s="21">
        <f>EXP(-LN(2)/25)*EW178+(1-EXP(-LN(2)/25))/(LN(2)/25)*Calculateur!ER179*Calculateur!ET179*VLOOKUP('Données projet'!$B$15,Paramètres!$A$1:$I$89,3,0)*0.475*44/12</f>
        <v>0.19529148910036767</v>
      </c>
      <c r="EX179" s="21">
        <f>EXP(-LN(2)/2)*EX178+(1-EXP(-LN(2)/2))/(LN(2)/2)*ER179*EU179*VLOOKUP('Données projet'!$B$15,Paramètres!$A$1:$I$89,3,0)*0.475*44/12</f>
        <v>1.7972643401337366E-13</v>
      </c>
      <c r="EY179" s="22">
        <f t="shared" si="181"/>
        <v>15.427623278404052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-1.7053025658242404E-13</v>
      </c>
      <c r="FF179" s="17">
        <f>FE179*VLOOKUP('Données projet'!$B$16,Paramètres!$A$1:$I$89,3,0)*VLOOKUP('Données projet'!$B$16,Paramètres!$A$1:$I$89,5,0)</f>
        <v>-1.250327841262333E-13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278.45534008146865</v>
      </c>
      <c r="FK179" s="59">
        <f t="shared" si="156"/>
        <v>272.97841038165217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11.547090227375252</v>
      </c>
      <c r="FR179" s="21">
        <f>EXP(-LN(2)/25)*FR178+(1-EXP(-LN(2)/25))/(LN(2)/25)*Calculateur!FM179*Calculateur!FO179*VLOOKUP('Données projet'!$B$16,Paramètres!$A$1:$I$89,3,0)*0.475*44/12</f>
        <v>0.14804354818898821</v>
      </c>
      <c r="FS179" s="21">
        <f>EXP(-LN(2)/2)*FS178+(1-EXP(-LN(2)/2))/(LN(2)/2)*FM179*FP179*VLOOKUP('Données projet'!$B$16,Paramètres!$A$1:$I$89,3,0)*0.475*44/12</f>
        <v>1.3624423223594467E-13</v>
      </c>
      <c r="FT179" s="22">
        <f t="shared" si="184"/>
        <v>11.695133775564377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-2.8421709430404007E-13</v>
      </c>
      <c r="O180" s="13">
        <f>N180*VLOOKUP('Données projet'!$B$9,Paramètres!$A$1:$I$89,3,0)*VLOOKUP('Données projet'!$B$9,Paramètres!$A$1:$I$89,5,0)</f>
        <v>-2.5715962692629546E-13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436.03161778768742</v>
      </c>
      <c r="T180" s="59">
        <f t="shared" si="142"/>
        <v>217.65884352525285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141.76736449546206</v>
      </c>
      <c r="AA180" s="21">
        <f>EXP(-LN(2)/25)*AA179+(1-EXP(-LN(2)/25))/(LN(2)/25)*Calculateur!V180*Calculateur!X180*VLOOKUP('Données projet'!$B$9,Paramètres!$A$1:$I$89,3,0)*0.475*44/12</f>
        <v>21.125951820850073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162.89331631631214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-2.8421709430404007E-13</v>
      </c>
      <c r="AJ180" s="13">
        <f>AI180*VLOOKUP('Données projet'!$B$10,Paramètres!$A$1:$I$89,3,0)*VLOOKUP('Données projet'!$B$10,Paramètres!$A$1:$I$89,5,0)</f>
        <v>-2.8819613362429665E-13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483.45320081988984</v>
      </c>
      <c r="AO180" s="59">
        <f t="shared" si="144"/>
        <v>238.92443174298893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158.8772188311213</v>
      </c>
      <c r="AV180" s="21">
        <f>EXP(-LN(2)/25)*AV179+(1-EXP(-LN(2)/25))/(LN(2)/25)*Calculateur!AQ180*Calculateur!AS180*VLOOKUP('Données projet'!$B$10,Paramètres!$A$1:$I$89,3,0)*0.475*44/12</f>
        <v>23.675635661297498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182.55285449241879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1.7053025658242404E-13</v>
      </c>
      <c r="BE180" s="13">
        <f>BD180*VLOOKUP('Données projet'!$B$11,Paramètres!$A$1:$I$89,3,0)*VLOOKUP('Données projet'!$B$11,Paramètres!$A$1:$I$89,5,0)</f>
        <v>1.4897523215040567E-13</v>
      </c>
      <c r="BF180" s="13">
        <f t="shared" si="167"/>
        <v>2.136562777003313E-12</v>
      </c>
      <c r="BG180" s="20">
        <f t="shared" si="168"/>
        <v>3.9806453659427267E-12</v>
      </c>
      <c r="BH180" s="59">
        <f t="shared" si="116"/>
        <v>293.33333333333729</v>
      </c>
      <c r="BI180" s="59">
        <f ca="1">AVERAGE(OFFSET($BH$3,0,0,'Données projet'!$E$11+1,1))-AVERAGE(OFFSET($H$3,0,0,'Données projet'!$E$11+1,1))</f>
        <v>310.44153296396854</v>
      </c>
      <c r="BJ180" s="59">
        <f t="shared" si="146"/>
        <v>388.05195847800502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9.7755905469181421</v>
      </c>
      <c r="BQ180" s="21">
        <f>EXP(-LN(2)/25)*BQ179+(1-EXP(-LN(2)/25))/(LN(2)/25)*Calculateur!BL180*Calculateur!BN180*VLOOKUP('Données projet'!$B$11,Paramètres!$A$1:$I$89,3,0)*0.475*44/12</f>
        <v>0.2730484585934807</v>
      </c>
      <c r="BR180" s="21">
        <f>EXP(-LN(2)/2)*BR179+(1-EXP(-LN(2)/2))/(LN(2)/2)*BL180*BO180*VLOOKUP('Données projet'!$B$11,Paramètres!$A$1:$I$89,3,0)*0.475*44/12</f>
        <v>3.2336532253147376E-15</v>
      </c>
      <c r="BS180" s="22">
        <f t="shared" si="169"/>
        <v>10.048639005511626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-2.2737367544323206E-13</v>
      </c>
      <c r="BZ180" s="13">
        <f>BY180*VLOOKUP('Données projet'!$B$12,Paramètres!$A$1:$I$89,3,0)*VLOOKUP('Données projet'!$B$12,Paramètres!$A$1:$I$89,5,0)</f>
        <v>-1.2710188457276673E-13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443.34220761968419</v>
      </c>
      <c r="CE180" s="59">
        <f t="shared" si="148"/>
        <v>546.58234447298014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25.076180968346847</v>
      </c>
      <c r="CL180" s="21">
        <f>EXP(-LN(2)/25)*CL179+(1-EXP(-LN(2)/25))/(LN(2)/25)*Calculateur!CG180*Calculateur!CI180*VLOOKUP('Données projet'!$B$12,Paramètres!$A$1:$I$89,3,0)*0.475*44/12</f>
        <v>2.3653848344732102</v>
      </c>
      <c r="CM180" s="21">
        <f>EXP(-LN(2)/2)*CM179+(1-EXP(-LN(2)/2))/(LN(2)/2)*CG180*CJ180*VLOOKUP('Données projet'!$B$12,Paramètres!$A$1:$I$89,3,0)*0.475*44/12</f>
        <v>1.0595280800750702E-16</v>
      </c>
      <c r="CN180" s="22">
        <f t="shared" si="172"/>
        <v>27.441565802820058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>
        <f>CT180*VLOOKUP('Données projet'!$B$13,Paramètres!$A$1:$I$89,3,0)*VLOOKUP('Données projet'!$B$13,Paramètres!$A$1:$I$89,5,0)</f>
        <v>0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214.22606988805535</v>
      </c>
      <c r="CZ180" s="59">
        <f t="shared" si="150"/>
        <v>305.78163836959078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14.070050408268481</v>
      </c>
      <c r="DG180" s="21">
        <f>EXP(-LN(2)/25)*DG179+(1-EXP(-LN(2)/25))/(LN(2)/25)*Calculateur!DB180*Calculateur!DD180*VLOOKUP('Données projet'!$B$13,Paramètres!$A$1:$I$89,3,0)*0.475*44/12</f>
        <v>1.3862755167972938</v>
      </c>
      <c r="DH180" s="21">
        <f>EXP(-LN(2)/2)*DH179+(1-EXP(-LN(2)/2))/(LN(2)/2)*DB180*DE180*VLOOKUP('Données projet'!$B$13,Paramètres!$A$1:$I$89,3,0)*0.475*44/12</f>
        <v>4.6306578408409892E-17</v>
      </c>
      <c r="DI180" s="22">
        <f t="shared" si="175"/>
        <v>15.456325925065775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-1.7053025658242404E-13</v>
      </c>
      <c r="DP180" s="17">
        <f>DO180*VLOOKUP('Données projet'!$B$14,Paramètres!$A$1:$I$89,3,0)*VLOOKUP('Données projet'!$B$14,Paramètres!$A$1:$I$89,5,0)</f>
        <v>-1.383341441396624E-13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304.26232113495314</v>
      </c>
      <c r="DU180" s="59">
        <f t="shared" si="152"/>
        <v>297.47246687305056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15.437771270837635</v>
      </c>
      <c r="EB180" s="21">
        <f>EXP(-LN(2)/25)*EB179+(1-EXP(-LN(2)/25))/(LN(2)/25)*Calculateur!DW180*Calculateur!DY180*VLOOKUP('Données projet'!$B$14,Paramètres!$A$1:$I$89,3,0)*0.475*44/12</f>
        <v>0.19636369029110076</v>
      </c>
      <c r="EC180" s="21">
        <f>EXP(-LN(2)/2)*EC179+(1-EXP(-LN(2)/2))/(LN(2)/2)*DW180*DZ180*VLOOKUP('Données projet'!$B$14,Paramètres!$A$1:$I$89,3,0)*0.475*44/12</f>
        <v>1.0658807375750553E-13</v>
      </c>
      <c r="ED180" s="22">
        <f t="shared" si="178"/>
        <v>15.634134961128842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-1.7053025658242404E-13</v>
      </c>
      <c r="EK180" s="17">
        <f>EJ180*VLOOKUP('Données projet'!$B$15,Paramètres!$A$1:$I$89,3,0)*VLOOKUP('Données projet'!$B$15,Paramètres!$A$1:$I$89,5,0)</f>
        <v>-1.6493686416652052E-13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355.72173590705142</v>
      </c>
      <c r="EP180" s="59">
        <f t="shared" si="154"/>
        <v>346.30980704469363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14.933635053720264</v>
      </c>
      <c r="EW180" s="21">
        <f>EXP(-LN(2)/25)*EW179+(1-EXP(-LN(2)/25))/(LN(2)/25)*Calculateur!ER180*Calculateur!ET180*VLOOKUP('Données projet'!$B$15,Paramètres!$A$1:$I$89,3,0)*0.475*44/12</f>
        <v>0.18995123306098505</v>
      </c>
      <c r="EX180" s="21">
        <f>EXP(-LN(2)/2)*EX179+(1-EXP(-LN(2)/2))/(LN(2)/2)*ER180*EU180*VLOOKUP('Données projet'!$B$15,Paramètres!$A$1:$I$89,3,0)*0.475*44/12</f>
        <v>1.2708578024933308E-13</v>
      </c>
      <c r="EY180" s="22">
        <f t="shared" si="181"/>
        <v>15.123586286781377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-1.7053025658242404E-13</v>
      </c>
      <c r="FF180" s="17">
        <f>FE180*VLOOKUP('Données projet'!$B$16,Paramètres!$A$1:$I$89,3,0)*VLOOKUP('Données projet'!$B$16,Paramètres!$A$1:$I$89,5,0)</f>
        <v>-1.250327841262333E-13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278.45534008146865</v>
      </c>
      <c r="FK180" s="59">
        <f t="shared" si="156"/>
        <v>272.97841038165217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11.320658831046021</v>
      </c>
      <c r="FR180" s="21">
        <f>EXP(-LN(2)/25)*FR179+(1-EXP(-LN(2)/25))/(LN(2)/25)*Calculateur!FM180*Calculateur!FO180*VLOOKUP('Données projet'!$B$16,Paramètres!$A$1:$I$89,3,0)*0.475*44/12</f>
        <v>0.14399528957848848</v>
      </c>
      <c r="FS180" s="21">
        <f>EXP(-LN(2)/2)*FS179+(1-EXP(-LN(2)/2))/(LN(2)/2)*FM180*FP180*VLOOKUP('Données projet'!$B$16,Paramètres!$A$1:$I$89,3,0)*0.475*44/12</f>
        <v>9.633922051159129E-14</v>
      </c>
      <c r="FT180" s="22">
        <f t="shared" si="184"/>
        <v>11.464654120624605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-2.8421709430404007E-13</v>
      </c>
      <c r="O181" s="13">
        <f>N181*VLOOKUP('Données projet'!$B$9,Paramètres!$A$1:$I$89,3,0)*VLOOKUP('Données projet'!$B$9,Paramètres!$A$1:$I$89,5,0)</f>
        <v>-2.5715962692629546E-13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436.03161778768742</v>
      </c>
      <c r="T181" s="59">
        <f t="shared" si="142"/>
        <v>217.65884352525285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138.98739294726025</v>
      </c>
      <c r="AA181" s="21">
        <f>EXP(-LN(2)/25)*AA180+(1-EXP(-LN(2)/25))/(LN(2)/25)*Calculateur!V181*Calculateur!X181*VLOOKUP('Données projet'!$B$9,Paramètres!$A$1:$I$89,3,0)*0.475*44/12</f>
        <v>20.548261557343405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159.53565450460366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-2.8421709430404007E-13</v>
      </c>
      <c r="AJ181" s="13">
        <f>AI181*VLOOKUP('Données projet'!$B$10,Paramètres!$A$1:$I$89,3,0)*VLOOKUP('Données projet'!$B$10,Paramètres!$A$1:$I$89,5,0)</f>
        <v>-2.8819613362429665E-13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483.45320081988984</v>
      </c>
      <c r="AO181" s="59">
        <f t="shared" si="144"/>
        <v>238.92443174298893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155.76173347537787</v>
      </c>
      <c r="AV181" s="21">
        <f>EXP(-LN(2)/25)*AV180+(1-EXP(-LN(2)/25))/(LN(2)/25)*Calculateur!AQ181*Calculateur!AS181*VLOOKUP('Données projet'!$B$10,Paramètres!$A$1:$I$89,3,0)*0.475*44/12</f>
        <v>23.028224159091749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178.7899576344696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1.7053025658242404E-13</v>
      </c>
      <c r="BE181" s="13">
        <f>BD181*VLOOKUP('Données projet'!$B$11,Paramètres!$A$1:$I$89,3,0)*VLOOKUP('Données projet'!$B$11,Paramètres!$A$1:$I$89,5,0)</f>
        <v>1.4897523215040567E-13</v>
      </c>
      <c r="BF181" s="13">
        <f t="shared" si="167"/>
        <v>2.136562777003313E-12</v>
      </c>
      <c r="BG181" s="20">
        <f t="shared" si="168"/>
        <v>3.9806453659427267E-12</v>
      </c>
      <c r="BH181" s="59">
        <f t="shared" si="116"/>
        <v>293.33333333333729</v>
      </c>
      <c r="BI181" s="59">
        <f ca="1">AVERAGE(OFFSET($BH$3,0,0,'Données projet'!$E$11+1,1))-AVERAGE(OFFSET($H$3,0,0,'Données projet'!$E$11+1,1))</f>
        <v>310.44153296396854</v>
      </c>
      <c r="BJ181" s="59">
        <f t="shared" si="146"/>
        <v>388.05195847800502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9.5838971788145617</v>
      </c>
      <c r="BQ181" s="21">
        <f>EXP(-LN(2)/25)*BQ180+(1-EXP(-LN(2)/25))/(LN(2)/25)*Calculateur!BL181*Calculateur!BN181*VLOOKUP('Données projet'!$B$11,Paramètres!$A$1:$I$89,3,0)*0.475*44/12</f>
        <v>0.26558193413424758</v>
      </c>
      <c r="BR181" s="21">
        <f>EXP(-LN(2)/2)*BR180+(1-EXP(-LN(2)/2))/(LN(2)/2)*BL181*BO181*VLOOKUP('Données projet'!$B$11,Paramètres!$A$1:$I$89,3,0)*0.475*44/12</f>
        <v>2.2865381236258018E-15</v>
      </c>
      <c r="BS181" s="22">
        <f t="shared" si="169"/>
        <v>9.8494791129488117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-2.2737367544323206E-13</v>
      </c>
      <c r="BZ181" s="13">
        <f>BY181*VLOOKUP('Données projet'!$B$12,Paramètres!$A$1:$I$89,3,0)*VLOOKUP('Données projet'!$B$12,Paramètres!$A$1:$I$89,5,0)</f>
        <v>-1.2710188457276673E-13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443.34220761968419</v>
      </c>
      <c r="CE181" s="59">
        <f t="shared" si="148"/>
        <v>546.58234447298014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24.584452354517705</v>
      </c>
      <c r="CL181" s="21">
        <f>EXP(-LN(2)/25)*CL180+(1-EXP(-LN(2)/25))/(LN(2)/25)*Calculateur!CG181*Calculateur!CI181*VLOOKUP('Données projet'!$B$12,Paramètres!$A$1:$I$89,3,0)*0.475*44/12</f>
        <v>2.3007032617843581</v>
      </c>
      <c r="CM181" s="21">
        <f>EXP(-LN(2)/2)*CM180+(1-EXP(-LN(2)/2))/(LN(2)/2)*CG181*CJ181*VLOOKUP('Données projet'!$B$12,Paramètres!$A$1:$I$89,3,0)*0.475*44/12</f>
        <v>7.4919949027864546E-17</v>
      </c>
      <c r="CN181" s="22">
        <f t="shared" si="172"/>
        <v>26.885155616302065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>
        <f>CT181*VLOOKUP('Données projet'!$B$13,Paramètres!$A$1:$I$89,3,0)*VLOOKUP('Données projet'!$B$13,Paramètres!$A$1:$I$89,5,0)</f>
        <v>0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214.22606988805535</v>
      </c>
      <c r="CZ181" s="59">
        <f t="shared" si="150"/>
        <v>305.78163836959078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13.794145301645694</v>
      </c>
      <c r="DG181" s="21">
        <f>EXP(-LN(2)/25)*DG180+(1-EXP(-LN(2)/25))/(LN(2)/25)*Calculateur!DB181*Calculateur!DD181*VLOOKUP('Données projet'!$B$13,Paramètres!$A$1:$I$89,3,0)*0.475*44/12</f>
        <v>1.3483677398894107</v>
      </c>
      <c r="DH181" s="21">
        <f>EXP(-LN(2)/2)*DH180+(1-EXP(-LN(2)/2))/(LN(2)/2)*DB181*DE181*VLOOKUP('Données projet'!$B$13,Paramètres!$A$1:$I$89,3,0)*0.475*44/12</f>
        <v>3.2743695606133199E-17</v>
      </c>
      <c r="DI181" s="22">
        <f t="shared" si="175"/>
        <v>15.142513041535103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-1.7053025658242404E-13</v>
      </c>
      <c r="DP181" s="17">
        <f>DO181*VLOOKUP('Données projet'!$B$14,Paramètres!$A$1:$I$89,3,0)*VLOOKUP('Données projet'!$B$14,Paramètres!$A$1:$I$89,5,0)</f>
        <v>-1.383341441396624E-13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304.26232113495314</v>
      </c>
      <c r="DU181" s="59">
        <f t="shared" si="152"/>
        <v>297.47246687305056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15.135045992327219</v>
      </c>
      <c r="EB181" s="21">
        <f>EXP(-LN(2)/25)*EB180+(1-EXP(-LN(2)/25))/(LN(2)/25)*Calculateur!DW181*Calculateur!DY181*VLOOKUP('Données projet'!$B$14,Paramètres!$A$1:$I$89,3,0)*0.475*44/12</f>
        <v>0.19099411485377293</v>
      </c>
      <c r="EC181" s="21">
        <f>EXP(-LN(2)/2)*EC180+(1-EXP(-LN(2)/2))/(LN(2)/2)*DW181*DZ181*VLOOKUP('Données projet'!$B$14,Paramètres!$A$1:$I$89,3,0)*0.475*44/12</f>
        <v>7.536914974754405E-14</v>
      </c>
      <c r="ED181" s="22">
        <f t="shared" si="178"/>
        <v>15.326040107181067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-1.7053025658242404E-13</v>
      </c>
      <c r="EK181" s="17">
        <f>EJ181*VLOOKUP('Données projet'!$B$15,Paramètres!$A$1:$I$89,3,0)*VLOOKUP('Données projet'!$B$15,Paramètres!$A$1:$I$89,5,0)</f>
        <v>-1.6493686416652052E-13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355.72173590705142</v>
      </c>
      <c r="EP181" s="59">
        <f t="shared" si="154"/>
        <v>346.30980704469363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14.640795578934792</v>
      </c>
      <c r="EW181" s="21">
        <f>EXP(-LN(2)/25)*EW180+(1-EXP(-LN(2)/25))/(LN(2)/25)*Calculateur!ER181*Calculateur!ET181*VLOOKUP('Données projet'!$B$15,Paramètres!$A$1:$I$89,3,0)*0.475*44/12</f>
        <v>0.18475700660383121</v>
      </c>
      <c r="EX181" s="21">
        <f>EXP(-LN(2)/2)*EX180+(1-EXP(-LN(2)/2))/(LN(2)/2)*ER181*EU181*VLOOKUP('Données projet'!$B$15,Paramètres!$A$1:$I$89,3,0)*0.475*44/12</f>
        <v>8.986321700668683E-14</v>
      </c>
      <c r="EY181" s="22">
        <f t="shared" si="181"/>
        <v>14.825552585538714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-1.7053025658242404E-13</v>
      </c>
      <c r="FF181" s="17">
        <f>FE181*VLOOKUP('Données projet'!$B$16,Paramètres!$A$1:$I$89,3,0)*VLOOKUP('Données projet'!$B$16,Paramètres!$A$1:$I$89,5,0)</f>
        <v>-1.250327841262333E-13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278.45534008146865</v>
      </c>
      <c r="FK181" s="59">
        <f t="shared" si="156"/>
        <v>272.97841038165217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11.098667616289292</v>
      </c>
      <c r="FR181" s="21">
        <f>EXP(-LN(2)/25)*FR180+(1-EXP(-LN(2)/25))/(LN(2)/25)*Calculateur!FM181*Calculateur!FO181*VLOOKUP('Données projet'!$B$16,Paramètres!$A$1:$I$89,3,0)*0.475*44/12</f>
        <v>0.14005773081258155</v>
      </c>
      <c r="FS181" s="21">
        <f>EXP(-LN(2)/2)*FS180+(1-EXP(-LN(2)/2))/(LN(2)/2)*FM181*FP181*VLOOKUP('Données projet'!$B$16,Paramètres!$A$1:$I$89,3,0)*0.475*44/12</f>
        <v>6.8122116117972333E-14</v>
      </c>
      <c r="FT181" s="22">
        <f t="shared" si="184"/>
        <v>11.238725347101941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-2.8421709430404007E-13</v>
      </c>
      <c r="O182" s="13">
        <f>N182*VLOOKUP('Données projet'!$B$9,Paramètres!$A$1:$I$89,3,0)*VLOOKUP('Données projet'!$B$9,Paramètres!$A$1:$I$89,5,0)</f>
        <v>-2.5715962692629546E-13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436.03161778768742</v>
      </c>
      <c r="T182" s="59">
        <f t="shared" si="142"/>
        <v>217.65884352525285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136.26193494550344</v>
      </c>
      <c r="AA182" s="21">
        <f>EXP(-LN(2)/25)*AA181+(1-EXP(-LN(2)/25))/(LN(2)/25)*Calculateur!V182*Calculateur!X182*VLOOKUP('Données projet'!$B$9,Paramètres!$A$1:$I$89,3,0)*0.475*44/12</f>
        <v>19.986368264471739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156.24830320997518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-2.8421709430404007E-13</v>
      </c>
      <c r="AJ182" s="13">
        <f>AI182*VLOOKUP('Données projet'!$B$10,Paramètres!$A$1:$I$89,3,0)*VLOOKUP('Données projet'!$B$10,Paramètres!$A$1:$I$89,5,0)</f>
        <v>-2.8819613362429665E-13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483.45320081988984</v>
      </c>
      <c r="AO182" s="59">
        <f t="shared" si="144"/>
        <v>238.92443174298893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152.70734088720212</v>
      </c>
      <c r="AV182" s="21">
        <f>EXP(-LN(2)/25)*AV181+(1-EXP(-LN(2)/25))/(LN(2)/25)*Calculateur!AQ182*Calculateur!AS182*VLOOKUP('Données projet'!$B$10,Paramètres!$A$1:$I$89,3,0)*0.475*44/12</f>
        <v>22.39851615845971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175.10585704566182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1.7053025658242404E-13</v>
      </c>
      <c r="BE182" s="13">
        <f>BD182*VLOOKUP('Données projet'!$B$11,Paramètres!$A$1:$I$89,3,0)*VLOOKUP('Données projet'!$B$11,Paramètres!$A$1:$I$89,5,0)</f>
        <v>1.4897523215040567E-13</v>
      </c>
      <c r="BF182" s="13">
        <f t="shared" si="167"/>
        <v>2.136562777003313E-12</v>
      </c>
      <c r="BG182" s="20">
        <f t="shared" si="168"/>
        <v>3.9806453659427267E-12</v>
      </c>
      <c r="BH182" s="59">
        <f t="shared" si="116"/>
        <v>293.33333333333729</v>
      </c>
      <c r="BI182" s="59">
        <f ca="1">AVERAGE(OFFSET($BH$3,0,0,'Données projet'!$E$11+1,1))-AVERAGE(OFFSET($H$3,0,0,'Données projet'!$E$11+1,1))</f>
        <v>310.44153296396854</v>
      </c>
      <c r="BJ182" s="59">
        <f t="shared" si="146"/>
        <v>388.05195847800502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9.3959628007380829</v>
      </c>
      <c r="BQ182" s="21">
        <f>EXP(-LN(2)/25)*BQ181+(1-EXP(-LN(2)/25))/(LN(2)/25)*Calculateur!BL182*Calculateur!BN182*VLOOKUP('Données projet'!$B$11,Paramètres!$A$1:$I$89,3,0)*0.475*44/12</f>
        <v>0.25831958217899964</v>
      </c>
      <c r="BR182" s="21">
        <f>EXP(-LN(2)/2)*BR181+(1-EXP(-LN(2)/2))/(LN(2)/2)*BL182*BO182*VLOOKUP('Données projet'!$B$11,Paramètres!$A$1:$I$89,3,0)*0.475*44/12</f>
        <v>1.6168266126573688E-15</v>
      </c>
      <c r="BS182" s="22">
        <f t="shared" si="169"/>
        <v>9.654282382917085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-2.2737367544323206E-13</v>
      </c>
      <c r="BZ182" s="13">
        <f>BY182*VLOOKUP('Données projet'!$B$12,Paramètres!$A$1:$I$89,3,0)*VLOOKUP('Données projet'!$B$12,Paramètres!$A$1:$I$89,5,0)</f>
        <v>-1.2710188457276673E-13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443.34220761968419</v>
      </c>
      <c r="CE182" s="59">
        <f t="shared" si="148"/>
        <v>546.58234447298014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24.102366238880911</v>
      </c>
      <c r="CL182" s="21">
        <f>EXP(-LN(2)/25)*CL181+(1-EXP(-LN(2)/25))/(LN(2)/25)*Calculateur!CG182*Calculateur!CI182*VLOOKUP('Données projet'!$B$12,Paramètres!$A$1:$I$89,3,0)*0.475*44/12</f>
        <v>2.2377904101021389</v>
      </c>
      <c r="CM182" s="21">
        <f>EXP(-LN(2)/2)*CM181+(1-EXP(-LN(2)/2))/(LN(2)/2)*CG182*CJ182*VLOOKUP('Données projet'!$B$12,Paramètres!$A$1:$I$89,3,0)*0.475*44/12</f>
        <v>5.297640400375351E-17</v>
      </c>
      <c r="CN182" s="22">
        <f t="shared" si="172"/>
        <v>26.340156648983051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>
        <f>CT182*VLOOKUP('Données projet'!$B$13,Paramètres!$A$1:$I$89,3,0)*VLOOKUP('Données projet'!$B$13,Paramètres!$A$1:$I$89,5,0)</f>
        <v>0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214.22606988805535</v>
      </c>
      <c r="CZ182" s="59">
        <f t="shared" si="150"/>
        <v>305.78163836959078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13.523650525878281</v>
      </c>
      <c r="DG182" s="21">
        <f>EXP(-LN(2)/25)*DG181+(1-EXP(-LN(2)/25))/(LN(2)/25)*Calculateur!DB182*Calculateur!DD182*VLOOKUP('Données projet'!$B$13,Paramètres!$A$1:$I$89,3,0)*0.475*44/12</f>
        <v>1.311496553134557</v>
      </c>
      <c r="DH182" s="21">
        <f>EXP(-LN(2)/2)*DH181+(1-EXP(-LN(2)/2))/(LN(2)/2)*DB182*DE182*VLOOKUP('Données projet'!$B$13,Paramètres!$A$1:$I$89,3,0)*0.475*44/12</f>
        <v>2.3153289204204946E-17</v>
      </c>
      <c r="DI182" s="22">
        <f t="shared" si="175"/>
        <v>14.835147079012838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-1.7053025658242404E-13</v>
      </c>
      <c r="DP182" s="17">
        <f>DO182*VLOOKUP('Données projet'!$B$14,Paramètres!$A$1:$I$89,3,0)*VLOOKUP('Données projet'!$B$14,Paramètres!$A$1:$I$89,5,0)</f>
        <v>-1.383341441396624E-13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304.26232113495314</v>
      </c>
      <c r="DU182" s="59">
        <f t="shared" si="152"/>
        <v>297.47246687305056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14.838256971884206</v>
      </c>
      <c r="EB182" s="21">
        <f>EXP(-LN(2)/25)*EB181+(1-EXP(-LN(2)/25))/(LN(2)/25)*Calculateur!DW182*Calculateur!DY182*VLOOKUP('Données projet'!$B$14,Paramètres!$A$1:$I$89,3,0)*0.475*44/12</f>
        <v>0.18577137073915254</v>
      </c>
      <c r="EC182" s="21">
        <f>EXP(-LN(2)/2)*EC181+(1-EXP(-LN(2)/2))/(LN(2)/2)*DW182*DZ182*VLOOKUP('Données projet'!$B$14,Paramètres!$A$1:$I$89,3,0)*0.475*44/12</f>
        <v>5.3294036878752765E-14</v>
      </c>
      <c r="ED182" s="22">
        <f t="shared" si="178"/>
        <v>15.024028342623412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-1.7053025658242404E-13</v>
      </c>
      <c r="EK182" s="17">
        <f>EJ182*VLOOKUP('Données projet'!$B$15,Paramètres!$A$1:$I$89,3,0)*VLOOKUP('Données projet'!$B$15,Paramètres!$A$1:$I$89,5,0)</f>
        <v>-1.6493686416652052E-13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355.72173590705142</v>
      </c>
      <c r="EP182" s="59">
        <f t="shared" si="154"/>
        <v>346.30980704469363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14.35369850763542</v>
      </c>
      <c r="EW182" s="21">
        <f>EXP(-LN(2)/25)*EW181+(1-EXP(-LN(2)/25))/(LN(2)/25)*Calculateur!ER182*Calculateur!ET182*VLOOKUP('Données projet'!$B$15,Paramètres!$A$1:$I$89,3,0)*0.475*44/12</f>
        <v>0.17970481654230072</v>
      </c>
      <c r="EX182" s="21">
        <f>EXP(-LN(2)/2)*EX181+(1-EXP(-LN(2)/2))/(LN(2)/2)*ER182*EU182*VLOOKUP('Données projet'!$B$15,Paramètres!$A$1:$I$89,3,0)*0.475*44/12</f>
        <v>6.3542890124666538E-14</v>
      </c>
      <c r="EY182" s="22">
        <f t="shared" si="181"/>
        <v>14.533403324177785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-1.7053025658242404E-13</v>
      </c>
      <c r="FF182" s="17">
        <f>FE182*VLOOKUP('Données projet'!$B$16,Paramètres!$A$1:$I$89,3,0)*VLOOKUP('Données projet'!$B$16,Paramètres!$A$1:$I$89,5,0)</f>
        <v>-1.250327841262333E-13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278.45534008146865</v>
      </c>
      <c r="FK182" s="59">
        <f t="shared" si="156"/>
        <v>272.97841038165217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10.88102951385267</v>
      </c>
      <c r="FR182" s="21">
        <f>EXP(-LN(2)/25)*FR181+(1-EXP(-LN(2)/25))/(LN(2)/25)*Calculateur!FM182*Calculateur!FO182*VLOOKUP('Données projet'!$B$16,Paramètres!$A$1:$I$89,3,0)*0.475*44/12</f>
        <v>0.13622784479819555</v>
      </c>
      <c r="FS182" s="21">
        <f>EXP(-LN(2)/2)*FS181+(1-EXP(-LN(2)/2))/(LN(2)/2)*FM182*FP182*VLOOKUP('Données projet'!$B$16,Paramètres!$A$1:$I$89,3,0)*0.475*44/12</f>
        <v>4.8169610255795645E-14</v>
      </c>
      <c r="FT182" s="22">
        <f t="shared" si="184"/>
        <v>11.017257358650914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-2.8421709430404007E-13</v>
      </c>
      <c r="O183" s="13">
        <f>N183*VLOOKUP('Données projet'!$B$9,Paramètres!$A$1:$I$89,3,0)*VLOOKUP('Données projet'!$B$9,Paramètres!$A$1:$I$89,5,0)</f>
        <v>-2.5715962692629546E-13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436.03161778768742</v>
      </c>
      <c r="T183" s="59">
        <f t="shared" si="142"/>
        <v>217.65884352525285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133.58992151279585</v>
      </c>
      <c r="AA183" s="21">
        <f>EXP(-LN(2)/25)*AA182+(1-EXP(-LN(2)/25))/(LN(2)/25)*Calculateur!V183*Calculateur!X183*VLOOKUP('Données projet'!$B$9,Paramètres!$A$1:$I$89,3,0)*0.475*44/12</f>
        <v>19.439839973242332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153.02976148603818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-2.8421709430404007E-13</v>
      </c>
      <c r="AJ183" s="13">
        <f>AI183*VLOOKUP('Données projet'!$B$10,Paramètres!$A$1:$I$89,3,0)*VLOOKUP('Données projet'!$B$10,Paramètres!$A$1:$I$89,5,0)</f>
        <v>-2.8819613362429665E-13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483.45320081988984</v>
      </c>
      <c r="AO183" s="59">
        <f t="shared" si="144"/>
        <v>238.92443174298893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149.712843074685</v>
      </c>
      <c r="AV183" s="21">
        <f>EXP(-LN(2)/25)*AV182+(1-EXP(-LN(2)/25))/(LN(2)/25)*Calculateur!AQ183*Calculateur!AS183*VLOOKUP('Données projet'!$B$10,Paramètres!$A$1:$I$89,3,0)*0.475*44/12</f>
        <v>21.786027556219857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171.49887063090486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1.7053025658242404E-13</v>
      </c>
      <c r="BE183" s="13">
        <f>BD183*VLOOKUP('Données projet'!$B$11,Paramètres!$A$1:$I$89,3,0)*VLOOKUP('Données projet'!$B$11,Paramètres!$A$1:$I$89,5,0)</f>
        <v>1.4897523215040567E-13</v>
      </c>
      <c r="BF183" s="13">
        <f t="shared" si="167"/>
        <v>2.136562777003313E-12</v>
      </c>
      <c r="BG183" s="20">
        <f t="shared" si="168"/>
        <v>3.9806453659427267E-12</v>
      </c>
      <c r="BH183" s="59">
        <f t="shared" si="116"/>
        <v>293.33333333333729</v>
      </c>
      <c r="BI183" s="59">
        <f ca="1">AVERAGE(OFFSET($BH$3,0,0,'Données projet'!$E$11+1,1))-AVERAGE(OFFSET($H$3,0,0,'Données projet'!$E$11+1,1))</f>
        <v>310.44153296396854</v>
      </c>
      <c r="BJ183" s="59">
        <f t="shared" si="146"/>
        <v>388.05195847800502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9.2117137011870316</v>
      </c>
      <c r="BQ183" s="21">
        <f>EXP(-LN(2)/25)*BQ182+(1-EXP(-LN(2)/25))/(LN(2)/25)*Calculateur!BL183*Calculateur!BN183*VLOOKUP('Données projet'!$B$11,Paramètres!$A$1:$I$89,3,0)*0.475*44/12</f>
        <v>0.25125581961987847</v>
      </c>
      <c r="BR183" s="21">
        <f>EXP(-LN(2)/2)*BR182+(1-EXP(-LN(2)/2))/(LN(2)/2)*BL183*BO183*VLOOKUP('Données projet'!$B$11,Paramètres!$A$1:$I$89,3,0)*0.475*44/12</f>
        <v>1.1432690618129009E-15</v>
      </c>
      <c r="BS183" s="22">
        <f t="shared" si="169"/>
        <v>9.4629695208069116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-2.2737367544323206E-13</v>
      </c>
      <c r="BZ183" s="13">
        <f>BY183*VLOOKUP('Données projet'!$B$12,Paramètres!$A$1:$I$89,3,0)*VLOOKUP('Données projet'!$B$12,Paramètres!$A$1:$I$89,5,0)</f>
        <v>-1.2710188457276673E-13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443.34220761968419</v>
      </c>
      <c r="CE183" s="59">
        <f t="shared" si="148"/>
        <v>546.58234447298014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23.62973353792826</v>
      </c>
      <c r="CL183" s="21">
        <f>EXP(-LN(2)/25)*CL182+(1-EXP(-LN(2)/25))/(LN(2)/25)*Calculateur!CG183*Calculateur!CI183*VLOOKUP('Données projet'!$B$12,Paramètres!$A$1:$I$89,3,0)*0.475*44/12</f>
        <v>2.1765979136576128</v>
      </c>
      <c r="CM183" s="21">
        <f>EXP(-LN(2)/2)*CM182+(1-EXP(-LN(2)/2))/(LN(2)/2)*CG183*CJ183*VLOOKUP('Données projet'!$B$12,Paramètres!$A$1:$I$89,3,0)*0.475*44/12</f>
        <v>3.7459974513932273E-17</v>
      </c>
      <c r="CN183" s="22">
        <f t="shared" si="172"/>
        <v>25.806331451585873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>
        <f>CT183*VLOOKUP('Données projet'!$B$13,Paramètres!$A$1:$I$89,3,0)*VLOOKUP('Données projet'!$B$13,Paramètres!$A$1:$I$89,5,0)</f>
        <v>0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214.22606988805535</v>
      </c>
      <c r="CZ183" s="59">
        <f t="shared" si="150"/>
        <v>305.78163836959078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13.258459987678146</v>
      </c>
      <c r="DG183" s="21">
        <f>EXP(-LN(2)/25)*DG182+(1-EXP(-LN(2)/25))/(LN(2)/25)*Calculateur!DB183*Calculateur!DD183*VLOOKUP('Données projet'!$B$13,Paramètres!$A$1:$I$89,3,0)*0.475*44/12</f>
        <v>1.2756336109204862</v>
      </c>
      <c r="DH183" s="21">
        <f>EXP(-LN(2)/2)*DH182+(1-EXP(-LN(2)/2))/(LN(2)/2)*DB183*DE183*VLOOKUP('Données projet'!$B$13,Paramètres!$A$1:$I$89,3,0)*0.475*44/12</f>
        <v>1.63718478030666E-17</v>
      </c>
      <c r="DI183" s="22">
        <f t="shared" si="175"/>
        <v>14.534093598598632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-1.7053025658242404E-13</v>
      </c>
      <c r="DP183" s="17">
        <f>DO183*VLOOKUP('Données projet'!$B$14,Paramètres!$A$1:$I$89,3,0)*VLOOKUP('Données projet'!$B$14,Paramètres!$A$1:$I$89,5,0)</f>
        <v>-1.383341441396624E-13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304.26232113495314</v>
      </c>
      <c r="DU183" s="59">
        <f t="shared" si="152"/>
        <v>297.47246687305056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14.547287803108652</v>
      </c>
      <c r="EB183" s="21">
        <f>EXP(-LN(2)/25)*EB182+(1-EXP(-LN(2)/25))/(LN(2)/25)*Calculateur!DW183*Calculateur!DY183*VLOOKUP('Données projet'!$B$14,Paramètres!$A$1:$I$89,3,0)*0.475*44/12</f>
        <v>0.18069144283699862</v>
      </c>
      <c r="EC183" s="21">
        <f>EXP(-LN(2)/2)*EC182+(1-EXP(-LN(2)/2))/(LN(2)/2)*DW183*DZ183*VLOOKUP('Données projet'!$B$14,Paramètres!$A$1:$I$89,3,0)*0.475*44/12</f>
        <v>3.7684574873772025E-14</v>
      </c>
      <c r="ED183" s="22">
        <f t="shared" si="178"/>
        <v>14.727979245945688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-1.7053025658242404E-13</v>
      </c>
      <c r="EK183" s="17">
        <f>EJ183*VLOOKUP('Données projet'!$B$15,Paramètres!$A$1:$I$89,3,0)*VLOOKUP('Données projet'!$B$15,Paramètres!$A$1:$I$89,5,0)</f>
        <v>-1.6493686416652052E-13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355.72173590705142</v>
      </c>
      <c r="EP183" s="59">
        <f t="shared" si="154"/>
        <v>346.30980704469363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14.072231234792305</v>
      </c>
      <c r="EW183" s="21">
        <f>EXP(-LN(2)/25)*EW182+(1-EXP(-LN(2)/25))/(LN(2)/25)*Calculateur!ER183*Calculateur!ET183*VLOOKUP('Données projet'!$B$15,Paramètres!$A$1:$I$89,3,0)*0.475*44/12</f>
        <v>0.17479077888368594</v>
      </c>
      <c r="EX183" s="21">
        <f>EXP(-LN(2)/2)*EX182+(1-EXP(-LN(2)/2))/(LN(2)/2)*ER183*EU183*VLOOKUP('Données projet'!$B$15,Paramètres!$A$1:$I$89,3,0)*0.475*44/12</f>
        <v>4.4931608503343415E-14</v>
      </c>
      <c r="EY183" s="22">
        <f t="shared" si="181"/>
        <v>14.247022013676036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-1.7053025658242404E-13</v>
      </c>
      <c r="FF183" s="17">
        <f>FE183*VLOOKUP('Données projet'!$B$16,Paramètres!$A$1:$I$89,3,0)*VLOOKUP('Données projet'!$B$16,Paramètres!$A$1:$I$89,5,0)</f>
        <v>-1.250327841262333E-13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278.45534008146865</v>
      </c>
      <c r="FK183" s="59">
        <f t="shared" si="156"/>
        <v>272.97841038165217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10.667659161858696</v>
      </c>
      <c r="FR183" s="21">
        <f>EXP(-LN(2)/25)*FR182+(1-EXP(-LN(2)/25))/(LN(2)/25)*Calculateur!FM183*Calculateur!FO183*VLOOKUP('Données projet'!$B$16,Paramètres!$A$1:$I$89,3,0)*0.475*44/12</f>
        <v>0.13250268721827788</v>
      </c>
      <c r="FS183" s="21">
        <f>EXP(-LN(2)/2)*FS182+(1-EXP(-LN(2)/2))/(LN(2)/2)*FM183*FP183*VLOOKUP('Données projet'!$B$16,Paramètres!$A$1:$I$89,3,0)*0.475*44/12</f>
        <v>3.4061058058986166E-14</v>
      </c>
      <c r="FT183" s="22">
        <f t="shared" si="184"/>
        <v>10.800161849077007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-2.8421709430404007E-13</v>
      </c>
      <c r="O184" s="13">
        <f>N184*VLOOKUP('Données projet'!$B$9,Paramètres!$A$1:$I$89,3,0)*VLOOKUP('Données projet'!$B$9,Paramètres!$A$1:$I$89,5,0)</f>
        <v>-2.5715962692629546E-13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436.03161778768742</v>
      </c>
      <c r="T184" s="59">
        <f t="shared" si="142"/>
        <v>217.65884352525285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130.97030463373639</v>
      </c>
      <c r="AA184" s="21">
        <f>EXP(-LN(2)/25)*AA183+(1-EXP(-LN(2)/25))/(LN(2)/25)*Calculateur!V184*Calculateur!X184*VLOOKUP('Données projet'!$B$9,Paramètres!$A$1:$I$89,3,0)*0.475*44/12</f>
        <v>18.908256526877267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149.87856116061366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-2.8421709430404007E-13</v>
      </c>
      <c r="AJ184" s="13">
        <f>AI184*VLOOKUP('Données projet'!$B$10,Paramètres!$A$1:$I$89,3,0)*VLOOKUP('Données projet'!$B$10,Paramètres!$A$1:$I$89,5,0)</f>
        <v>-2.8819613362429665E-13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483.45320081988984</v>
      </c>
      <c r="AO184" s="59">
        <f t="shared" si="144"/>
        <v>238.92443174298893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146.777065537808</v>
      </c>
      <c r="AV184" s="21">
        <f>EXP(-LN(2)/25)*AV183+(1-EXP(-LN(2)/25))/(LN(2)/25)*Calculateur!AQ184*Calculateur!AS184*VLOOKUP('Données projet'!$B$10,Paramètres!$A$1:$I$89,3,0)*0.475*44/12</f>
        <v>21.190287487017628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167.96735302482563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1.7053025658242404E-13</v>
      </c>
      <c r="BE184" s="13">
        <f>BD184*VLOOKUP('Données projet'!$B$11,Paramètres!$A$1:$I$89,3,0)*VLOOKUP('Données projet'!$B$11,Paramètres!$A$1:$I$89,5,0)</f>
        <v>1.4897523215040567E-13</v>
      </c>
      <c r="BF184" s="13">
        <f t="shared" si="167"/>
        <v>2.136562777003313E-12</v>
      </c>
      <c r="BG184" s="20">
        <f t="shared" si="168"/>
        <v>3.9806453659427267E-12</v>
      </c>
      <c r="BH184" s="59">
        <f t="shared" si="116"/>
        <v>293.33333333333729</v>
      </c>
      <c r="BI184" s="59">
        <f ca="1">AVERAGE(OFFSET($BH$3,0,0,'Données projet'!$E$11+1,1))-AVERAGE(OFFSET($H$3,0,0,'Données projet'!$E$11+1,1))</f>
        <v>310.44153296396854</v>
      </c>
      <c r="BJ184" s="59">
        <f t="shared" si="146"/>
        <v>388.05195847800502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9.0310776140973221</v>
      </c>
      <c r="BQ184" s="21">
        <f>EXP(-LN(2)/25)*BQ183+(1-EXP(-LN(2)/25))/(LN(2)/25)*Calculateur!BL184*Calculateur!BN184*VLOOKUP('Données projet'!$B$11,Paramètres!$A$1:$I$89,3,0)*0.475*44/12</f>
        <v>0.24438521601940361</v>
      </c>
      <c r="BR184" s="21">
        <f>EXP(-LN(2)/2)*BR183+(1-EXP(-LN(2)/2))/(LN(2)/2)*BL184*BO184*VLOOKUP('Données projet'!$B$11,Paramètres!$A$1:$I$89,3,0)*0.475*44/12</f>
        <v>8.0841330632868439E-16</v>
      </c>
      <c r="BS184" s="22">
        <f t="shared" si="169"/>
        <v>9.2754628301167266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-2.2737367544323206E-13</v>
      </c>
      <c r="BZ184" s="13">
        <f>BY184*VLOOKUP('Données projet'!$B$12,Paramètres!$A$1:$I$89,3,0)*VLOOKUP('Données projet'!$B$12,Paramètres!$A$1:$I$89,5,0)</f>
        <v>-1.2710188457276673E-13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443.34220761968419</v>
      </c>
      <c r="CE184" s="59">
        <f t="shared" si="148"/>
        <v>546.58234447298014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23.166368875963808</v>
      </c>
      <c r="CL184" s="21">
        <f>EXP(-LN(2)/25)*CL183+(1-EXP(-LN(2)/25))/(LN(2)/25)*Calculateur!CG184*Calculateur!CI184*VLOOKUP('Données projet'!$B$12,Paramètres!$A$1:$I$89,3,0)*0.475*44/12</f>
        <v>2.1170787292463356</v>
      </c>
      <c r="CM184" s="21">
        <f>EXP(-LN(2)/2)*CM183+(1-EXP(-LN(2)/2))/(LN(2)/2)*CG184*CJ184*VLOOKUP('Données projet'!$B$12,Paramètres!$A$1:$I$89,3,0)*0.475*44/12</f>
        <v>2.6488202001876755E-17</v>
      </c>
      <c r="CN184" s="22">
        <f t="shared" si="172"/>
        <v>25.283447605210142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>
        <f>CT184*VLOOKUP('Données projet'!$B$13,Paramètres!$A$1:$I$89,3,0)*VLOOKUP('Données projet'!$B$13,Paramètres!$A$1:$I$89,5,0)</f>
        <v>0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214.22606988805535</v>
      </c>
      <c r="CZ184" s="59">
        <f t="shared" si="150"/>
        <v>305.78163836959078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12.998469674181859</v>
      </c>
      <c r="DG184" s="21">
        <f>EXP(-LN(2)/25)*DG183+(1-EXP(-LN(2)/25))/(LN(2)/25)*Calculateur!DB184*Calculateur!DD184*VLOOKUP('Données projet'!$B$13,Paramètres!$A$1:$I$89,3,0)*0.475*44/12</f>
        <v>1.2407513427472094</v>
      </c>
      <c r="DH184" s="21">
        <f>EXP(-LN(2)/2)*DH183+(1-EXP(-LN(2)/2))/(LN(2)/2)*DB184*DE184*VLOOKUP('Données projet'!$B$13,Paramètres!$A$1:$I$89,3,0)*0.475*44/12</f>
        <v>1.1576644602102473E-17</v>
      </c>
      <c r="DI184" s="22">
        <f t="shared" si="175"/>
        <v>14.239221016929068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-1.7053025658242404E-13</v>
      </c>
      <c r="DP184" s="17">
        <f>DO184*VLOOKUP('Données projet'!$B$14,Paramètres!$A$1:$I$89,3,0)*VLOOKUP('Données projet'!$B$14,Paramètres!$A$1:$I$89,5,0)</f>
        <v>-1.383341441396624E-13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304.26232113495314</v>
      </c>
      <c r="DU184" s="59">
        <f t="shared" si="152"/>
        <v>297.47246687305056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14.262024362259119</v>
      </c>
      <c r="EB184" s="21">
        <f>EXP(-LN(2)/25)*EB183+(1-EXP(-LN(2)/25))/(LN(2)/25)*Calculateur!DW184*Calculateur!DY184*VLOOKUP('Données projet'!$B$14,Paramètres!$A$1:$I$89,3,0)*0.475*44/12</f>
        <v>0.17575042583047087</v>
      </c>
      <c r="EC184" s="21">
        <f>EXP(-LN(2)/2)*EC183+(1-EXP(-LN(2)/2))/(LN(2)/2)*DW184*DZ184*VLOOKUP('Données projet'!$B$14,Paramètres!$A$1:$I$89,3,0)*0.475*44/12</f>
        <v>2.6647018439376383E-14</v>
      </c>
      <c r="ED184" s="22">
        <f t="shared" si="178"/>
        <v>14.437774788089616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-1.7053025658242404E-13</v>
      </c>
      <c r="EK184" s="17">
        <f>EJ184*VLOOKUP('Données projet'!$B$15,Paramètres!$A$1:$I$89,3,0)*VLOOKUP('Données projet'!$B$15,Paramètres!$A$1:$I$89,5,0)</f>
        <v>-1.6493686416652052E-13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355.72173590705142</v>
      </c>
      <c r="EP184" s="59">
        <f t="shared" si="154"/>
        <v>346.30980704469363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13.796283363491559</v>
      </c>
      <c r="EW184" s="21">
        <f>EXP(-LN(2)/25)*EW183+(1-EXP(-LN(2)/25))/(LN(2)/25)*Calculateur!ER184*Calculateur!ET184*VLOOKUP('Données projet'!$B$15,Paramètres!$A$1:$I$89,3,0)*0.475*44/12</f>
        <v>0.17001111584326398</v>
      </c>
      <c r="EX184" s="21">
        <f>EXP(-LN(2)/2)*EX183+(1-EXP(-LN(2)/2))/(LN(2)/2)*ER184*EU184*VLOOKUP('Données projet'!$B$15,Paramètres!$A$1:$I$89,3,0)*0.475*44/12</f>
        <v>3.1771445062333269E-14</v>
      </c>
      <c r="EY184" s="22">
        <f t="shared" si="181"/>
        <v>13.966294479334856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-1.7053025658242404E-13</v>
      </c>
      <c r="FF184" s="17">
        <f>FE184*VLOOKUP('Données projet'!$B$16,Paramètres!$A$1:$I$89,3,0)*VLOOKUP('Données projet'!$B$16,Paramètres!$A$1:$I$89,5,0)</f>
        <v>-1.250327841262333E-13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278.45534008146865</v>
      </c>
      <c r="FK184" s="59">
        <f t="shared" si="156"/>
        <v>272.97841038165217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10.458472872324259</v>
      </c>
      <c r="FR184" s="21">
        <f>EXP(-LN(2)/25)*FR183+(1-EXP(-LN(2)/25))/(LN(2)/25)*Calculateur!FM184*Calculateur!FO184*VLOOKUP('Données projet'!$B$16,Paramètres!$A$1:$I$89,3,0)*0.475*44/12</f>
        <v>0.12887939426828057</v>
      </c>
      <c r="FS184" s="21">
        <f>EXP(-LN(2)/2)*FS183+(1-EXP(-LN(2)/2))/(LN(2)/2)*FM184*FP184*VLOOKUP('Données projet'!$B$16,Paramètres!$A$1:$I$89,3,0)*0.475*44/12</f>
        <v>2.4084805127897822E-14</v>
      </c>
      <c r="FT184" s="22">
        <f t="shared" si="184"/>
        <v>10.587352266592564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-2.8421709430404007E-13</v>
      </c>
      <c r="O185" s="13">
        <f>N185*VLOOKUP('Données projet'!$B$9,Paramètres!$A$1:$I$89,3,0)*VLOOKUP('Données projet'!$B$9,Paramètres!$A$1:$I$89,5,0)</f>
        <v>-2.5715962692629546E-13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436.03161778768742</v>
      </c>
      <c r="T185" s="59">
        <f t="shared" si="142"/>
        <v>217.65884352525285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128.40205684386675</v>
      </c>
      <c r="AA185" s="21">
        <f>EXP(-LN(2)/25)*AA184+(1-EXP(-LN(2)/25))/(LN(2)/25)*Calculateur!V185*Calculateur!X185*VLOOKUP('Données projet'!$B$9,Paramètres!$A$1:$I$89,3,0)*0.475*44/12</f>
        <v>18.391209257807812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146.79326610167456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-2.8421709430404007E-13</v>
      </c>
      <c r="AJ185" s="13">
        <f>AI185*VLOOKUP('Données projet'!$B$10,Paramètres!$A$1:$I$89,3,0)*VLOOKUP('Données projet'!$B$10,Paramètres!$A$1:$I$89,5,0)</f>
        <v>-2.8819613362429665E-13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483.45320081988984</v>
      </c>
      <c r="AO185" s="59">
        <f t="shared" si="144"/>
        <v>238.92443174298893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143.8988568077817</v>
      </c>
      <c r="AV185" s="21">
        <f>EXP(-LN(2)/25)*AV184+(1-EXP(-LN(2)/25))/(LN(2)/25)*Calculateur!AQ185*Calculateur!AS185*VLOOKUP('Données projet'!$B$10,Paramètres!$A$1:$I$89,3,0)*0.475*44/12</f>
        <v>20.610837961336344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164.50969476911803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1.7053025658242404E-13</v>
      </c>
      <c r="BE185" s="13">
        <f>BD185*VLOOKUP('Données projet'!$B$11,Paramètres!$A$1:$I$89,3,0)*VLOOKUP('Données projet'!$B$11,Paramètres!$A$1:$I$89,5,0)</f>
        <v>1.4897523215040567E-13</v>
      </c>
      <c r="BF185" s="13">
        <f t="shared" si="167"/>
        <v>2.136562777003313E-12</v>
      </c>
      <c r="BG185" s="20">
        <f t="shared" si="168"/>
        <v>3.9806453659427267E-12</v>
      </c>
      <c r="BH185" s="59">
        <f t="shared" si="116"/>
        <v>293.33333333333729</v>
      </c>
      <c r="BI185" s="59">
        <f ca="1">AVERAGE(OFFSET($BH$3,0,0,'Données projet'!$E$11+1,1))-AVERAGE(OFFSET($H$3,0,0,'Données projet'!$E$11+1,1))</f>
        <v>310.44153296396854</v>
      </c>
      <c r="BJ185" s="59">
        <f t="shared" si="146"/>
        <v>388.05195847800502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8.8539836904983069</v>
      </c>
      <c r="BQ185" s="21">
        <f>EXP(-LN(2)/25)*BQ184+(1-EXP(-LN(2)/25))/(LN(2)/25)*Calculateur!BL185*Calculateur!BN185*VLOOKUP('Données projet'!$B$11,Paramètres!$A$1:$I$89,3,0)*0.475*44/12</f>
        <v>0.23770248943569305</v>
      </c>
      <c r="BR185" s="21">
        <f>EXP(-LN(2)/2)*BR184+(1-EXP(-LN(2)/2))/(LN(2)/2)*BL185*BO185*VLOOKUP('Données projet'!$B$11,Paramètres!$A$1:$I$89,3,0)*0.475*44/12</f>
        <v>5.7163453090645044E-16</v>
      </c>
      <c r="BS185" s="22">
        <f t="shared" si="169"/>
        <v>9.0916861799339994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-2.2737367544323206E-13</v>
      </c>
      <c r="BZ185" s="13">
        <f>BY185*VLOOKUP('Données projet'!$B$12,Paramètres!$A$1:$I$89,3,0)*VLOOKUP('Données projet'!$B$12,Paramètres!$A$1:$I$89,5,0)</f>
        <v>-1.2710188457276673E-13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443.34220761968419</v>
      </c>
      <c r="CE185" s="59">
        <f t="shared" si="148"/>
        <v>546.58234447298014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22.712090512395942</v>
      </c>
      <c r="CL185" s="21">
        <f>EXP(-LN(2)/25)*CL184+(1-EXP(-LN(2)/25))/(LN(2)/25)*Calculateur!CG185*Calculateur!CI185*VLOOKUP('Données projet'!$B$12,Paramètres!$A$1:$I$89,3,0)*0.475*44/12</f>
        <v>2.0591871000627626</v>
      </c>
      <c r="CM185" s="21">
        <f>EXP(-LN(2)/2)*CM184+(1-EXP(-LN(2)/2))/(LN(2)/2)*CG185*CJ185*VLOOKUP('Données projet'!$B$12,Paramètres!$A$1:$I$89,3,0)*0.475*44/12</f>
        <v>1.8729987256966137E-17</v>
      </c>
      <c r="CN185" s="22">
        <f t="shared" si="172"/>
        <v>24.771277612458704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>
        <f>CT185*VLOOKUP('Données projet'!$B$13,Paramètres!$A$1:$I$89,3,0)*VLOOKUP('Données projet'!$B$13,Paramètres!$A$1:$I$89,5,0)</f>
        <v>0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214.22606988805535</v>
      </c>
      <c r="CZ185" s="59">
        <f t="shared" si="150"/>
        <v>305.78163836959078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12.743577612154802</v>
      </c>
      <c r="DG185" s="21">
        <f>EXP(-LN(2)/25)*DG184+(1-EXP(-LN(2)/25))/(LN(2)/25)*Calculateur!DB185*Calculateur!DD185*VLOOKUP('Données projet'!$B$13,Paramètres!$A$1:$I$89,3,0)*0.475*44/12</f>
        <v>1.2068229320315096</v>
      </c>
      <c r="DH185" s="21">
        <f>EXP(-LN(2)/2)*DH184+(1-EXP(-LN(2)/2))/(LN(2)/2)*DB185*DE185*VLOOKUP('Données projet'!$B$13,Paramètres!$A$1:$I$89,3,0)*0.475*44/12</f>
        <v>8.1859239015332998E-18</v>
      </c>
      <c r="DI185" s="22">
        <f t="shared" si="175"/>
        <v>13.950400544186312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-1.7053025658242404E-13</v>
      </c>
      <c r="DP185" s="17">
        <f>DO185*VLOOKUP('Données projet'!$B$14,Paramètres!$A$1:$I$89,3,0)*VLOOKUP('Données projet'!$B$14,Paramètres!$A$1:$I$89,5,0)</f>
        <v>-1.383341441396624E-13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304.26232113495314</v>
      </c>
      <c r="DU185" s="59">
        <f t="shared" si="152"/>
        <v>297.47246687305056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13.982354763491125</v>
      </c>
      <c r="EB185" s="21">
        <f>EXP(-LN(2)/25)*EB184+(1-EXP(-LN(2)/25))/(LN(2)/25)*Calculateur!DW185*Calculateur!DY185*VLOOKUP('Données projet'!$B$14,Paramètres!$A$1:$I$89,3,0)*0.475*44/12</f>
        <v>0.17094452119382345</v>
      </c>
      <c r="EC185" s="21">
        <f>EXP(-LN(2)/2)*EC184+(1-EXP(-LN(2)/2))/(LN(2)/2)*DW185*DZ185*VLOOKUP('Données projet'!$B$14,Paramètres!$A$1:$I$89,3,0)*0.475*44/12</f>
        <v>1.8842287436886013E-14</v>
      </c>
      <c r="ED185" s="22">
        <f t="shared" si="178"/>
        <v>14.153299284684968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-1.7053025658242404E-13</v>
      </c>
      <c r="EK185" s="17">
        <f>EJ185*VLOOKUP('Données projet'!$B$15,Paramètres!$A$1:$I$89,3,0)*VLOOKUP('Données projet'!$B$15,Paramètres!$A$1:$I$89,5,0)</f>
        <v>-1.6493686416652052E-13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355.72173590705142</v>
      </c>
      <c r="EP185" s="59">
        <f t="shared" si="154"/>
        <v>346.30980704469363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13.52574666163544</v>
      </c>
      <c r="EW185" s="21">
        <f>EXP(-LN(2)/25)*EW184+(1-EXP(-LN(2)/25))/(LN(2)/25)*Calculateur!ER185*Calculateur!ET185*VLOOKUP('Données projet'!$B$15,Paramètres!$A$1:$I$89,3,0)*0.475*44/12</f>
        <v>0.1653621529400339</v>
      </c>
      <c r="EX185" s="21">
        <f>EXP(-LN(2)/2)*EX184+(1-EXP(-LN(2)/2))/(LN(2)/2)*ER185*EU185*VLOOKUP('Données projet'!$B$15,Paramètres!$A$1:$I$89,3,0)*0.475*44/12</f>
        <v>2.2465804251671707E-14</v>
      </c>
      <c r="EY185" s="22">
        <f t="shared" si="181"/>
        <v>13.691108814575497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-1.7053025658242404E-13</v>
      </c>
      <c r="FF185" s="17">
        <f>FE185*VLOOKUP('Données projet'!$B$16,Paramètres!$A$1:$I$89,3,0)*VLOOKUP('Données projet'!$B$16,Paramètres!$A$1:$I$89,5,0)</f>
        <v>-1.250327841262333E-13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278.45534008146865</v>
      </c>
      <c r="FK185" s="59">
        <f t="shared" si="156"/>
        <v>272.97841038165217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10.253388598336555</v>
      </c>
      <c r="FR185" s="21">
        <f>EXP(-LN(2)/25)*FR184+(1-EXP(-LN(2)/25))/(LN(2)/25)*Calculateur!FM185*Calculateur!FO185*VLOOKUP('Données projet'!$B$16,Paramètres!$A$1:$I$89,3,0)*0.475*44/12</f>
        <v>0.12535518045454166</v>
      </c>
      <c r="FS185" s="21">
        <f>EXP(-LN(2)/2)*FS184+(1-EXP(-LN(2)/2))/(LN(2)/2)*FM185*FP185*VLOOKUP('Données projet'!$B$16,Paramètres!$A$1:$I$89,3,0)*0.475*44/12</f>
        <v>1.7030529029493083E-14</v>
      </c>
      <c r="FT185" s="22">
        <f t="shared" si="184"/>
        <v>10.378743778791113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-2.8421709430404007E-13</v>
      </c>
      <c r="O186" s="13">
        <f>N186*VLOOKUP('Données projet'!$B$9,Paramètres!$A$1:$I$89,3,0)*VLOOKUP('Données projet'!$B$9,Paramètres!$A$1:$I$89,5,0)</f>
        <v>-2.5715962692629546E-13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436.03161778768742</v>
      </c>
      <c r="T186" s="59">
        <f t="shared" si="142"/>
        <v>217.65884352525285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125.88417082667998</v>
      </c>
      <c r="AA186" s="21">
        <f>EXP(-LN(2)/25)*AA185+(1-EXP(-LN(2)/25))/(LN(2)/25)*Calculateur!V186*Calculateur!X186*VLOOKUP('Données projet'!$B$9,Paramètres!$A$1:$I$89,3,0)*0.475*44/12</f>
        <v>17.888300673501398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143.77247150018138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-2.8421709430404007E-13</v>
      </c>
      <c r="AJ186" s="13">
        <f>AI186*VLOOKUP('Données projet'!$B$10,Paramètres!$A$1:$I$89,3,0)*VLOOKUP('Données projet'!$B$10,Paramètres!$A$1:$I$89,5,0)</f>
        <v>-2.8819613362429665E-13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483.45320081988984</v>
      </c>
      <c r="AO186" s="59">
        <f t="shared" si="144"/>
        <v>238.92443174298893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141.07708799541723</v>
      </c>
      <c r="AV186" s="21">
        <f>EXP(-LN(2)/25)*AV185+(1-EXP(-LN(2)/25))/(LN(2)/25)*Calculateur!AQ186*Calculateur!AS186*VLOOKUP('Données projet'!$B$10,Paramètres!$A$1:$I$89,3,0)*0.475*44/12</f>
        <v>20.047233513406741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161.12432150882398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1.7053025658242404E-13</v>
      </c>
      <c r="BE186" s="13">
        <f>BD186*VLOOKUP('Données projet'!$B$11,Paramètres!$A$1:$I$89,3,0)*VLOOKUP('Données projet'!$B$11,Paramètres!$A$1:$I$89,5,0)</f>
        <v>1.4897523215040567E-13</v>
      </c>
      <c r="BF186" s="13">
        <f t="shared" si="167"/>
        <v>2.136562777003313E-12</v>
      </c>
      <c r="BG186" s="20">
        <f t="shared" si="168"/>
        <v>3.9806453659427267E-12</v>
      </c>
      <c r="BH186" s="59">
        <f t="shared" si="116"/>
        <v>293.33333333333729</v>
      </c>
      <c r="BI186" s="59">
        <f ca="1">AVERAGE(OFFSET($BH$3,0,0,'Données projet'!$E$11+1,1))-AVERAGE(OFFSET($H$3,0,0,'Données projet'!$E$11+1,1))</f>
        <v>310.44153296396854</v>
      </c>
      <c r="BJ186" s="59">
        <f t="shared" si="146"/>
        <v>388.05195847800502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8.6803624707244413</v>
      </c>
      <c r="BQ186" s="21">
        <f>EXP(-LN(2)/25)*BQ185+(1-EXP(-LN(2)/25))/(LN(2)/25)*Calculateur!BL186*Calculateur!BN186*VLOOKUP('Données projet'!$B$11,Paramètres!$A$1:$I$89,3,0)*0.475*44/12</f>
        <v>0.23120250236184339</v>
      </c>
      <c r="BR186" s="21">
        <f>EXP(-LN(2)/2)*BR185+(1-EXP(-LN(2)/2))/(LN(2)/2)*BL186*BO186*VLOOKUP('Données projet'!$B$11,Paramètres!$A$1:$I$89,3,0)*0.475*44/12</f>
        <v>4.042066531643422E-16</v>
      </c>
      <c r="BS186" s="22">
        <f t="shared" si="169"/>
        <v>8.9115649730862856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-2.2737367544323206E-13</v>
      </c>
      <c r="BZ186" s="13">
        <f>BY186*VLOOKUP('Données projet'!$B$12,Paramètres!$A$1:$I$89,3,0)*VLOOKUP('Données projet'!$B$12,Paramètres!$A$1:$I$89,5,0)</f>
        <v>-1.2710188457276673E-13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443.34220761968419</v>
      </c>
      <c r="CE186" s="59">
        <f t="shared" si="148"/>
        <v>546.58234447298014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22.266720270455199</v>
      </c>
      <c r="CL186" s="21">
        <f>EXP(-LN(2)/25)*CL185+(1-EXP(-LN(2)/25))/(LN(2)/25)*Calculateur!CG186*Calculateur!CI186*VLOOKUP('Données projet'!$B$12,Paramètres!$A$1:$I$89,3,0)*0.475*44/12</f>
        <v>2.0028785205236033</v>
      </c>
      <c r="CM186" s="21">
        <f>EXP(-LN(2)/2)*CM185+(1-EXP(-LN(2)/2))/(LN(2)/2)*CG186*CJ186*VLOOKUP('Données projet'!$B$12,Paramètres!$A$1:$I$89,3,0)*0.475*44/12</f>
        <v>1.3244101000938378E-17</v>
      </c>
      <c r="CN186" s="22">
        <f t="shared" si="172"/>
        <v>24.269598790978801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>
        <f>CT186*VLOOKUP('Données projet'!$B$13,Paramètres!$A$1:$I$89,3,0)*VLOOKUP('Données projet'!$B$13,Paramètres!$A$1:$I$89,5,0)</f>
        <v>0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214.22606988805535</v>
      </c>
      <c r="CZ186" s="59">
        <f t="shared" si="150"/>
        <v>305.78163836959078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12.493683827995287</v>
      </c>
      <c r="DG186" s="21">
        <f>EXP(-LN(2)/25)*DG185+(1-EXP(-LN(2)/25))/(LN(2)/25)*Calculateur!DB186*Calculateur!DD186*VLOOKUP('Données projet'!$B$13,Paramètres!$A$1:$I$89,3,0)*0.475*44/12</f>
        <v>1.1738222954910482</v>
      </c>
      <c r="DH186" s="21">
        <f>EXP(-LN(2)/2)*DH185+(1-EXP(-LN(2)/2))/(LN(2)/2)*DB186*DE186*VLOOKUP('Données projet'!$B$13,Paramètres!$A$1:$I$89,3,0)*0.475*44/12</f>
        <v>5.7883223010512365E-18</v>
      </c>
      <c r="DI186" s="22">
        <f t="shared" si="175"/>
        <v>13.667506123486335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-1.7053025658242404E-13</v>
      </c>
      <c r="DP186" s="17">
        <f>DO186*VLOOKUP('Données projet'!$B$14,Paramètres!$A$1:$I$89,3,0)*VLOOKUP('Données projet'!$B$14,Paramètres!$A$1:$I$89,5,0)</f>
        <v>-1.383341441396624E-13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304.26232113495314</v>
      </c>
      <c r="DU186" s="59">
        <f t="shared" si="152"/>
        <v>297.47246687305056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13.708169314973361</v>
      </c>
      <c r="EB186" s="21">
        <f>EXP(-LN(2)/25)*EB185+(1-EXP(-LN(2)/25))/(LN(2)/25)*Calculateur!DW186*Calculateur!DY186*VLOOKUP('Données projet'!$B$14,Paramètres!$A$1:$I$89,3,0)*0.475*44/12</f>
        <v>0.16627003427219667</v>
      </c>
      <c r="EC186" s="21">
        <f>EXP(-LN(2)/2)*EC185+(1-EXP(-LN(2)/2))/(LN(2)/2)*DW186*DZ186*VLOOKUP('Données projet'!$B$14,Paramètres!$A$1:$I$89,3,0)*0.475*44/12</f>
        <v>1.3323509219688191E-14</v>
      </c>
      <c r="ED186" s="22">
        <f t="shared" si="178"/>
        <v>13.874439349245572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-1.7053025658242404E-13</v>
      </c>
      <c r="EK186" s="17">
        <f>EJ186*VLOOKUP('Données projet'!$B$15,Paramètres!$A$1:$I$89,3,0)*VLOOKUP('Données projet'!$B$15,Paramètres!$A$1:$I$89,5,0)</f>
        <v>-1.6493686416652052E-13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355.72173590705142</v>
      </c>
      <c r="EP186" s="59">
        <f t="shared" si="154"/>
        <v>346.30980704469363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13.260515019491622</v>
      </c>
      <c r="EW186" s="21">
        <f>EXP(-LN(2)/25)*EW185+(1-EXP(-LN(2)/25))/(LN(2)/25)*Calculateur!ER186*Calculateur!ET186*VLOOKUP('Données projet'!$B$15,Paramètres!$A$1:$I$89,3,0)*0.475*44/12</f>
        <v>0.16084031617187097</v>
      </c>
      <c r="EX186" s="21">
        <f>EXP(-LN(2)/2)*EX185+(1-EXP(-LN(2)/2))/(LN(2)/2)*ER186*EU186*VLOOKUP('Données projet'!$B$15,Paramètres!$A$1:$I$89,3,0)*0.475*44/12</f>
        <v>1.5885722531166635E-14</v>
      </c>
      <c r="EY186" s="22">
        <f t="shared" si="181"/>
        <v>13.42135533566351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-1.7053025658242404E-13</v>
      </c>
      <c r="FF186" s="17">
        <f>FE186*VLOOKUP('Données projet'!$B$16,Paramètres!$A$1:$I$89,3,0)*VLOOKUP('Données projet'!$B$16,Paramètres!$A$1:$I$89,5,0)</f>
        <v>-1.250327841262333E-13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278.45534008146865</v>
      </c>
      <c r="FK186" s="59">
        <f t="shared" si="156"/>
        <v>272.97841038165217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10.052325901872694</v>
      </c>
      <c r="FR186" s="21">
        <f>EXP(-LN(2)/25)*FR185+(1-EXP(-LN(2)/25))/(LN(2)/25)*Calculateur!FM186*Calculateur!FO186*VLOOKUP('Données projet'!$B$16,Paramètres!$A$1:$I$89,3,0)*0.475*44/12</f>
        <v>0.12192733645286978</v>
      </c>
      <c r="FS186" s="21">
        <f>EXP(-LN(2)/2)*FS185+(1-EXP(-LN(2)/2))/(LN(2)/2)*FM186*FP186*VLOOKUP('Données projet'!$B$16,Paramètres!$A$1:$I$89,3,0)*0.475*44/12</f>
        <v>1.2042402563948911E-14</v>
      </c>
      <c r="FT186" s="22">
        <f t="shared" si="184"/>
        <v>10.174253238325576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-2.8421709430404007E-13</v>
      </c>
      <c r="O187" s="13">
        <f>N187*VLOOKUP('Données projet'!$B$9,Paramètres!$A$1:$I$89,3,0)*VLOOKUP('Données projet'!$B$9,Paramètres!$A$1:$I$89,5,0)</f>
        <v>-2.5715962692629546E-13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436.03161778768742</v>
      </c>
      <c r="T187" s="59">
        <f t="shared" si="142"/>
        <v>217.65884352525285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123.41565901853141</v>
      </c>
      <c r="AA187" s="21">
        <f>EXP(-LN(2)/25)*AA186+(1-EXP(-LN(2)/25))/(LN(2)/25)*Calculateur!V187*Calculateur!X187*VLOOKUP('Données projet'!$B$9,Paramètres!$A$1:$I$89,3,0)*0.475*44/12</f>
        <v>17.399144150879653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140.81480316941108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-2.8421709430404007E-13</v>
      </c>
      <c r="AJ187" s="13">
        <f>AI187*VLOOKUP('Données projet'!$B$10,Paramètres!$A$1:$I$89,3,0)*VLOOKUP('Données projet'!$B$10,Paramètres!$A$1:$I$89,5,0)</f>
        <v>-2.8819613362429665E-13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483.45320081988984</v>
      </c>
      <c r="AO187" s="59">
        <f t="shared" si="144"/>
        <v>238.92443174298893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138.31065234835418</v>
      </c>
      <c r="AV187" s="21">
        <f>EXP(-LN(2)/25)*AV186+(1-EXP(-LN(2)/25))/(LN(2)/25)*Calculateur!AQ187*Calculateur!AS187*VLOOKUP('Données projet'!$B$10,Paramètres!$A$1:$I$89,3,0)*0.475*44/12</f>
        <v>19.499040858744443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157.80969320709863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1.7053025658242404E-13</v>
      </c>
      <c r="BE187" s="13">
        <f>BD187*VLOOKUP('Données projet'!$B$11,Paramètres!$A$1:$I$89,3,0)*VLOOKUP('Données projet'!$B$11,Paramètres!$A$1:$I$89,5,0)</f>
        <v>1.4897523215040567E-13</v>
      </c>
      <c r="BF187" s="13">
        <f t="shared" si="167"/>
        <v>2.136562777003313E-12</v>
      </c>
      <c r="BG187" s="20">
        <f t="shared" si="168"/>
        <v>3.9806453659427267E-12</v>
      </c>
      <c r="BH187" s="59">
        <f t="shared" si="116"/>
        <v>293.33333333333729</v>
      </c>
      <c r="BI187" s="59">
        <f ca="1">AVERAGE(OFFSET($BH$3,0,0,'Données projet'!$E$11+1,1))-AVERAGE(OFFSET($H$3,0,0,'Données projet'!$E$11+1,1))</f>
        <v>310.44153296396854</v>
      </c>
      <c r="BJ187" s="59">
        <f t="shared" si="146"/>
        <v>388.05195847800502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8.5101458571718531</v>
      </c>
      <c r="BQ187" s="21">
        <f>EXP(-LN(2)/25)*BQ186+(1-EXP(-LN(2)/25))/(LN(2)/25)*Calculateur!BL187*Calculateur!BN187*VLOOKUP('Données projet'!$B$11,Paramètres!$A$1:$I$89,3,0)*0.475*44/12</f>
        <v>0.2248802577763476</v>
      </c>
      <c r="BR187" s="21">
        <f>EXP(-LN(2)/2)*BR186+(1-EXP(-LN(2)/2))/(LN(2)/2)*BL187*BO187*VLOOKUP('Données projet'!$B$11,Paramètres!$A$1:$I$89,3,0)*0.475*44/12</f>
        <v>2.8581726545322522E-16</v>
      </c>
      <c r="BS187" s="22">
        <f t="shared" si="169"/>
        <v>8.7350261149482016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-2.2737367544323206E-13</v>
      </c>
      <c r="BZ187" s="13">
        <f>BY187*VLOOKUP('Données projet'!$B$12,Paramètres!$A$1:$I$89,3,0)*VLOOKUP('Données projet'!$B$12,Paramètres!$A$1:$I$89,5,0)</f>
        <v>-1.2710188457276673E-13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443.34220761968419</v>
      </c>
      <c r="CE187" s="59">
        <f t="shared" si="148"/>
        <v>546.58234447298014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21.83008346730989</v>
      </c>
      <c r="CL187" s="21">
        <f>EXP(-LN(2)/25)*CL186+(1-EXP(-LN(2)/25))/(LN(2)/25)*Calculateur!CG187*Calculateur!CI187*VLOOKUP('Données projet'!$B$12,Paramètres!$A$1:$I$89,3,0)*0.475*44/12</f>
        <v>1.9481097020530815</v>
      </c>
      <c r="CM187" s="21">
        <f>EXP(-LN(2)/2)*CM186+(1-EXP(-LN(2)/2))/(LN(2)/2)*CG187*CJ187*VLOOKUP('Données projet'!$B$12,Paramètres!$A$1:$I$89,3,0)*0.475*44/12</f>
        <v>9.3649936284830683E-18</v>
      </c>
      <c r="CN187" s="22">
        <f t="shared" si="172"/>
        <v>23.778193169362972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>
        <f>CT187*VLOOKUP('Données projet'!$B$13,Paramètres!$A$1:$I$89,3,0)*VLOOKUP('Données projet'!$B$13,Paramètres!$A$1:$I$89,5,0)</f>
        <v>0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214.22606988805535</v>
      </c>
      <c r="CZ187" s="59">
        <f t="shared" si="150"/>
        <v>305.78163836959078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12.248690308522983</v>
      </c>
      <c r="DG187" s="21">
        <f>EXP(-LN(2)/25)*DG186+(1-EXP(-LN(2)/25))/(LN(2)/25)*Calculateur!DB187*Calculateur!DD187*VLOOKUP('Données projet'!$B$13,Paramètres!$A$1:$I$89,3,0)*0.475*44/12</f>
        <v>1.1417240630922139</v>
      </c>
      <c r="DH187" s="21">
        <f>EXP(-LN(2)/2)*DH186+(1-EXP(-LN(2)/2))/(LN(2)/2)*DB187*DE187*VLOOKUP('Données projet'!$B$13,Paramètres!$A$1:$I$89,3,0)*0.475*44/12</f>
        <v>4.0929619507666499E-18</v>
      </c>
      <c r="DI187" s="22">
        <f t="shared" si="175"/>
        <v>13.390414371615197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-1.7053025658242404E-13</v>
      </c>
      <c r="DP187" s="17">
        <f>DO187*VLOOKUP('Données projet'!$B$14,Paramètres!$A$1:$I$89,3,0)*VLOOKUP('Données projet'!$B$14,Paramètres!$A$1:$I$89,5,0)</f>
        <v>-1.383341441396624E-13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304.26232113495314</v>
      </c>
      <c r="DU187" s="59">
        <f t="shared" si="152"/>
        <v>297.47246687305056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13.439360475864421</v>
      </c>
      <c r="EB187" s="21">
        <f>EXP(-LN(2)/25)*EB186+(1-EXP(-LN(2)/25))/(LN(2)/25)*Calculateur!DW187*Calculateur!DY187*VLOOKUP('Données projet'!$B$14,Paramètres!$A$1:$I$89,3,0)*0.475*44/12</f>
        <v>0.16172337144126236</v>
      </c>
      <c r="EC187" s="21">
        <f>EXP(-LN(2)/2)*EC186+(1-EXP(-LN(2)/2))/(LN(2)/2)*DW187*DZ187*VLOOKUP('Données projet'!$B$14,Paramètres!$A$1:$I$89,3,0)*0.475*44/12</f>
        <v>9.4211437184430063E-15</v>
      </c>
      <c r="ED187" s="22">
        <f t="shared" si="178"/>
        <v>13.601083847305691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-1.7053025658242404E-13</v>
      </c>
      <c r="EK187" s="17">
        <f>EJ187*VLOOKUP('Données projet'!$B$15,Paramètres!$A$1:$I$89,3,0)*VLOOKUP('Données projet'!$B$15,Paramètres!$A$1:$I$89,5,0)</f>
        <v>-1.6493686416652052E-13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355.72173590705142</v>
      </c>
      <c r="EP187" s="59">
        <f t="shared" si="154"/>
        <v>346.30980704469363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13.000484408074918</v>
      </c>
      <c r="EW187" s="21">
        <f>EXP(-LN(2)/25)*EW186+(1-EXP(-LN(2)/25))/(LN(2)/25)*Calculateur!ER187*Calculateur!ET187*VLOOKUP('Données projet'!$B$15,Paramètres!$A$1:$I$89,3,0)*0.475*44/12</f>
        <v>0.15644212926792653</v>
      </c>
      <c r="EX187" s="21">
        <f>EXP(-LN(2)/2)*EX186+(1-EXP(-LN(2)/2))/(LN(2)/2)*ER187*EU187*VLOOKUP('Données projet'!$B$15,Paramètres!$A$1:$I$89,3,0)*0.475*44/12</f>
        <v>1.1232902125835854E-14</v>
      </c>
      <c r="EY187" s="22">
        <f t="shared" si="181"/>
        <v>13.156926537342855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-1.7053025658242404E-13</v>
      </c>
      <c r="FF187" s="17">
        <f>FE187*VLOOKUP('Données projet'!$B$16,Paramètres!$A$1:$I$89,3,0)*VLOOKUP('Données projet'!$B$16,Paramètres!$A$1:$I$89,5,0)</f>
        <v>-1.250327841262333E-13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278.45534008146865</v>
      </c>
      <c r="FK187" s="59">
        <f t="shared" si="156"/>
        <v>272.97841038165217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9.8552059222503541</v>
      </c>
      <c r="FR187" s="21">
        <f>EXP(-LN(2)/25)*FR186+(1-EXP(-LN(2)/25))/(LN(2)/25)*Calculateur!FM187*Calculateur!FO187*VLOOKUP('Données projet'!$B$16,Paramètres!$A$1:$I$89,3,0)*0.475*44/12</f>
        <v>0.1185932270256861</v>
      </c>
      <c r="FS187" s="21">
        <f>EXP(-LN(2)/2)*FS186+(1-EXP(-LN(2)/2))/(LN(2)/2)*FM187*FP187*VLOOKUP('Données projet'!$B$16,Paramètres!$A$1:$I$89,3,0)*0.475*44/12</f>
        <v>8.5152645147465416E-15</v>
      </c>
      <c r="FT187" s="22">
        <f t="shared" si="184"/>
        <v>9.9737991492760489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-2.8421709430404007E-13</v>
      </c>
      <c r="O188" s="13">
        <f>N188*VLOOKUP('Données projet'!$B$9,Paramètres!$A$1:$I$89,3,0)*VLOOKUP('Données projet'!$B$9,Paramètres!$A$1:$I$89,5,0)</f>
        <v>-2.5715962692629546E-13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436.03161778768742</v>
      </c>
      <c r="T188" s="59">
        <f t="shared" si="142"/>
        <v>217.65884352525285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120.99555322129711</v>
      </c>
      <c r="AA188" s="21">
        <f>EXP(-LN(2)/25)*AA187+(1-EXP(-LN(2)/25))/(LN(2)/25)*Calculateur!V188*Calculateur!X188*VLOOKUP('Données projet'!$B$9,Paramètres!$A$1:$I$89,3,0)*0.475*44/12</f>
        <v>16.923363639092624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137.91891686038974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-2.8421709430404007E-13</v>
      </c>
      <c r="AJ188" s="13">
        <f>AI188*VLOOKUP('Données projet'!$B$10,Paramètres!$A$1:$I$89,3,0)*VLOOKUP('Données projet'!$B$10,Paramètres!$A$1:$I$89,5,0)</f>
        <v>-2.8819613362429665E-13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483.45320081988984</v>
      </c>
      <c r="AO188" s="59">
        <f t="shared" si="144"/>
        <v>238.92443174298893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135.5984648169709</v>
      </c>
      <c r="AV188" s="21">
        <f>EXP(-LN(2)/25)*AV187+(1-EXP(-LN(2)/25))/(LN(2)/25)*Calculateur!AQ188*Calculateur!AS188*VLOOKUP('Données projet'!$B$10,Paramètres!$A$1:$I$89,3,0)*0.475*44/12</f>
        <v>18.965838561052085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154.564303378023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1.7053025658242404E-13</v>
      </c>
      <c r="BE188" s="13">
        <f>BD188*VLOOKUP('Données projet'!$B$11,Paramètres!$A$1:$I$89,3,0)*VLOOKUP('Données projet'!$B$11,Paramètres!$A$1:$I$89,5,0)</f>
        <v>1.4897523215040567E-13</v>
      </c>
      <c r="BF188" s="13">
        <f t="shared" si="167"/>
        <v>2.136562777003313E-12</v>
      </c>
      <c r="BG188" s="20">
        <f t="shared" si="168"/>
        <v>3.9806453659427267E-12</v>
      </c>
      <c r="BH188" s="59">
        <f t="shared" si="116"/>
        <v>293.33333333333729</v>
      </c>
      <c r="BI188" s="59">
        <f ca="1">AVERAGE(OFFSET($BH$3,0,0,'Données projet'!$E$11+1,1))-AVERAGE(OFFSET($H$3,0,0,'Données projet'!$E$11+1,1))</f>
        <v>310.44153296396854</v>
      </c>
      <c r="BJ188" s="59">
        <f t="shared" si="146"/>
        <v>388.05195847800502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8.3432670875891493</v>
      </c>
      <c r="BQ188" s="21">
        <f>EXP(-LN(2)/25)*BQ187+(1-EXP(-LN(2)/25))/(LN(2)/25)*Calculateur!BL188*Calculateur!BN188*VLOOKUP('Données projet'!$B$11,Paramètres!$A$1:$I$89,3,0)*0.475*44/12</f>
        <v>0.2187308953015146</v>
      </c>
      <c r="BR188" s="21">
        <f>EXP(-LN(2)/2)*BR187+(1-EXP(-LN(2)/2))/(LN(2)/2)*BL188*BO188*VLOOKUP('Données projet'!$B$11,Paramètres!$A$1:$I$89,3,0)*0.475*44/12</f>
        <v>2.021033265821711E-16</v>
      </c>
      <c r="BS188" s="22">
        <f t="shared" si="169"/>
        <v>8.5619979828906647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-2.2737367544323206E-13</v>
      </c>
      <c r="BZ188" s="13">
        <f>BY188*VLOOKUP('Données projet'!$B$12,Paramètres!$A$1:$I$89,3,0)*VLOOKUP('Données projet'!$B$12,Paramètres!$A$1:$I$89,5,0)</f>
        <v>-1.2710188457276673E-13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443.34220761968419</v>
      </c>
      <c r="CE188" s="59">
        <f t="shared" si="148"/>
        <v>546.58234447298014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21.402008845552107</v>
      </c>
      <c r="CL188" s="21">
        <f>EXP(-LN(2)/25)*CL187+(1-EXP(-LN(2)/25))/(LN(2)/25)*Calculateur!CG188*Calculateur!CI188*VLOOKUP('Données projet'!$B$12,Paramètres!$A$1:$I$89,3,0)*0.475*44/12</f>
        <v>1.8948385398038032</v>
      </c>
      <c r="CM188" s="21">
        <f>EXP(-LN(2)/2)*CM187+(1-EXP(-LN(2)/2))/(LN(2)/2)*CG188*CJ188*VLOOKUP('Données projet'!$B$12,Paramètres!$A$1:$I$89,3,0)*0.475*44/12</f>
        <v>6.6220505004691888E-18</v>
      </c>
      <c r="CN188" s="22">
        <f t="shared" si="172"/>
        <v>23.29684738535591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>
        <f>CT188*VLOOKUP('Données projet'!$B$13,Paramètres!$A$1:$I$89,3,0)*VLOOKUP('Données projet'!$B$13,Paramètres!$A$1:$I$89,5,0)</f>
        <v>0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214.22606988805535</v>
      </c>
      <c r="CZ188" s="59">
        <f t="shared" si="150"/>
        <v>305.78163836959078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12.008500962536239</v>
      </c>
      <c r="DG188" s="21">
        <f>EXP(-LN(2)/25)*DG187+(1-EXP(-LN(2)/25))/(LN(2)/25)*Calculateur!DB188*Calculateur!DD188*VLOOKUP('Données projet'!$B$13,Paramètres!$A$1:$I$89,3,0)*0.475*44/12</f>
        <v>1.1105035585462983</v>
      </c>
      <c r="DH188" s="21">
        <f>EXP(-LN(2)/2)*DH187+(1-EXP(-LN(2)/2))/(LN(2)/2)*DB188*DE188*VLOOKUP('Données projet'!$B$13,Paramètres!$A$1:$I$89,3,0)*0.475*44/12</f>
        <v>2.8941611505256182E-18</v>
      </c>
      <c r="DI188" s="22">
        <f t="shared" si="175"/>
        <v>13.119004521082537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-1.7053025658242404E-13</v>
      </c>
      <c r="DP188" s="17">
        <f>DO188*VLOOKUP('Données projet'!$B$14,Paramètres!$A$1:$I$89,3,0)*VLOOKUP('Données projet'!$B$14,Paramètres!$A$1:$I$89,5,0)</f>
        <v>-1.383341441396624E-13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304.26232113495314</v>
      </c>
      <c r="DU188" s="59">
        <f t="shared" si="152"/>
        <v>297.47246687305056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13.175822814133204</v>
      </c>
      <c r="EB188" s="21">
        <f>EXP(-LN(2)/25)*EB187+(1-EXP(-LN(2)/25))/(LN(2)/25)*Calculateur!DW188*Calculateur!DY188*VLOOKUP('Données projet'!$B$14,Paramètres!$A$1:$I$89,3,0)*0.475*44/12</f>
        <v>0.15730103734453857</v>
      </c>
      <c r="EC188" s="21">
        <f>EXP(-LN(2)/2)*EC187+(1-EXP(-LN(2)/2))/(LN(2)/2)*DW188*DZ188*VLOOKUP('Données projet'!$B$14,Paramètres!$A$1:$I$89,3,0)*0.475*44/12</f>
        <v>6.6617546098440956E-15</v>
      </c>
      <c r="ED188" s="22">
        <f t="shared" si="178"/>
        <v>13.333123851477749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-1.7053025658242404E-13</v>
      </c>
      <c r="EK188" s="17">
        <f>EJ188*VLOOKUP('Données projet'!$B$15,Paramètres!$A$1:$I$89,3,0)*VLOOKUP('Données projet'!$B$15,Paramètres!$A$1:$I$89,5,0)</f>
        <v>-1.6493686416652052E-13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355.72173590705142</v>
      </c>
      <c r="EP188" s="59">
        <f t="shared" si="154"/>
        <v>346.30980704469363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12.745552838345084</v>
      </c>
      <c r="EW188" s="21">
        <f>EXP(-LN(2)/25)*EW187+(1-EXP(-LN(2)/25))/(LN(2)/25)*Calculateur!ER188*Calculateur!ET188*VLOOKUP('Données projet'!$B$15,Paramètres!$A$1:$I$89,3,0)*0.475*44/12</f>
        <v>0.15216421101616104</v>
      </c>
      <c r="EX188" s="21">
        <f>EXP(-LN(2)/2)*EX187+(1-EXP(-LN(2)/2))/(LN(2)/2)*ER188*EU188*VLOOKUP('Données projet'!$B$15,Paramètres!$A$1:$I$89,3,0)*0.475*44/12</f>
        <v>7.9428612655833173E-15</v>
      </c>
      <c r="EY188" s="22">
        <f t="shared" si="181"/>
        <v>12.897717049361253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-1.7053025658242404E-13</v>
      </c>
      <c r="FF188" s="17">
        <f>FE188*VLOOKUP('Données projet'!$B$16,Paramètres!$A$1:$I$89,3,0)*VLOOKUP('Données projet'!$B$16,Paramètres!$A$1:$I$89,5,0)</f>
        <v>-1.250327841262333E-13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278.45534008146865</v>
      </c>
      <c r="FK188" s="59">
        <f t="shared" si="156"/>
        <v>272.97841038165217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9.6619513451970924</v>
      </c>
      <c r="FR188" s="21">
        <f>EXP(-LN(2)/25)*FR187+(1-EXP(-LN(2)/25))/(LN(2)/25)*Calculateur!FM188*Calculateur!FO188*VLOOKUP('Données projet'!$B$16,Paramètres!$A$1:$I$89,3,0)*0.475*44/12</f>
        <v>0.11535028899612196</v>
      </c>
      <c r="FS188" s="21">
        <f>EXP(-LN(2)/2)*FS187+(1-EXP(-LN(2)/2))/(LN(2)/2)*FM188*FP188*VLOOKUP('Données projet'!$B$16,Paramètres!$A$1:$I$89,3,0)*0.475*44/12</f>
        <v>6.0212012819744556E-15</v>
      </c>
      <c r="FT188" s="22">
        <f t="shared" si="184"/>
        <v>9.7773016341932202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-2.8421709430404007E-13</v>
      </c>
      <c r="O189" s="13">
        <f>N189*VLOOKUP('Données projet'!$B$9,Paramètres!$A$1:$I$89,3,0)*VLOOKUP('Données projet'!$B$9,Paramètres!$A$1:$I$89,5,0)</f>
        <v>-2.5715962692629546E-13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436.03161778768742</v>
      </c>
      <c r="T189" s="59">
        <f t="shared" si="142"/>
        <v>217.65884352525285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118.6229042226278</v>
      </c>
      <c r="AA189" s="21">
        <f>EXP(-LN(2)/25)*AA188+(1-EXP(-LN(2)/25))/(LN(2)/25)*Calculateur!V189*Calculateur!X189*VLOOKUP('Données projet'!$B$9,Paramètres!$A$1:$I$89,3,0)*0.475*44/12</f>
        <v>16.460593370420622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135.08349759304841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-2.8421709430404007E-13</v>
      </c>
      <c r="AJ189" s="13">
        <f>AI189*VLOOKUP('Données projet'!$B$10,Paramètres!$A$1:$I$89,3,0)*VLOOKUP('Données projet'!$B$10,Paramètres!$A$1:$I$89,5,0)</f>
        <v>-2.8819613362429665E-13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483.45320081988984</v>
      </c>
      <c r="AO189" s="59">
        <f t="shared" si="144"/>
        <v>238.92443174298893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132.93946162880701</v>
      </c>
      <c r="AV189" s="21">
        <f>EXP(-LN(2)/25)*AV188+(1-EXP(-LN(2)/25))/(LN(2)/25)*Calculateur!AQ189*Calculateur!AS189*VLOOKUP('Données projet'!$B$10,Paramètres!$A$1:$I$89,3,0)*0.475*44/12</f>
        <v>18.447216708230012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151.38667833703701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1.7053025658242404E-13</v>
      </c>
      <c r="BE189" s="13">
        <f>BD189*VLOOKUP('Données projet'!$B$11,Paramètres!$A$1:$I$89,3,0)*VLOOKUP('Données projet'!$B$11,Paramètres!$A$1:$I$89,5,0)</f>
        <v>1.4897523215040567E-13</v>
      </c>
      <c r="BF189" s="13">
        <f t="shared" si="167"/>
        <v>2.136562777003313E-12</v>
      </c>
      <c r="BG189" s="20">
        <f t="shared" si="168"/>
        <v>3.9806453659427267E-12</v>
      </c>
      <c r="BH189" s="59">
        <f t="shared" si="116"/>
        <v>293.33333333333729</v>
      </c>
      <c r="BI189" s="59">
        <f ca="1">AVERAGE(OFFSET($BH$3,0,0,'Données projet'!$E$11+1,1))-AVERAGE(OFFSET($H$3,0,0,'Données projet'!$E$11+1,1))</f>
        <v>310.44153296396854</v>
      </c>
      <c r="BJ189" s="59">
        <f t="shared" si="146"/>
        <v>388.05195847800502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8.1796607088919639</v>
      </c>
      <c r="BQ189" s="21">
        <f>EXP(-LN(2)/25)*BQ188+(1-EXP(-LN(2)/25))/(LN(2)/25)*Calculateur!BL189*Calculateur!BN189*VLOOKUP('Données projet'!$B$11,Paramètres!$A$1:$I$89,3,0)*0.475*44/12</f>
        <v>0.21274968746693682</v>
      </c>
      <c r="BR189" s="21">
        <f>EXP(-LN(2)/2)*BR188+(1-EXP(-LN(2)/2))/(LN(2)/2)*BL189*BO189*VLOOKUP('Données projet'!$B$11,Paramètres!$A$1:$I$89,3,0)*0.475*44/12</f>
        <v>1.4290863272661261E-16</v>
      </c>
      <c r="BS189" s="22">
        <f t="shared" si="169"/>
        <v>8.3924103963589012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-2.2737367544323206E-13</v>
      </c>
      <c r="BZ189" s="13">
        <f>BY189*VLOOKUP('Données projet'!$B$12,Paramètres!$A$1:$I$89,3,0)*VLOOKUP('Données projet'!$B$12,Paramètres!$A$1:$I$89,5,0)</f>
        <v>-1.2710188457276673E-13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443.34220761968419</v>
      </c>
      <c r="CE189" s="59">
        <f t="shared" si="148"/>
        <v>546.58234447298014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20.982328506027258</v>
      </c>
      <c r="CL189" s="21">
        <f>EXP(-LN(2)/25)*CL188+(1-EXP(-LN(2)/25))/(LN(2)/25)*Calculateur!CG189*Calculateur!CI189*VLOOKUP('Données projet'!$B$12,Paramètres!$A$1:$I$89,3,0)*0.475*44/12</f>
        <v>1.8430240802876401</v>
      </c>
      <c r="CM189" s="21">
        <f>EXP(-LN(2)/2)*CM188+(1-EXP(-LN(2)/2))/(LN(2)/2)*CG189*CJ189*VLOOKUP('Données projet'!$B$12,Paramètres!$A$1:$I$89,3,0)*0.475*44/12</f>
        <v>4.6824968142415341E-18</v>
      </c>
      <c r="CN189" s="22">
        <f t="shared" si="172"/>
        <v>22.825352586314899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>
        <f>CT189*VLOOKUP('Données projet'!$B$13,Paramètres!$A$1:$I$89,3,0)*VLOOKUP('Données projet'!$B$13,Paramètres!$A$1:$I$89,5,0)</f>
        <v>0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214.22606988805535</v>
      </c>
      <c r="CZ189" s="59">
        <f t="shared" si="150"/>
        <v>305.78163836959078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11.77302158312326</v>
      </c>
      <c r="DG189" s="21">
        <f>EXP(-LN(2)/25)*DG188+(1-EXP(-LN(2)/25))/(LN(2)/25)*Calculateur!DB189*Calculateur!DD189*VLOOKUP('Données projet'!$B$13,Paramètres!$A$1:$I$89,3,0)*0.475*44/12</f>
        <v>1.0801367803390058</v>
      </c>
      <c r="DH189" s="21">
        <f>EXP(-LN(2)/2)*DH188+(1-EXP(-LN(2)/2))/(LN(2)/2)*DB189*DE189*VLOOKUP('Données projet'!$B$13,Paramètres!$A$1:$I$89,3,0)*0.475*44/12</f>
        <v>2.0464809753833249E-18</v>
      </c>
      <c r="DI189" s="22">
        <f t="shared" si="175"/>
        <v>12.853158363462265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-1.7053025658242404E-13</v>
      </c>
      <c r="DP189" s="17">
        <f>DO189*VLOOKUP('Données projet'!$B$14,Paramètres!$A$1:$I$89,3,0)*VLOOKUP('Données projet'!$B$14,Paramètres!$A$1:$I$89,5,0)</f>
        <v>-1.383341441396624E-13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304.26232113495314</v>
      </c>
      <c r="DU189" s="59">
        <f t="shared" si="152"/>
        <v>297.47246687305056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12.917452965206433</v>
      </c>
      <c r="EB189" s="21">
        <f>EXP(-LN(2)/25)*EB188+(1-EXP(-LN(2)/25))/(LN(2)/25)*Calculateur!DW189*Calculateur!DY189*VLOOKUP('Données projet'!$B$14,Paramètres!$A$1:$I$89,3,0)*0.475*44/12</f>
        <v>0.15299963220625012</v>
      </c>
      <c r="EC189" s="21">
        <f>EXP(-LN(2)/2)*EC188+(1-EXP(-LN(2)/2))/(LN(2)/2)*DW189*DZ189*VLOOKUP('Données projet'!$B$14,Paramètres!$A$1:$I$89,3,0)*0.475*44/12</f>
        <v>4.7105718592215032E-15</v>
      </c>
      <c r="ED189" s="22">
        <f t="shared" si="178"/>
        <v>13.070452597412688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-1.7053025658242404E-13</v>
      </c>
      <c r="EK189" s="17">
        <f>EJ189*VLOOKUP('Données projet'!$B$15,Paramètres!$A$1:$I$89,3,0)*VLOOKUP('Données projet'!$B$15,Paramètres!$A$1:$I$89,5,0)</f>
        <v>-1.6493686416652052E-13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355.72173590705142</v>
      </c>
      <c r="EP189" s="59">
        <f t="shared" si="154"/>
        <v>346.30980704469363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12.495620321204747</v>
      </c>
      <c r="EW189" s="21">
        <f>EXP(-LN(2)/25)*EW188+(1-EXP(-LN(2)/25))/(LN(2)/25)*Calculateur!ER189*Calculateur!ET189*VLOOKUP('Données projet'!$B$15,Paramètres!$A$1:$I$89,3,0)*0.475*44/12</f>
        <v>0.14800327266395602</v>
      </c>
      <c r="EX189" s="21">
        <f>EXP(-LN(2)/2)*EX188+(1-EXP(-LN(2)/2))/(LN(2)/2)*ER189*EU189*VLOOKUP('Données projet'!$B$15,Paramètres!$A$1:$I$89,3,0)*0.475*44/12</f>
        <v>5.6164510629179269E-15</v>
      </c>
      <c r="EY189" s="22">
        <f t="shared" si="181"/>
        <v>12.643623593868709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-1.7053025658242404E-13</v>
      </c>
      <c r="FF189" s="17">
        <f>FE189*VLOOKUP('Données projet'!$B$16,Paramètres!$A$1:$I$89,3,0)*VLOOKUP('Données projet'!$B$16,Paramètres!$A$1:$I$89,5,0)</f>
        <v>-1.250327841262333E-13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278.45534008146865</v>
      </c>
      <c r="FK189" s="59">
        <f t="shared" si="156"/>
        <v>272.97841038165217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9.4724863725261912</v>
      </c>
      <c r="FR189" s="21">
        <f>EXP(-LN(2)/25)*FR188+(1-EXP(-LN(2)/25))/(LN(2)/25)*Calculateur!FM189*Calculateur!FO189*VLOOKUP('Données projet'!$B$16,Paramètres!$A$1:$I$89,3,0)*0.475*44/12</f>
        <v>0.11219602927751494</v>
      </c>
      <c r="FS189" s="21">
        <f>EXP(-LN(2)/2)*FS188+(1-EXP(-LN(2)/2))/(LN(2)/2)*FM189*FP189*VLOOKUP('Données projet'!$B$16,Paramètres!$A$1:$I$89,3,0)*0.475*44/12</f>
        <v>4.2576322573732708E-15</v>
      </c>
      <c r="FT189" s="22">
        <f t="shared" si="184"/>
        <v>9.5846824018037093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-2.8421709430404007E-13</v>
      </c>
      <c r="O190" s="13">
        <f>N190*VLOOKUP('Données projet'!$B$9,Paramètres!$A$1:$I$89,3,0)*VLOOKUP('Données projet'!$B$9,Paramètres!$A$1:$I$89,5,0)</f>
        <v>-2.5715962692629546E-13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436.03161778768742</v>
      </c>
      <c r="T190" s="59">
        <f t="shared" si="142"/>
        <v>217.65884352525285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116.29678142364939</v>
      </c>
      <c r="AA190" s="21">
        <f>EXP(-LN(2)/25)*AA189+(1-EXP(-LN(2)/25))/(LN(2)/25)*Calculateur!V190*Calculateur!X190*VLOOKUP('Données projet'!$B$9,Paramètres!$A$1:$I$89,3,0)*0.475*44/12</f>
        <v>16.010477579081485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132.30725900273089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-2.8421709430404007E-13</v>
      </c>
      <c r="AJ190" s="13">
        <f>AI190*VLOOKUP('Données projet'!$B$10,Paramètres!$A$1:$I$89,3,0)*VLOOKUP('Données projet'!$B$10,Paramètres!$A$1:$I$89,5,0)</f>
        <v>-2.8819613362429665E-13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483.45320081988984</v>
      </c>
      <c r="AO190" s="59">
        <f t="shared" si="144"/>
        <v>238.92443174298893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130.33259987133121</v>
      </c>
      <c r="AV190" s="21">
        <f>EXP(-LN(2)/25)*AV189+(1-EXP(-LN(2)/25))/(LN(2)/25)*Calculateur!AQ190*Calculateur!AS190*VLOOKUP('Données projet'!$B$10,Paramètres!$A$1:$I$89,3,0)*0.475*44/12</f>
        <v>17.942776597246496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148.27537646857772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1.7053025658242404E-13</v>
      </c>
      <c r="BE190" s="13">
        <f>BD190*VLOOKUP('Données projet'!$B$11,Paramètres!$A$1:$I$89,3,0)*VLOOKUP('Données projet'!$B$11,Paramètres!$A$1:$I$89,5,0)</f>
        <v>1.4897523215040567E-13</v>
      </c>
      <c r="BF190" s="13">
        <f t="shared" si="167"/>
        <v>2.136562777003313E-12</v>
      </c>
      <c r="BG190" s="20">
        <f t="shared" si="168"/>
        <v>3.9806453659427267E-12</v>
      </c>
      <c r="BH190" s="59">
        <f t="shared" si="116"/>
        <v>293.33333333333729</v>
      </c>
      <c r="BI190" s="59">
        <f ca="1">AVERAGE(OFFSET($BH$3,0,0,'Données projet'!$E$11+1,1))-AVERAGE(OFFSET($H$3,0,0,'Données projet'!$E$11+1,1))</f>
        <v>310.44153296396854</v>
      </c>
      <c r="BJ190" s="59">
        <f t="shared" si="146"/>
        <v>388.05195847800502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8.0192625514909928</v>
      </c>
      <c r="BQ190" s="21">
        <f>EXP(-LN(2)/25)*BQ189+(1-EXP(-LN(2)/25))/(LN(2)/25)*Calculateur!BL190*Calculateur!BN190*VLOOKUP('Données projet'!$B$11,Paramètres!$A$1:$I$89,3,0)*0.475*44/12</f>
        <v>0.20693203607513361</v>
      </c>
      <c r="BR190" s="21">
        <f>EXP(-LN(2)/2)*BR189+(1-EXP(-LN(2)/2))/(LN(2)/2)*BL190*BO190*VLOOKUP('Données projet'!$B$11,Paramètres!$A$1:$I$89,3,0)*0.475*44/12</f>
        <v>1.0105166329108555E-16</v>
      </c>
      <c r="BS190" s="22">
        <f t="shared" si="169"/>
        <v>8.2261945875661269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-2.2737367544323206E-13</v>
      </c>
      <c r="BZ190" s="13">
        <f>BY190*VLOOKUP('Données projet'!$B$12,Paramètres!$A$1:$I$89,3,0)*VLOOKUP('Données projet'!$B$12,Paramètres!$A$1:$I$89,5,0)</f>
        <v>-1.2710188457276673E-13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443.34220761968419</v>
      </c>
      <c r="CE190" s="59">
        <f t="shared" si="148"/>
        <v>546.58234447298014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20.57087784198076</v>
      </c>
      <c r="CL190" s="21">
        <f>EXP(-LN(2)/25)*CL189+(1-EXP(-LN(2)/25))/(LN(2)/25)*Calculateur!CG190*Calculateur!CI190*VLOOKUP('Données projet'!$B$12,Paramètres!$A$1:$I$89,3,0)*0.475*44/12</f>
        <v>1.7926264898917506</v>
      </c>
      <c r="CM190" s="21">
        <f>EXP(-LN(2)/2)*CM189+(1-EXP(-LN(2)/2))/(LN(2)/2)*CG190*CJ190*VLOOKUP('Données projet'!$B$12,Paramètres!$A$1:$I$89,3,0)*0.475*44/12</f>
        <v>3.3110252502345944E-18</v>
      </c>
      <c r="CN190" s="22">
        <f t="shared" si="172"/>
        <v>22.363504331872512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>
        <f>CT190*VLOOKUP('Données projet'!$B$13,Paramètres!$A$1:$I$89,3,0)*VLOOKUP('Données projet'!$B$13,Paramètres!$A$1:$I$89,5,0)</f>
        <v>0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214.22606988805535</v>
      </c>
      <c r="CZ190" s="59">
        <f t="shared" si="150"/>
        <v>305.78163836959078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11.542159810712329</v>
      </c>
      <c r="DG190" s="21">
        <f>EXP(-LN(2)/25)*DG189+(1-EXP(-LN(2)/25))/(LN(2)/25)*Calculateur!DB190*Calculateur!DD190*VLOOKUP('Données projet'!$B$13,Paramètres!$A$1:$I$89,3,0)*0.475*44/12</f>
        <v>1.0506003832787112</v>
      </c>
      <c r="DH190" s="21">
        <f>EXP(-LN(2)/2)*DH189+(1-EXP(-LN(2)/2))/(LN(2)/2)*DB190*DE190*VLOOKUP('Données projet'!$B$13,Paramètres!$A$1:$I$89,3,0)*0.475*44/12</f>
        <v>1.4470805752628091E-18</v>
      </c>
      <c r="DI190" s="22">
        <f t="shared" si="175"/>
        <v>12.59276019399104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-1.7053025658242404E-13</v>
      </c>
      <c r="DP190" s="17">
        <f>DO190*VLOOKUP('Données projet'!$B$14,Paramètres!$A$1:$I$89,3,0)*VLOOKUP('Données projet'!$B$14,Paramètres!$A$1:$I$89,5,0)</f>
        <v>-1.383341441396624E-13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304.26232113495314</v>
      </c>
      <c r="DU190" s="59">
        <f t="shared" si="152"/>
        <v>297.47246687305056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12.664149591427069</v>
      </c>
      <c r="EB190" s="21">
        <f>EXP(-LN(2)/25)*EB189+(1-EXP(-LN(2)/25))/(LN(2)/25)*Calculateur!DW190*Calculateur!DY190*VLOOKUP('Données projet'!$B$14,Paramètres!$A$1:$I$89,3,0)*0.475*44/12</f>
        <v>0.14881584921766924</v>
      </c>
      <c r="EC190" s="21">
        <f>EXP(-LN(2)/2)*EC189+(1-EXP(-LN(2)/2))/(LN(2)/2)*DW190*DZ190*VLOOKUP('Données projet'!$B$14,Paramètres!$A$1:$I$89,3,0)*0.475*44/12</f>
        <v>3.3308773049220478E-15</v>
      </c>
      <c r="ED190" s="22">
        <f t="shared" si="178"/>
        <v>12.812965440644742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-1.7053025658242404E-13</v>
      </c>
      <c r="EK190" s="17">
        <f>EJ190*VLOOKUP('Données projet'!$B$15,Paramètres!$A$1:$I$89,3,0)*VLOOKUP('Données projet'!$B$15,Paramètres!$A$1:$I$89,5,0)</f>
        <v>-1.6493686416652052E-13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355.72173590705142</v>
      </c>
      <c r="EP190" s="59">
        <f t="shared" si="154"/>
        <v>346.30980704469363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12.250588828281749</v>
      </c>
      <c r="EW190" s="21">
        <f>EXP(-LN(2)/25)*EW189+(1-EXP(-LN(2)/25))/(LN(2)/25)*Calculateur!ER190*Calculateur!ET190*VLOOKUP('Données projet'!$B$15,Paramètres!$A$1:$I$89,3,0)*0.475*44/12</f>
        <v>0.14395611538980629</v>
      </c>
      <c r="EX190" s="21">
        <f>EXP(-LN(2)/2)*EX189+(1-EXP(-LN(2)/2))/(LN(2)/2)*ER190*EU190*VLOOKUP('Données projet'!$B$15,Paramètres!$A$1:$I$89,3,0)*0.475*44/12</f>
        <v>3.9714306327916587E-15</v>
      </c>
      <c r="EY190" s="22">
        <f t="shared" si="181"/>
        <v>12.394544943671558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-1.7053025658242404E-13</v>
      </c>
      <c r="FF190" s="17">
        <f>FE190*VLOOKUP('Données projet'!$B$16,Paramètres!$A$1:$I$89,3,0)*VLOOKUP('Données projet'!$B$16,Paramètres!$A$1:$I$89,5,0)</f>
        <v>-1.250327841262333E-13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278.45534008146865</v>
      </c>
      <c r="FK190" s="59">
        <f t="shared" si="156"/>
        <v>272.97841038165217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9.2867366924071444</v>
      </c>
      <c r="FR190" s="21">
        <f>EXP(-LN(2)/25)*FR189+(1-EXP(-LN(2)/25))/(LN(2)/25)*Calculateur!FM190*Calculateur!FO190*VLOOKUP('Données projet'!$B$16,Paramètres!$A$1:$I$89,3,0)*0.475*44/12</f>
        <v>0.10912802295678854</v>
      </c>
      <c r="FS190" s="21">
        <f>EXP(-LN(2)/2)*FS189+(1-EXP(-LN(2)/2))/(LN(2)/2)*FM190*FP190*VLOOKUP('Données projet'!$B$16,Paramètres!$A$1:$I$89,3,0)*0.475*44/12</f>
        <v>3.0106006409872278E-15</v>
      </c>
      <c r="FT190" s="22">
        <f t="shared" si="184"/>
        <v>9.3958647153639365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-2.8421709430404007E-13</v>
      </c>
      <c r="O191" s="13">
        <f>N191*VLOOKUP('Données projet'!$B$9,Paramètres!$A$1:$I$89,3,0)*VLOOKUP('Données projet'!$B$9,Paramètres!$A$1:$I$89,5,0)</f>
        <v>-2.5715962692629546E-13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436.03161778768742</v>
      </c>
      <c r="T191" s="59">
        <f t="shared" si="142"/>
        <v>217.65884352525285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114.01627247396414</v>
      </c>
      <c r="AA191" s="21">
        <f>EXP(-LN(2)/25)*AA190+(1-EXP(-LN(2)/25))/(LN(2)/25)*Calculateur!V191*Calculateur!X191*VLOOKUP('Données projet'!$B$9,Paramètres!$A$1:$I$89,3,0)*0.475*44/12</f>
        <v>15.572670227727079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129.58894270169122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-2.8421709430404007E-13</v>
      </c>
      <c r="AJ191" s="13">
        <f>AI191*VLOOKUP('Données projet'!$B$10,Paramètres!$A$1:$I$89,3,0)*VLOOKUP('Données projet'!$B$10,Paramètres!$A$1:$I$89,5,0)</f>
        <v>-2.8819613362429665E-13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483.45320081988984</v>
      </c>
      <c r="AO191" s="59">
        <f t="shared" si="144"/>
        <v>238.92443174298893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127.77685708289084</v>
      </c>
      <c r="AV191" s="21">
        <f>EXP(-LN(2)/25)*AV190+(1-EXP(-LN(2)/25))/(LN(2)/25)*Calculateur!AQ191*Calculateur!AS191*VLOOKUP('Données projet'!$B$10,Paramètres!$A$1:$I$89,3,0)*0.475*44/12</f>
        <v>17.452130427625178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145.22898751051602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1.7053025658242404E-13</v>
      </c>
      <c r="BE191" s="13">
        <f>BD191*VLOOKUP('Données projet'!$B$11,Paramètres!$A$1:$I$89,3,0)*VLOOKUP('Données projet'!$B$11,Paramètres!$A$1:$I$89,5,0)</f>
        <v>1.4897523215040567E-13</v>
      </c>
      <c r="BF191" s="13">
        <f t="shared" si="167"/>
        <v>2.136562777003313E-12</v>
      </c>
      <c r="BG191" s="20">
        <f t="shared" si="168"/>
        <v>3.9806453659427267E-12</v>
      </c>
      <c r="BH191" s="59">
        <f t="shared" si="116"/>
        <v>293.33333333333729</v>
      </c>
      <c r="BI191" s="59">
        <f ca="1">AVERAGE(OFFSET($BH$3,0,0,'Données projet'!$E$11+1,1))-AVERAGE(OFFSET($H$3,0,0,'Données projet'!$E$11+1,1))</f>
        <v>310.44153296396854</v>
      </c>
      <c r="BJ191" s="59">
        <f t="shared" si="146"/>
        <v>388.05195847800502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7.8620097041234382</v>
      </c>
      <c r="BQ191" s="21">
        <f>EXP(-LN(2)/25)*BQ190+(1-EXP(-LN(2)/25))/(LN(2)/25)*Calculateur!BL191*Calculateur!BN191*VLOOKUP('Données projet'!$B$11,Paramètres!$A$1:$I$89,3,0)*0.475*44/12</f>
        <v>0.20127346866657625</v>
      </c>
      <c r="BR191" s="21">
        <f>EXP(-LN(2)/2)*BR190+(1-EXP(-LN(2)/2))/(LN(2)/2)*BL191*BO191*VLOOKUP('Données projet'!$B$11,Paramètres!$A$1:$I$89,3,0)*0.475*44/12</f>
        <v>7.1454316363306305E-17</v>
      </c>
      <c r="BS191" s="22">
        <f t="shared" si="169"/>
        <v>8.0632831727900154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-2.2737367544323206E-13</v>
      </c>
      <c r="BZ191" s="13">
        <f>BY191*VLOOKUP('Données projet'!$B$12,Paramètres!$A$1:$I$89,3,0)*VLOOKUP('Données projet'!$B$12,Paramètres!$A$1:$I$89,5,0)</f>
        <v>-1.2710188457276673E-13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443.34220761968419</v>
      </c>
      <c r="CE191" s="59">
        <f t="shared" si="148"/>
        <v>546.58234447298014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20.167495474496089</v>
      </c>
      <c r="CL191" s="21">
        <f>EXP(-LN(2)/25)*CL190+(1-EXP(-LN(2)/25))/(LN(2)/25)*Calculateur!CG191*Calculateur!CI191*VLOOKUP('Données projet'!$B$12,Paramètres!$A$1:$I$89,3,0)*0.475*44/12</f>
        <v>1.7436070242555306</v>
      </c>
      <c r="CM191" s="21">
        <f>EXP(-LN(2)/2)*CM190+(1-EXP(-LN(2)/2))/(LN(2)/2)*CG191*CJ191*VLOOKUP('Données projet'!$B$12,Paramètres!$A$1:$I$89,3,0)*0.475*44/12</f>
        <v>2.3412484071207671E-18</v>
      </c>
      <c r="CN191" s="22">
        <f t="shared" si="172"/>
        <v>21.911102498751621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>
        <f>CT191*VLOOKUP('Données projet'!$B$13,Paramètres!$A$1:$I$89,3,0)*VLOOKUP('Données projet'!$B$13,Paramètres!$A$1:$I$89,5,0)</f>
        <v>0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214.22606988805535</v>
      </c>
      <c r="CZ191" s="59">
        <f t="shared" si="150"/>
        <v>305.78163836959078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11.3158250968466</v>
      </c>
      <c r="DG191" s="21">
        <f>EXP(-LN(2)/25)*DG190+(1-EXP(-LN(2)/25))/(LN(2)/25)*Calculateur!DB191*Calculateur!DD191*VLOOKUP('Données projet'!$B$13,Paramètres!$A$1:$I$89,3,0)*0.475*44/12</f>
        <v>1.0218716605492819</v>
      </c>
      <c r="DH191" s="21">
        <f>EXP(-LN(2)/2)*DH190+(1-EXP(-LN(2)/2))/(LN(2)/2)*DB191*DE191*VLOOKUP('Données projet'!$B$13,Paramètres!$A$1:$I$89,3,0)*0.475*44/12</f>
        <v>1.0232404876916625E-18</v>
      </c>
      <c r="DI191" s="22">
        <f t="shared" si="175"/>
        <v>12.337696757395882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-1.7053025658242404E-13</v>
      </c>
      <c r="DP191" s="17">
        <f>DO191*VLOOKUP('Données projet'!$B$14,Paramètres!$A$1:$I$89,3,0)*VLOOKUP('Données projet'!$B$14,Paramètres!$A$1:$I$89,5,0)</f>
        <v>-1.383341441396624E-13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304.26232113495314</v>
      </c>
      <c r="DU191" s="59">
        <f t="shared" si="152"/>
        <v>297.47246687305056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12.415813342307716</v>
      </c>
      <c r="EB191" s="21">
        <f>EXP(-LN(2)/25)*EB190+(1-EXP(-LN(2)/25))/(LN(2)/25)*Calculateur!DW191*Calculateur!DY191*VLOOKUP('Données projet'!$B$14,Paramètres!$A$1:$I$89,3,0)*0.475*44/12</f>
        <v>0.14474647199492668</v>
      </c>
      <c r="EC191" s="21">
        <f>EXP(-LN(2)/2)*EC190+(1-EXP(-LN(2)/2))/(LN(2)/2)*DW191*DZ191*VLOOKUP('Données projet'!$B$14,Paramètres!$A$1:$I$89,3,0)*0.475*44/12</f>
        <v>2.3552859296107516E-15</v>
      </c>
      <c r="ED191" s="22">
        <f t="shared" si="178"/>
        <v>12.560559814302644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-1.7053025658242404E-13</v>
      </c>
      <c r="EK191" s="17">
        <f>EJ191*VLOOKUP('Données projet'!$B$15,Paramètres!$A$1:$I$89,3,0)*VLOOKUP('Données projet'!$B$15,Paramètres!$A$1:$I$89,5,0)</f>
        <v>-1.6493686416652052E-13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355.72173590705142</v>
      </c>
      <c r="EP191" s="59">
        <f t="shared" si="154"/>
        <v>346.30980704469363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12.010362253480519</v>
      </c>
      <c r="EW191" s="21">
        <f>EXP(-LN(2)/25)*EW190+(1-EXP(-LN(2)/25))/(LN(2)/25)*Calculateur!ER191*Calculateur!ET191*VLOOKUP('Données projet'!$B$15,Paramètres!$A$1:$I$89,3,0)*0.475*44/12</f>
        <v>0.14001962784414895</v>
      </c>
      <c r="EX191" s="21">
        <f>EXP(-LN(2)/2)*EX190+(1-EXP(-LN(2)/2))/(LN(2)/2)*ER191*EU191*VLOOKUP('Données projet'!$B$15,Paramètres!$A$1:$I$89,3,0)*0.475*44/12</f>
        <v>2.8082255314589634E-15</v>
      </c>
      <c r="EY191" s="22">
        <f t="shared" si="181"/>
        <v>12.150381881324671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-1.7053025658242404E-13</v>
      </c>
      <c r="FF191" s="17">
        <f>FE191*VLOOKUP('Données projet'!$B$16,Paramètres!$A$1:$I$89,3,0)*VLOOKUP('Données projet'!$B$16,Paramètres!$A$1:$I$89,5,0)</f>
        <v>-1.250327841262333E-13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278.45534008146865</v>
      </c>
      <c r="FK191" s="59">
        <f t="shared" si="156"/>
        <v>272.97841038165217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9.1046294502191145</v>
      </c>
      <c r="FR191" s="21">
        <f>EXP(-LN(2)/25)*FR190+(1-EXP(-LN(2)/25))/(LN(2)/25)*Calculateur!FM191*Calculateur!FO191*VLOOKUP('Données projet'!$B$16,Paramètres!$A$1:$I$89,3,0)*0.475*44/12</f>
        <v>0.10614391143024185</v>
      </c>
      <c r="FS191" s="21">
        <f>EXP(-LN(2)/2)*FS190+(1-EXP(-LN(2)/2))/(LN(2)/2)*FM191*FP191*VLOOKUP('Données projet'!$B$16,Paramètres!$A$1:$I$89,3,0)*0.475*44/12</f>
        <v>2.1288161286866354E-15</v>
      </c>
      <c r="FT191" s="22">
        <f t="shared" si="184"/>
        <v>9.210773361649359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-2.8421709430404007E-13</v>
      </c>
      <c r="O192" s="13">
        <f>N192*VLOOKUP('Données projet'!$B$9,Paramètres!$A$1:$I$89,3,0)*VLOOKUP('Données projet'!$B$9,Paramètres!$A$1:$I$89,5,0)</f>
        <v>-2.5715962692629546E-13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436.03161778768742</v>
      </c>
      <c r="T192" s="59">
        <f t="shared" si="142"/>
        <v>217.65884352525285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111.7804829138091</v>
      </c>
      <c r="AA192" s="21">
        <f>EXP(-LN(2)/25)*AA191+(1-EXP(-LN(2)/25))/(LN(2)/25)*Calculateur!V192*Calculateur!X192*VLOOKUP('Données projet'!$B$9,Paramètres!$A$1:$I$89,3,0)*0.475*44/12</f>
        <v>15.146834741418747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126.92731765522784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-2.8421709430404007E-13</v>
      </c>
      <c r="AJ192" s="13">
        <f>AI192*VLOOKUP('Données projet'!$B$10,Paramètres!$A$1:$I$89,3,0)*VLOOKUP('Données projet'!$B$10,Paramètres!$A$1:$I$89,5,0)</f>
        <v>-2.8819613362429665E-13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483.45320081988984</v>
      </c>
      <c r="AO192" s="59">
        <f t="shared" si="144"/>
        <v>238.92443174298893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125.27123085168262</v>
      </c>
      <c r="AV192" s="21">
        <f>EXP(-LN(2)/25)*AV191+(1-EXP(-LN(2)/25))/(LN(2)/25)*Calculateur!AQ192*Calculateur!AS192*VLOOKUP('Données projet'!$B$10,Paramètres!$A$1:$I$89,3,0)*0.475*44/12</f>
        <v>16.974901003314116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142.24613185499675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1.7053025658242404E-13</v>
      </c>
      <c r="BE192" s="13">
        <f>BD192*VLOOKUP('Données projet'!$B$11,Paramètres!$A$1:$I$89,3,0)*VLOOKUP('Données projet'!$B$11,Paramètres!$A$1:$I$89,5,0)</f>
        <v>1.4897523215040567E-13</v>
      </c>
      <c r="BF192" s="13">
        <f t="shared" si="167"/>
        <v>2.136562777003313E-12</v>
      </c>
      <c r="BG192" s="20">
        <f t="shared" si="168"/>
        <v>3.9806453659427267E-12</v>
      </c>
      <c r="BH192" s="59">
        <f t="shared" si="116"/>
        <v>293.33333333333729</v>
      </c>
      <c r="BI192" s="59">
        <f ca="1">AVERAGE(OFFSET($BH$3,0,0,'Données projet'!$E$11+1,1))-AVERAGE(OFFSET($H$3,0,0,'Données projet'!$E$11+1,1))</f>
        <v>310.44153296396854</v>
      </c>
      <c r="BJ192" s="59">
        <f t="shared" si="146"/>
        <v>388.05195847800502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7.707840489177995</v>
      </c>
      <c r="BQ192" s="21">
        <f>EXP(-LN(2)/25)*BQ191+(1-EXP(-LN(2)/25))/(LN(2)/25)*Calculateur!BL192*Calculateur!BN192*VLOOKUP('Données projet'!$B$11,Paramètres!$A$1:$I$89,3,0)*0.475*44/12</f>
        <v>0.19576963508137701</v>
      </c>
      <c r="BR192" s="21">
        <f>EXP(-LN(2)/2)*BR191+(1-EXP(-LN(2)/2))/(LN(2)/2)*BL192*BO192*VLOOKUP('Données projet'!$B$11,Paramètres!$A$1:$I$89,3,0)*0.475*44/12</f>
        <v>5.0525831645542774E-17</v>
      </c>
      <c r="BS192" s="22">
        <f t="shared" si="169"/>
        <v>7.9036101242593721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-2.2737367544323206E-13</v>
      </c>
      <c r="BZ192" s="13">
        <f>BY192*VLOOKUP('Données projet'!$B$12,Paramètres!$A$1:$I$89,3,0)*VLOOKUP('Données projet'!$B$12,Paramètres!$A$1:$I$89,5,0)</f>
        <v>-1.2710188457276673E-13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443.34220761968419</v>
      </c>
      <c r="CE192" s="59">
        <f t="shared" si="148"/>
        <v>546.58234447298014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19.77202318919884</v>
      </c>
      <c r="CL192" s="21">
        <f>EXP(-LN(2)/25)*CL191+(1-EXP(-LN(2)/25))/(LN(2)/25)*Calculateur!CG192*Calculateur!CI192*VLOOKUP('Données projet'!$B$12,Paramètres!$A$1:$I$89,3,0)*0.475*44/12</f>
        <v>1.6959279984849547</v>
      </c>
      <c r="CM192" s="21">
        <f>EXP(-LN(2)/2)*CM191+(1-EXP(-LN(2)/2))/(LN(2)/2)*CG192*CJ192*VLOOKUP('Données projet'!$B$12,Paramètres!$A$1:$I$89,3,0)*0.475*44/12</f>
        <v>1.6555126251172972E-18</v>
      </c>
      <c r="CN192" s="22">
        <f t="shared" si="172"/>
        <v>21.467951187683795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>
        <f>CT192*VLOOKUP('Données projet'!$B$13,Paramètres!$A$1:$I$89,3,0)*VLOOKUP('Données projet'!$B$13,Paramètres!$A$1:$I$89,5,0)</f>
        <v>0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214.22606988805535</v>
      </c>
      <c r="CZ192" s="59">
        <f t="shared" si="150"/>
        <v>305.78163836959078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11.093928668669234</v>
      </c>
      <c r="DG192" s="21">
        <f>EXP(-LN(2)/25)*DG191+(1-EXP(-LN(2)/25))/(LN(2)/25)*Calculateur!DB192*Calculateur!DD192*VLOOKUP('Données projet'!$B$13,Paramètres!$A$1:$I$89,3,0)*0.475*44/12</f>
        <v>0.99392852625366668</v>
      </c>
      <c r="DH192" s="21">
        <f>EXP(-LN(2)/2)*DH191+(1-EXP(-LN(2)/2))/(LN(2)/2)*DB192*DE192*VLOOKUP('Données projet'!$B$13,Paramètres!$A$1:$I$89,3,0)*0.475*44/12</f>
        <v>7.2354028763140456E-19</v>
      </c>
      <c r="DI192" s="22">
        <f t="shared" si="175"/>
        <v>12.087857194922901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-1.7053025658242404E-13</v>
      </c>
      <c r="DP192" s="17">
        <f>DO192*VLOOKUP('Données projet'!$B$14,Paramètres!$A$1:$I$89,3,0)*VLOOKUP('Données projet'!$B$14,Paramètres!$A$1:$I$89,5,0)</f>
        <v>-1.383341441396624E-13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304.26232113495314</v>
      </c>
      <c r="DU192" s="59">
        <f t="shared" si="152"/>
        <v>297.47246687305056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12.17234681556344</v>
      </c>
      <c r="EB192" s="21">
        <f>EXP(-LN(2)/25)*EB191+(1-EXP(-LN(2)/25))/(LN(2)/25)*Calculateur!DW192*Calculateur!DY192*VLOOKUP('Données projet'!$B$14,Paramètres!$A$1:$I$89,3,0)*0.475*44/12</f>
        <v>0.14078837210633927</v>
      </c>
      <c r="EC192" s="21">
        <f>EXP(-LN(2)/2)*EC191+(1-EXP(-LN(2)/2))/(LN(2)/2)*DW192*DZ192*VLOOKUP('Données projet'!$B$14,Paramètres!$A$1:$I$89,3,0)*0.475*44/12</f>
        <v>1.6654386524610239E-15</v>
      </c>
      <c r="ED192" s="22">
        <f t="shared" si="178"/>
        <v>12.313135187669781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-1.7053025658242404E-13</v>
      </c>
      <c r="EK192" s="17">
        <f>EJ192*VLOOKUP('Données projet'!$B$15,Paramètres!$A$1:$I$89,3,0)*VLOOKUP('Données projet'!$B$15,Paramètres!$A$1:$I$89,5,0)</f>
        <v>-1.6493686416652052E-13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355.72173590705142</v>
      </c>
      <c r="EP192" s="59">
        <f t="shared" si="154"/>
        <v>346.30980704469363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11.774846375287398</v>
      </c>
      <c r="EW192" s="21">
        <f>EXP(-LN(2)/25)*EW191+(1-EXP(-LN(2)/25))/(LN(2)/25)*Calculateur!ER192*Calculateur!ET192*VLOOKUP('Données projet'!$B$15,Paramètres!$A$1:$I$89,3,0)*0.475*44/12</f>
        <v>0.13619078375743848</v>
      </c>
      <c r="EX192" s="21">
        <f>EXP(-LN(2)/2)*EX191+(1-EXP(-LN(2)/2))/(LN(2)/2)*ER192*EU192*VLOOKUP('Données projet'!$B$15,Paramètres!$A$1:$I$89,3,0)*0.475*44/12</f>
        <v>1.9857153163958293E-15</v>
      </c>
      <c r="EY192" s="22">
        <f t="shared" si="181"/>
        <v>11.911037159044838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-1.7053025658242404E-13</v>
      </c>
      <c r="FF192" s="17">
        <f>FE192*VLOOKUP('Données projet'!$B$16,Paramètres!$A$1:$I$89,3,0)*VLOOKUP('Données projet'!$B$16,Paramètres!$A$1:$I$89,5,0)</f>
        <v>-1.250327841262333E-13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278.45534008146865</v>
      </c>
      <c r="FK192" s="59">
        <f t="shared" si="156"/>
        <v>272.97841038165217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8.9260932199759413</v>
      </c>
      <c r="FR192" s="21">
        <f>EXP(-LN(2)/25)*FR191+(1-EXP(-LN(2)/25))/(LN(2)/25)*Calculateur!FM192*Calculateur!FO192*VLOOKUP('Données projet'!$B$16,Paramètres!$A$1:$I$89,3,0)*0.475*44/12</f>
        <v>0.10324140059031618</v>
      </c>
      <c r="FS192" s="21">
        <f>EXP(-LN(2)/2)*FS191+(1-EXP(-LN(2)/2))/(LN(2)/2)*FM192*FP192*VLOOKUP('Données projet'!$B$16,Paramètres!$A$1:$I$89,3,0)*0.475*44/12</f>
        <v>1.5053003204936139E-15</v>
      </c>
      <c r="FT192" s="22">
        <f t="shared" si="184"/>
        <v>9.0293346205662601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-2.8421709430404007E-13</v>
      </c>
      <c r="O193" s="13">
        <f>N193*VLOOKUP('Données projet'!$B$9,Paramètres!$A$1:$I$89,3,0)*VLOOKUP('Données projet'!$B$9,Paramètres!$A$1:$I$89,5,0)</f>
        <v>-2.5715962692629546E-13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436.03161778768742</v>
      </c>
      <c r="T193" s="59">
        <f t="shared" si="142"/>
        <v>217.65884352525285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109.58853582323172</v>
      </c>
      <c r="AA193" s="21">
        <f>EXP(-LN(2)/25)*AA192+(1-EXP(-LN(2)/25))/(LN(2)/25)*Calculateur!V193*Calculateur!X193*VLOOKUP('Données projet'!$B$9,Paramètres!$A$1:$I$89,3,0)*0.475*44/12</f>
        <v>14.732643748877232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124.32117957210896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-2.8421709430404007E-13</v>
      </c>
      <c r="AJ193" s="13">
        <f>AI193*VLOOKUP('Données projet'!$B$10,Paramètres!$A$1:$I$89,3,0)*VLOOKUP('Données projet'!$B$10,Paramètres!$A$1:$I$89,5,0)</f>
        <v>-2.8819613362429665E-13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483.45320081988984</v>
      </c>
      <c r="AO193" s="59">
        <f t="shared" si="144"/>
        <v>238.92443174298893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122.81473842258728</v>
      </c>
      <c r="AV193" s="21">
        <f>EXP(-LN(2)/25)*AV192+(1-EXP(-LN(2)/25))/(LN(2)/25)*Calculateur!AQ193*Calculateur!AS193*VLOOKUP('Données projet'!$B$10,Paramètres!$A$1:$I$89,3,0)*0.475*44/12</f>
        <v>16.510721442707244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139.32545986529453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1.7053025658242404E-13</v>
      </c>
      <c r="BE193" s="13">
        <f>BD193*VLOOKUP('Données projet'!$B$11,Paramètres!$A$1:$I$89,3,0)*VLOOKUP('Données projet'!$B$11,Paramètres!$A$1:$I$89,5,0)</f>
        <v>1.4897523215040567E-13</v>
      </c>
      <c r="BF193" s="13">
        <f t="shared" si="167"/>
        <v>2.136562777003313E-12</v>
      </c>
      <c r="BG193" s="20">
        <f t="shared" si="168"/>
        <v>3.9806453659427267E-12</v>
      </c>
      <c r="BH193" s="59">
        <f t="shared" si="116"/>
        <v>293.33333333333729</v>
      </c>
      <c r="BI193" s="59">
        <f ca="1">AVERAGE(OFFSET($BH$3,0,0,'Données projet'!$E$11+1,1))-AVERAGE(OFFSET($H$3,0,0,'Données projet'!$E$11+1,1))</f>
        <v>310.44153296396854</v>
      </c>
      <c r="BJ193" s="59">
        <f t="shared" si="146"/>
        <v>388.05195847800502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7.5566944385036967</v>
      </c>
      <c r="BQ193" s="21">
        <f>EXP(-LN(2)/25)*BQ192+(1-EXP(-LN(2)/25))/(LN(2)/25)*Calculateur!BL193*Calculateur!BN193*VLOOKUP('Données projet'!$B$11,Paramètres!$A$1:$I$89,3,0)*0.475*44/12</f>
        <v>0.19041630411499907</v>
      </c>
      <c r="BR193" s="21">
        <f>EXP(-LN(2)/2)*BR192+(1-EXP(-LN(2)/2))/(LN(2)/2)*BL193*BO193*VLOOKUP('Données projet'!$B$11,Paramètres!$A$1:$I$89,3,0)*0.475*44/12</f>
        <v>3.5727158181653152E-17</v>
      </c>
      <c r="BS193" s="22">
        <f t="shared" si="169"/>
        <v>7.7471107426186956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-2.2737367544323206E-13</v>
      </c>
      <c r="BZ193" s="13">
        <f>BY193*VLOOKUP('Données projet'!$B$12,Paramètres!$A$1:$I$89,3,0)*VLOOKUP('Données projet'!$B$12,Paramètres!$A$1:$I$89,5,0)</f>
        <v>-1.2710188457276673E-13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443.34220761968419</v>
      </c>
      <c r="CE193" s="59">
        <f t="shared" si="148"/>
        <v>546.58234447298014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19.384305874201996</v>
      </c>
      <c r="CL193" s="21">
        <f>EXP(-LN(2)/25)*CL192+(1-EXP(-LN(2)/25))/(LN(2)/25)*Calculateur!CG193*Calculateur!CI193*VLOOKUP('Données projet'!$B$12,Paramètres!$A$1:$I$89,3,0)*0.475*44/12</f>
        <v>1.6495527581814062</v>
      </c>
      <c r="CM193" s="21">
        <f>EXP(-LN(2)/2)*CM192+(1-EXP(-LN(2)/2))/(LN(2)/2)*CG193*CJ193*VLOOKUP('Données projet'!$B$12,Paramètres!$A$1:$I$89,3,0)*0.475*44/12</f>
        <v>1.1706242035603835E-18</v>
      </c>
      <c r="CN193" s="22">
        <f t="shared" si="172"/>
        <v>21.033858632383403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>
        <f>CT193*VLOOKUP('Données projet'!$B$13,Paramètres!$A$1:$I$89,3,0)*VLOOKUP('Données projet'!$B$13,Paramètres!$A$1:$I$89,5,0)</f>
        <v>0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214.22606988805535</v>
      </c>
      <c r="CZ193" s="59">
        <f t="shared" si="150"/>
        <v>305.78163836959078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10.876383494104969</v>
      </c>
      <c r="DG193" s="21">
        <f>EXP(-LN(2)/25)*DG192+(1-EXP(-LN(2)/25))/(LN(2)/25)*Calculateur!DB193*Calculateur!DD193*VLOOKUP('Données projet'!$B$13,Paramètres!$A$1:$I$89,3,0)*0.475*44/12</f>
        <v>0.9667494984348306</v>
      </c>
      <c r="DH193" s="21">
        <f>EXP(-LN(2)/2)*DH192+(1-EXP(-LN(2)/2))/(LN(2)/2)*DB193*DE193*VLOOKUP('Données projet'!$B$13,Paramètres!$A$1:$I$89,3,0)*0.475*44/12</f>
        <v>5.1162024384583124E-19</v>
      </c>
      <c r="DI193" s="22">
        <f t="shared" si="175"/>
        <v>11.8431329925398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-1.7053025658242404E-13</v>
      </c>
      <c r="DP193" s="17">
        <f>DO193*VLOOKUP('Données projet'!$B$14,Paramètres!$A$1:$I$89,3,0)*VLOOKUP('Données projet'!$B$14,Paramètres!$A$1:$I$89,5,0)</f>
        <v>-1.383341441396624E-13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304.26232113495314</v>
      </c>
      <c r="DU193" s="59">
        <f t="shared" si="152"/>
        <v>297.47246687305056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11.9336545189087</v>
      </c>
      <c r="EB193" s="21">
        <f>EXP(-LN(2)/25)*EB192+(1-EXP(-LN(2)/25))/(LN(2)/25)*Calculateur!DW193*Calculateur!DY193*VLOOKUP('Données projet'!$B$14,Paramètres!$A$1:$I$89,3,0)*0.475*44/12</f>
        <v>0.13693850666735272</v>
      </c>
      <c r="EC193" s="21">
        <f>EXP(-LN(2)/2)*EC192+(1-EXP(-LN(2)/2))/(LN(2)/2)*DW193*DZ193*VLOOKUP('Données projet'!$B$14,Paramètres!$A$1:$I$89,3,0)*0.475*44/12</f>
        <v>1.1776429648053758E-15</v>
      </c>
      <c r="ED193" s="22">
        <f t="shared" si="178"/>
        <v>12.070593025576054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-1.7053025658242404E-13</v>
      </c>
      <c r="EK193" s="17">
        <f>EJ193*VLOOKUP('Données projet'!$B$15,Paramètres!$A$1:$I$89,3,0)*VLOOKUP('Données projet'!$B$15,Paramètres!$A$1:$I$89,5,0)</f>
        <v>-1.6493686416652052E-13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355.72173590705142</v>
      </c>
      <c r="EP193" s="59">
        <f t="shared" si="154"/>
        <v>346.30980704469363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11.543948819815142</v>
      </c>
      <c r="EW193" s="21">
        <f>EXP(-LN(2)/25)*EW192+(1-EXP(-LN(2)/25))/(LN(2)/25)*Calculateur!ER193*Calculateur!ET193*VLOOKUP('Données projet'!$B$15,Paramètres!$A$1:$I$89,3,0)*0.475*44/12</f>
        <v>0.13246663961362928</v>
      </c>
      <c r="EX193" s="21">
        <f>EXP(-LN(2)/2)*EX192+(1-EXP(-LN(2)/2))/(LN(2)/2)*ER193*EU193*VLOOKUP('Données projet'!$B$15,Paramètres!$A$1:$I$89,3,0)*0.475*44/12</f>
        <v>1.4041127657294817E-15</v>
      </c>
      <c r="EY193" s="22">
        <f t="shared" si="181"/>
        <v>11.676415459428773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-1.7053025658242404E-13</v>
      </c>
      <c r="FF193" s="17">
        <f>FE193*VLOOKUP('Données projet'!$B$16,Paramètres!$A$1:$I$89,3,0)*VLOOKUP('Données projet'!$B$16,Paramètres!$A$1:$I$89,5,0)</f>
        <v>-1.250327841262333E-13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278.45534008146865</v>
      </c>
      <c r="FK193" s="59">
        <f t="shared" si="156"/>
        <v>272.97841038165217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8.7510579763114897</v>
      </c>
      <c r="FR193" s="21">
        <f>EXP(-LN(2)/25)*FR192+(1-EXP(-LN(2)/25))/(LN(2)/25)*Calculateur!FM193*Calculateur!FO193*VLOOKUP('Données projet'!$B$16,Paramètres!$A$1:$I$89,3,0)*0.475*44/12</f>
        <v>0.1004182590619447</v>
      </c>
      <c r="FS193" s="21">
        <f>EXP(-LN(2)/2)*FS192+(1-EXP(-LN(2)/2))/(LN(2)/2)*FM193*FP193*VLOOKUP('Données projet'!$B$16,Paramètres!$A$1:$I$89,3,0)*0.475*44/12</f>
        <v>1.0644080643433177E-15</v>
      </c>
      <c r="FT193" s="22">
        <f t="shared" si="184"/>
        <v>8.8514762353734362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-2.8421709430404007E-13</v>
      </c>
      <c r="O194" s="13">
        <f>N194*VLOOKUP('Données projet'!$B$9,Paramètres!$A$1:$I$89,3,0)*VLOOKUP('Données projet'!$B$9,Paramètres!$A$1:$I$89,5,0)</f>
        <v>-2.5715962692629546E-13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436.03161778768742</v>
      </c>
      <c r="T194" s="59">
        <f t="shared" si="142"/>
        <v>217.65884352525285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107.43957147814486</v>
      </c>
      <c r="AA194" s="21">
        <f>EXP(-LN(2)/25)*AA193+(1-EXP(-LN(2)/25))/(LN(2)/25)*Calculateur!V194*Calculateur!X194*VLOOKUP('Données projet'!$B$9,Paramètres!$A$1:$I$89,3,0)*0.475*44/12</f>
        <v>14.32977883080812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121.76935030895298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-2.8421709430404007E-13</v>
      </c>
      <c r="AJ194" s="13">
        <f>AI194*VLOOKUP('Données projet'!$B$10,Paramètres!$A$1:$I$89,3,0)*VLOOKUP('Données projet'!$B$10,Paramètres!$A$1:$I$89,5,0)</f>
        <v>-2.8819613362429665E-13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483.45320081988984</v>
      </c>
      <c r="AO194" s="59">
        <f t="shared" si="144"/>
        <v>238.92443174298893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120.40641631171408</v>
      </c>
      <c r="AV194" s="21">
        <f>EXP(-LN(2)/25)*AV193+(1-EXP(-LN(2)/25))/(LN(2)/25)*Calculateur!AQ194*Calculateur!AS194*VLOOKUP('Données projet'!$B$10,Paramètres!$A$1:$I$89,3,0)*0.475*44/12</f>
        <v>16.05923489659531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136.4656512083094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1.7053025658242404E-13</v>
      </c>
      <c r="BE194" s="13">
        <f>BD194*VLOOKUP('Données projet'!$B$11,Paramètres!$A$1:$I$89,3,0)*VLOOKUP('Données projet'!$B$11,Paramètres!$A$1:$I$89,5,0)</f>
        <v>1.4897523215040567E-13</v>
      </c>
      <c r="BF194" s="13">
        <f t="shared" si="167"/>
        <v>2.136562777003313E-12</v>
      </c>
      <c r="BG194" s="20">
        <f t="shared" si="168"/>
        <v>3.9806453659427267E-12</v>
      </c>
      <c r="BH194" s="59">
        <f t="shared" si="116"/>
        <v>293.33333333333729</v>
      </c>
      <c r="BI194" s="59">
        <f ca="1">AVERAGE(OFFSET($BH$3,0,0,'Données projet'!$E$11+1,1))-AVERAGE(OFFSET($H$3,0,0,'Données projet'!$E$11+1,1))</f>
        <v>310.44153296396854</v>
      </c>
      <c r="BJ194" s="59">
        <f t="shared" si="146"/>
        <v>388.05195847800502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7.4085122696931327</v>
      </c>
      <c r="BQ194" s="21">
        <f>EXP(-LN(2)/25)*BQ193+(1-EXP(-LN(2)/25))/(LN(2)/25)*Calculateur!BL194*Calculateur!BN194*VLOOKUP('Données projet'!$B$11,Paramètres!$A$1:$I$89,3,0)*0.475*44/12</f>
        <v>0.18520936026541621</v>
      </c>
      <c r="BR194" s="21">
        <f>EXP(-LN(2)/2)*BR193+(1-EXP(-LN(2)/2))/(LN(2)/2)*BL194*BO194*VLOOKUP('Données projet'!$B$11,Paramètres!$A$1:$I$89,3,0)*0.475*44/12</f>
        <v>2.5262915822771387E-17</v>
      </c>
      <c r="BS194" s="22">
        <f t="shared" si="169"/>
        <v>7.5937216299585488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-2.2737367544323206E-13</v>
      </c>
      <c r="BZ194" s="13">
        <f>BY194*VLOOKUP('Données projet'!$B$12,Paramètres!$A$1:$I$89,3,0)*VLOOKUP('Données projet'!$B$12,Paramètres!$A$1:$I$89,5,0)</f>
        <v>-1.2710188457276673E-13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443.34220761968419</v>
      </c>
      <c r="CE194" s="59">
        <f t="shared" si="148"/>
        <v>546.58234447298014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19.004191459268029</v>
      </c>
      <c r="CL194" s="21">
        <f>EXP(-LN(2)/25)*CL193+(1-EXP(-LN(2)/25))/(LN(2)/25)*Calculateur!CG194*Calculateur!CI194*VLOOKUP('Données projet'!$B$12,Paramètres!$A$1:$I$89,3,0)*0.475*44/12</f>
        <v>1.6044456512627263</v>
      </c>
      <c r="CM194" s="21">
        <f>EXP(-LN(2)/2)*CM193+(1-EXP(-LN(2)/2))/(LN(2)/2)*CG194*CJ194*VLOOKUP('Données projet'!$B$12,Paramètres!$A$1:$I$89,3,0)*0.475*44/12</f>
        <v>8.277563125586486E-19</v>
      </c>
      <c r="CN194" s="22">
        <f t="shared" si="172"/>
        <v>20.608637110530754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>
        <f>CT194*VLOOKUP('Données projet'!$B$13,Paramètres!$A$1:$I$89,3,0)*VLOOKUP('Données projet'!$B$13,Paramètres!$A$1:$I$89,5,0)</f>
        <v>0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214.22606988805535</v>
      </c>
      <c r="CZ194" s="59">
        <f t="shared" si="150"/>
        <v>305.78163836959078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10.663104247724455</v>
      </c>
      <c r="DG194" s="21">
        <f>EXP(-LN(2)/25)*DG193+(1-EXP(-LN(2)/25))/(LN(2)/25)*Calculateur!DB194*Calculateur!DD194*VLOOKUP('Données projet'!$B$13,Paramètres!$A$1:$I$89,3,0)*0.475*44/12</f>
        <v>0.94031368256098358</v>
      </c>
      <c r="DH194" s="21">
        <f>EXP(-LN(2)/2)*DH193+(1-EXP(-LN(2)/2))/(LN(2)/2)*DB194*DE194*VLOOKUP('Données projet'!$B$13,Paramètres!$A$1:$I$89,3,0)*0.475*44/12</f>
        <v>3.6177014381570228E-19</v>
      </c>
      <c r="DI194" s="22">
        <f t="shared" si="175"/>
        <v>11.603417930285438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-1.7053025658242404E-13</v>
      </c>
      <c r="DP194" s="17">
        <f>DO194*VLOOKUP('Données projet'!$B$14,Paramètres!$A$1:$I$89,3,0)*VLOOKUP('Données projet'!$B$14,Paramètres!$A$1:$I$89,5,0)</f>
        <v>-1.383341441396624E-13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304.26232113495314</v>
      </c>
      <c r="DU194" s="59">
        <f t="shared" si="152"/>
        <v>297.47246687305056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11.699642832603434</v>
      </c>
      <c r="EB194" s="21">
        <f>EXP(-LN(2)/25)*EB193+(1-EXP(-LN(2)/25))/(LN(2)/25)*Calculateur!DW194*Calculateur!DY194*VLOOKUP('Données projet'!$B$14,Paramètres!$A$1:$I$89,3,0)*0.475*44/12</f>
        <v>0.13319391600125086</v>
      </c>
      <c r="EC194" s="21">
        <f>EXP(-LN(2)/2)*EC193+(1-EXP(-LN(2)/2))/(LN(2)/2)*DW194*DZ194*VLOOKUP('Données projet'!$B$14,Paramètres!$A$1:$I$89,3,0)*0.475*44/12</f>
        <v>8.3271932623051195E-16</v>
      </c>
      <c r="ED194" s="22">
        <f t="shared" si="178"/>
        <v>11.832836748604684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-1.7053025658242404E-13</v>
      </c>
      <c r="EK194" s="17">
        <f>EJ194*VLOOKUP('Données projet'!$B$15,Paramètres!$A$1:$I$89,3,0)*VLOOKUP('Données projet'!$B$15,Paramètres!$A$1:$I$89,5,0)</f>
        <v>-1.6493686416652052E-13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355.72173590705142</v>
      </c>
      <c r="EP194" s="59">
        <f t="shared" si="154"/>
        <v>346.30980704469363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11.317579024572096</v>
      </c>
      <c r="EW194" s="21">
        <f>EXP(-LN(2)/25)*EW193+(1-EXP(-LN(2)/25))/(LN(2)/25)*Calculateur!ER194*Calculateur!ET194*VLOOKUP('Données projet'!$B$15,Paramètres!$A$1:$I$89,3,0)*0.475*44/12</f>
        <v>0.12884433238727677</v>
      </c>
      <c r="EX194" s="21">
        <f>EXP(-LN(2)/2)*EX193+(1-EXP(-LN(2)/2))/(LN(2)/2)*ER194*EU194*VLOOKUP('Données projet'!$B$15,Paramètres!$A$1:$I$89,3,0)*0.475*44/12</f>
        <v>9.9285765819791466E-16</v>
      </c>
      <c r="EY194" s="22">
        <f t="shared" si="181"/>
        <v>11.446423356959373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-1.7053025658242404E-13</v>
      </c>
      <c r="FF194" s="17">
        <f>FE194*VLOOKUP('Données projet'!$B$16,Paramètres!$A$1:$I$89,3,0)*VLOOKUP('Données projet'!$B$16,Paramètres!$A$1:$I$89,5,0)</f>
        <v>-1.250327841262333E-13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278.45534008146865</v>
      </c>
      <c r="FK194" s="59">
        <f t="shared" si="156"/>
        <v>272.97841038165217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8.5794550670143401</v>
      </c>
      <c r="FR194" s="21">
        <f>EXP(-LN(2)/25)*FR193+(1-EXP(-LN(2)/25))/(LN(2)/25)*Calculateur!FM194*Calculateur!FO194*VLOOKUP('Données projet'!$B$16,Paramètres!$A$1:$I$89,3,0)*0.475*44/12</f>
        <v>9.7672316487129082E-2</v>
      </c>
      <c r="FS194" s="21">
        <f>EXP(-LN(2)/2)*FS193+(1-EXP(-LN(2)/2))/(LN(2)/2)*FM194*FP194*VLOOKUP('Données projet'!$B$16,Paramètres!$A$1:$I$89,3,0)*0.475*44/12</f>
        <v>7.5265016024680695E-16</v>
      </c>
      <c r="FT194" s="22">
        <f t="shared" si="184"/>
        <v>8.6771273835014693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-2.8421709430404007E-13</v>
      </c>
      <c r="O195" s="13">
        <f>N195*VLOOKUP('Données projet'!$B$9,Paramètres!$A$1:$I$89,3,0)*VLOOKUP('Données projet'!$B$9,Paramètres!$A$1:$I$89,5,0)</f>
        <v>-2.5715962692629546E-13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436.03161778768742</v>
      </c>
      <c r="T195" s="59">
        <f t="shared" si="142"/>
        <v>217.65884352525285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105.33274701312632</v>
      </c>
      <c r="AA195" s="21">
        <f>EXP(-LN(2)/25)*AA194+(1-EXP(-LN(2)/25))/(LN(2)/25)*Calculateur!V195*Calculateur!X195*VLOOKUP('Données projet'!$B$9,Paramètres!$A$1:$I$89,3,0)*0.475*44/12</f>
        <v>13.937930275109355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119.27067728823567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-2.8421709430404007E-13</v>
      </c>
      <c r="AJ195" s="13">
        <f>AI195*VLOOKUP('Données projet'!$B$10,Paramètres!$A$1:$I$89,3,0)*VLOOKUP('Données projet'!$B$10,Paramètres!$A$1:$I$89,5,0)</f>
        <v>-2.8819613362429665E-13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483.45320081988984</v>
      </c>
      <c r="AO195" s="59">
        <f t="shared" si="144"/>
        <v>238.92443174298893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118.04531992850366</v>
      </c>
      <c r="AV195" s="21">
        <f>EXP(-LN(2)/25)*AV194+(1-EXP(-LN(2)/25))/(LN(2)/25)*Calculateur!AQ195*Calculateur!AS195*VLOOKUP('Données projet'!$B$10,Paramètres!$A$1:$I$89,3,0)*0.475*44/12</f>
        <v>15.620094273829451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133.66541420233312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1.7053025658242404E-13</v>
      </c>
      <c r="BE195" s="13">
        <f>BD195*VLOOKUP('Données projet'!$B$11,Paramètres!$A$1:$I$89,3,0)*VLOOKUP('Données projet'!$B$11,Paramètres!$A$1:$I$89,5,0)</f>
        <v>1.4897523215040567E-13</v>
      </c>
      <c r="BF195" s="13">
        <f t="shared" si="167"/>
        <v>2.136562777003313E-12</v>
      </c>
      <c r="BG195" s="20">
        <f t="shared" si="168"/>
        <v>3.9806453659427267E-12</v>
      </c>
      <c r="BH195" s="59">
        <f t="shared" si="116"/>
        <v>293.33333333333729</v>
      </c>
      <c r="BI195" s="59">
        <f ca="1">AVERAGE(OFFSET($BH$3,0,0,'Données projet'!$E$11+1,1))-AVERAGE(OFFSET($H$3,0,0,'Données projet'!$E$11+1,1))</f>
        <v>310.44153296396854</v>
      </c>
      <c r="BJ195" s="59">
        <f t="shared" si="146"/>
        <v>388.05195847800502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7.2632358628307454</v>
      </c>
      <c r="BQ195" s="21">
        <f>EXP(-LN(2)/25)*BQ194+(1-EXP(-LN(2)/25))/(LN(2)/25)*Calculateur!BL195*Calculateur!BN195*VLOOKUP('Données projet'!$B$11,Paramètres!$A$1:$I$89,3,0)*0.475*44/12</f>
        <v>0.18014480056922144</v>
      </c>
      <c r="BR195" s="21">
        <f>EXP(-LN(2)/2)*BR194+(1-EXP(-LN(2)/2))/(LN(2)/2)*BL195*BO195*VLOOKUP('Données projet'!$B$11,Paramètres!$A$1:$I$89,3,0)*0.475*44/12</f>
        <v>1.7863579090826576E-17</v>
      </c>
      <c r="BS195" s="22">
        <f t="shared" si="169"/>
        <v>7.4433806633999673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-2.2737367544323206E-13</v>
      </c>
      <c r="BZ195" s="13">
        <f>BY195*VLOOKUP('Données projet'!$B$12,Paramètres!$A$1:$I$89,3,0)*VLOOKUP('Données projet'!$B$12,Paramètres!$A$1:$I$89,5,0)</f>
        <v>-1.2710188457276673E-13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443.34220761968419</v>
      </c>
      <c r="CE195" s="59">
        <f t="shared" si="148"/>
        <v>546.58234447298014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18.631530856164016</v>
      </c>
      <c r="CL195" s="21">
        <f>EXP(-LN(2)/25)*CL194+(1-EXP(-LN(2)/25))/(LN(2)/25)*Calculateur!CG195*Calculateur!CI195*VLOOKUP('Données projet'!$B$12,Paramètres!$A$1:$I$89,3,0)*0.475*44/12</f>
        <v>1.5605720005548174</v>
      </c>
      <c r="CM195" s="21">
        <f>EXP(-LN(2)/2)*CM194+(1-EXP(-LN(2)/2))/(LN(2)/2)*CG195*CJ195*VLOOKUP('Données projet'!$B$12,Paramètres!$A$1:$I$89,3,0)*0.475*44/12</f>
        <v>5.8531210178019177E-19</v>
      </c>
      <c r="CN195" s="22">
        <f t="shared" si="172"/>
        <v>20.192102856718833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>
        <f>CT195*VLOOKUP('Données projet'!$B$13,Paramètres!$A$1:$I$89,3,0)*VLOOKUP('Données projet'!$B$13,Paramètres!$A$1:$I$89,5,0)</f>
        <v>0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214.22606988805535</v>
      </c>
      <c r="CZ195" s="59">
        <f t="shared" si="150"/>
        <v>305.78163836959078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10.454007277277967</v>
      </c>
      <c r="DG195" s="21">
        <f>EXP(-LN(2)/25)*DG194+(1-EXP(-LN(2)/25))/(LN(2)/25)*Calculateur!DB195*Calculateur!DD195*VLOOKUP('Données projet'!$B$13,Paramètres!$A$1:$I$89,3,0)*0.475*44/12</f>
        <v>0.91460075546240605</v>
      </c>
      <c r="DH195" s="21">
        <f>EXP(-LN(2)/2)*DH194+(1-EXP(-LN(2)/2))/(LN(2)/2)*DB195*DE195*VLOOKUP('Données projet'!$B$13,Paramètres!$A$1:$I$89,3,0)*0.475*44/12</f>
        <v>2.5581012192291562E-19</v>
      </c>
      <c r="DI195" s="22">
        <f t="shared" si="175"/>
        <v>11.368608032740372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-1.7053025658242404E-13</v>
      </c>
      <c r="DP195" s="17">
        <f>DO195*VLOOKUP('Données projet'!$B$14,Paramètres!$A$1:$I$89,3,0)*VLOOKUP('Données projet'!$B$14,Paramètres!$A$1:$I$89,5,0)</f>
        <v>-1.383341441396624E-13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304.26232113495314</v>
      </c>
      <c r="DU195" s="59">
        <f t="shared" si="152"/>
        <v>297.47246687305056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11.470219972733579</v>
      </c>
      <c r="EB195" s="21">
        <f>EXP(-LN(2)/25)*EB194+(1-EXP(-LN(2)/25))/(LN(2)/25)*Calculateur!DW195*Calculateur!DY195*VLOOKUP('Données projet'!$B$14,Paramètres!$A$1:$I$89,3,0)*0.475*44/12</f>
        <v>0.12955172136383303</v>
      </c>
      <c r="EC195" s="21">
        <f>EXP(-LN(2)/2)*EC194+(1-EXP(-LN(2)/2))/(LN(2)/2)*DW195*DZ195*VLOOKUP('Données projet'!$B$14,Paramètres!$A$1:$I$89,3,0)*0.475*44/12</f>
        <v>5.8882148240268789E-16</v>
      </c>
      <c r="ED195" s="22">
        <f t="shared" si="178"/>
        <v>11.599771694097413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-1.7053025658242404E-13</v>
      </c>
      <c r="EK195" s="17">
        <f>EJ195*VLOOKUP('Données projet'!$B$15,Paramètres!$A$1:$I$89,3,0)*VLOOKUP('Données projet'!$B$15,Paramètres!$A$1:$I$89,5,0)</f>
        <v>-1.6493686416652052E-13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355.72173590705142</v>
      </c>
      <c r="EP195" s="59">
        <f t="shared" si="154"/>
        <v>346.30980704469363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11.095648202941824</v>
      </c>
      <c r="EW195" s="21">
        <f>EXP(-LN(2)/25)*EW194+(1-EXP(-LN(2)/25))/(LN(2)/25)*Calculateur!ER195*Calculateur!ET195*VLOOKUP('Données projet'!$B$15,Paramètres!$A$1:$I$89,3,0)*0.475*44/12</f>
        <v>0.12532107734251774</v>
      </c>
      <c r="EX195" s="21">
        <f>EXP(-LN(2)/2)*EX194+(1-EXP(-LN(2)/2))/(LN(2)/2)*ER195*EU195*VLOOKUP('Données projet'!$B$15,Paramètres!$A$1:$I$89,3,0)*0.475*44/12</f>
        <v>7.0205638286474086E-16</v>
      </c>
      <c r="EY195" s="22">
        <f t="shared" si="181"/>
        <v>11.220969280284342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-1.7053025658242404E-13</v>
      </c>
      <c r="FF195" s="17">
        <f>FE195*VLOOKUP('Données projet'!$B$16,Paramètres!$A$1:$I$89,3,0)*VLOOKUP('Données projet'!$B$16,Paramètres!$A$1:$I$89,5,0)</f>
        <v>-1.250327841262333E-13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278.45534008146865</v>
      </c>
      <c r="FK195" s="59">
        <f t="shared" si="156"/>
        <v>272.97841038165217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8.4112171861010694</v>
      </c>
      <c r="FR195" s="21">
        <f>EXP(-LN(2)/25)*FR194+(1-EXP(-LN(2)/25))/(LN(2)/25)*Calculateur!FM195*Calculateur!FO195*VLOOKUP('Données projet'!$B$16,Paramètres!$A$1:$I$89,3,0)*0.475*44/12</f>
        <v>9.5001461856424649E-2</v>
      </c>
      <c r="FS195" s="21">
        <f>EXP(-LN(2)/2)*FS194+(1-EXP(-LN(2)/2))/(LN(2)/2)*FM195*FP195*VLOOKUP('Données projet'!$B$16,Paramètres!$A$1:$I$89,3,0)*0.475*44/12</f>
        <v>5.3220403217165885E-16</v>
      </c>
      <c r="FT195" s="22">
        <f t="shared" si="184"/>
        <v>8.5062186479574944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-2.8421709430404007E-13</v>
      </c>
      <c r="O196" s="13">
        <f>N196*VLOOKUP('Données projet'!$B$9,Paramètres!$A$1:$I$89,3,0)*VLOOKUP('Données projet'!$B$9,Paramètres!$A$1:$I$89,5,0)</f>
        <v>-2.5715962692629546E-13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436.03161778768742</v>
      </c>
      <c r="T196" s="59">
        <f t="shared" si="142"/>
        <v>217.65884352525285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103.26723609083076</v>
      </c>
      <c r="AA196" s="21">
        <f>EXP(-LN(2)/25)*AA195+(1-EXP(-LN(2)/25))/(LN(2)/25)*Calculateur!V196*Calculateur!X196*VLOOKUP('Données projet'!$B$9,Paramètres!$A$1:$I$89,3,0)*0.475*44/12</f>
        <v>13.556796838772593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116.82403292960336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-2.8421709430404007E-13</v>
      </c>
      <c r="AJ196" s="13">
        <f>AI196*VLOOKUP('Données projet'!$B$10,Paramètres!$A$1:$I$89,3,0)*VLOOKUP('Données projet'!$B$10,Paramètres!$A$1:$I$89,5,0)</f>
        <v>-2.8819613362429665E-13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483.45320081988984</v>
      </c>
      <c r="AO196" s="59">
        <f t="shared" si="144"/>
        <v>238.92443174298893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115.7305232052414</v>
      </c>
      <c r="AV196" s="21">
        <f>EXP(-LN(2)/25)*AV195+(1-EXP(-LN(2)/25))/(LN(2)/25)*Calculateur!AQ196*Calculateur!AS196*VLOOKUP('Données projet'!$B$10,Paramètres!$A$1:$I$89,3,0)*0.475*44/12</f>
        <v>15.192961974486527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130.92348517972792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1.7053025658242404E-13</v>
      </c>
      <c r="BE196" s="13">
        <f>BD196*VLOOKUP('Données projet'!$B$11,Paramètres!$A$1:$I$89,3,0)*VLOOKUP('Données projet'!$B$11,Paramètres!$A$1:$I$89,5,0)</f>
        <v>1.4897523215040567E-13</v>
      </c>
      <c r="BF196" s="13">
        <f t="shared" si="167"/>
        <v>2.136562777003313E-12</v>
      </c>
      <c r="BG196" s="20">
        <f t="shared" si="168"/>
        <v>3.9806453659427267E-12</v>
      </c>
      <c r="BH196" s="59">
        <f t="shared" ref="BH196:BH203" si="194">BG196+(AY196+AZ196)*44/12</f>
        <v>293.33333333333729</v>
      </c>
      <c r="BI196" s="59">
        <f ca="1">AVERAGE(OFFSET($BH$3,0,0,'Données projet'!$E$11+1,1))-AVERAGE(OFFSET($H$3,0,0,'Données projet'!$E$11+1,1))</f>
        <v>310.44153296396854</v>
      </c>
      <c r="BJ196" s="59">
        <f t="shared" si="146"/>
        <v>388.05195847800502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7.1208082376970712</v>
      </c>
      <c r="BQ196" s="21">
        <f>EXP(-LN(2)/25)*BQ195+(1-EXP(-LN(2)/25))/(LN(2)/25)*Calculateur!BL196*Calculateur!BN196*VLOOKUP('Données projet'!$B$11,Paramètres!$A$1:$I$89,3,0)*0.475*44/12</f>
        <v>0.17521873152425274</v>
      </c>
      <c r="BR196" s="21">
        <f>EXP(-LN(2)/2)*BR195+(1-EXP(-LN(2)/2))/(LN(2)/2)*BL196*BO196*VLOOKUP('Données projet'!$B$11,Paramètres!$A$1:$I$89,3,0)*0.475*44/12</f>
        <v>1.2631457911385694E-17</v>
      </c>
      <c r="BS196" s="22">
        <f t="shared" si="169"/>
        <v>7.296026969221324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-2.2737367544323206E-13</v>
      </c>
      <c r="BZ196" s="13">
        <f>BY196*VLOOKUP('Données projet'!$B$12,Paramètres!$A$1:$I$89,3,0)*VLOOKUP('Données projet'!$B$12,Paramètres!$A$1:$I$89,5,0)</f>
        <v>-1.2710188457276673E-13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443.34220761968419</v>
      </c>
      <c r="CE196" s="59">
        <f t="shared" si="148"/>
        <v>546.58234447298014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18.266177900186349</v>
      </c>
      <c r="CL196" s="21">
        <f>EXP(-LN(2)/25)*CL195+(1-EXP(-LN(2)/25))/(LN(2)/25)*Calculateur!CG196*Calculateur!CI196*VLOOKUP('Données projet'!$B$12,Paramètres!$A$1:$I$89,3,0)*0.475*44/12</f>
        <v>1.5178980771327311</v>
      </c>
      <c r="CM196" s="21">
        <f>EXP(-LN(2)/2)*CM195+(1-EXP(-LN(2)/2))/(LN(2)/2)*CG196*CJ196*VLOOKUP('Données projet'!$B$12,Paramètres!$A$1:$I$89,3,0)*0.475*44/12</f>
        <v>4.138781562793243E-19</v>
      </c>
      <c r="CN196" s="22">
        <f t="shared" si="172"/>
        <v>19.78407597731908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>
        <f>CT196*VLOOKUP('Données projet'!$B$13,Paramètres!$A$1:$I$89,3,0)*VLOOKUP('Données projet'!$B$13,Paramètres!$A$1:$I$89,5,0)</f>
        <v>0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214.22606988805535</v>
      </c>
      <c r="CZ196" s="59">
        <f t="shared" si="150"/>
        <v>305.78163836959078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10.249010570885376</v>
      </c>
      <c r="DG196" s="21">
        <f>EXP(-LN(2)/25)*DG195+(1-EXP(-LN(2)/25))/(LN(2)/25)*Calculateur!DB196*Calculateur!DD196*VLOOKUP('Données projet'!$B$13,Paramètres!$A$1:$I$89,3,0)*0.475*44/12</f>
        <v>0.88959094970752317</v>
      </c>
      <c r="DH196" s="21">
        <f>EXP(-LN(2)/2)*DH195+(1-EXP(-LN(2)/2))/(LN(2)/2)*DB196*DE196*VLOOKUP('Données projet'!$B$13,Paramètres!$A$1:$I$89,3,0)*0.475*44/12</f>
        <v>1.8088507190785114E-19</v>
      </c>
      <c r="DI196" s="22">
        <f t="shared" si="175"/>
        <v>11.1386015205929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-1.7053025658242404E-13</v>
      </c>
      <c r="DP196" s="17">
        <f>DO196*VLOOKUP('Données projet'!$B$14,Paramètres!$A$1:$I$89,3,0)*VLOOKUP('Données projet'!$B$14,Paramètres!$A$1:$I$89,5,0)</f>
        <v>-1.383341441396624E-13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304.26232113495314</v>
      </c>
      <c r="DU196" s="59">
        <f t="shared" si="152"/>
        <v>297.47246687305056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11.245295955211645</v>
      </c>
      <c r="EB196" s="21">
        <f>EXP(-LN(2)/25)*EB195+(1-EXP(-LN(2)/25))/(LN(2)/25)*Calculateur!DW196*Calculateur!DY196*VLOOKUP('Données projet'!$B$14,Paramètres!$A$1:$I$89,3,0)*0.475*44/12</f>
        <v>0.12600912273031009</v>
      </c>
      <c r="EC196" s="21">
        <f>EXP(-LN(2)/2)*EC195+(1-EXP(-LN(2)/2))/(LN(2)/2)*DW196*DZ196*VLOOKUP('Données projet'!$B$14,Paramètres!$A$1:$I$89,3,0)*0.475*44/12</f>
        <v>4.1635966311525598E-16</v>
      </c>
      <c r="ED196" s="22">
        <f t="shared" si="178"/>
        <v>11.371305077941955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-1.7053025658242404E-13</v>
      </c>
      <c r="EK196" s="17">
        <f>EJ196*VLOOKUP('Données projet'!$B$15,Paramètres!$A$1:$I$89,3,0)*VLOOKUP('Données projet'!$B$15,Paramètres!$A$1:$I$89,5,0)</f>
        <v>-1.6493686416652052E-13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355.72173590705142</v>
      </c>
      <c r="EP196" s="59">
        <f t="shared" si="154"/>
        <v>346.30980704469363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10.878069309359287</v>
      </c>
      <c r="EW196" s="21">
        <f>EXP(-LN(2)/25)*EW195+(1-EXP(-LN(2)/25))/(LN(2)/25)*Calculateur!ER196*Calculateur!ET196*VLOOKUP('Données projet'!$B$15,Paramètres!$A$1:$I$89,3,0)*0.475*44/12</f>
        <v>0.12189416589223756</v>
      </c>
      <c r="EX196" s="21">
        <f>EXP(-LN(2)/2)*EX195+(1-EXP(-LN(2)/2))/(LN(2)/2)*ER196*EU196*VLOOKUP('Données projet'!$B$15,Paramètres!$A$1:$I$89,3,0)*0.475*44/12</f>
        <v>4.9642882909895733E-16</v>
      </c>
      <c r="EY196" s="22">
        <f t="shared" si="181"/>
        <v>10.999963475251525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-1.7053025658242404E-13</v>
      </c>
      <c r="FF196" s="17">
        <f>FE196*VLOOKUP('Données projet'!$B$16,Paramètres!$A$1:$I$89,3,0)*VLOOKUP('Données projet'!$B$16,Paramètres!$A$1:$I$89,5,0)</f>
        <v>-1.250327841262333E-13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278.45534008146865</v>
      </c>
      <c r="FK196" s="59">
        <f t="shared" si="156"/>
        <v>272.97841038165217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8.2462783474175332</v>
      </c>
      <c r="FR196" s="21">
        <f>EXP(-LN(2)/25)*FR195+(1-EXP(-LN(2)/25))/(LN(2)/25)*Calculateur!FM196*Calculateur!FO196*VLOOKUP('Données projet'!$B$16,Paramètres!$A$1:$I$89,3,0)*0.475*44/12</f>
        <v>9.2403641886050963E-2</v>
      </c>
      <c r="FS196" s="21">
        <f>EXP(-LN(2)/2)*FS195+(1-EXP(-LN(2)/2))/(LN(2)/2)*FM196*FP196*VLOOKUP('Données projet'!$B$16,Paramètres!$A$1:$I$89,3,0)*0.475*44/12</f>
        <v>3.7632508012340348E-16</v>
      </c>
      <c r="FT196" s="22">
        <f t="shared" si="184"/>
        <v>8.3386819893035842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-2.8421709430404007E-13</v>
      </c>
      <c r="O197" s="13">
        <f>N197*VLOOKUP('Données projet'!$B$9,Paramètres!$A$1:$I$89,3,0)*VLOOKUP('Données projet'!$B$9,Paramètres!$A$1:$I$89,5,0)</f>
        <v>-2.5715962692629546E-13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436.03161778768742</v>
      </c>
      <c r="T197" s="59">
        <f t="shared" ref="T197:T203" si="204">$T$3</f>
        <v>217.65884352525285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101.24222857788416</v>
      </c>
      <c r="AA197" s="21">
        <f>EXP(-LN(2)/25)*AA196+(1-EXP(-LN(2)/25))/(LN(2)/25)*Calculateur!V197*Calculateur!X197*VLOOKUP('Données projet'!$B$9,Paramètres!$A$1:$I$89,3,0)*0.475*44/12</f>
        <v>13.186085516295396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114.42831409417956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-2.8421709430404007E-13</v>
      </c>
      <c r="AJ197" s="13">
        <f>AI197*VLOOKUP('Données projet'!$B$10,Paramètres!$A$1:$I$89,3,0)*VLOOKUP('Données projet'!$B$10,Paramètres!$A$1:$I$89,5,0)</f>
        <v>-2.8819613362429665E-13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483.45320081988984</v>
      </c>
      <c r="AO197" s="59">
        <f t="shared" ref="AO197:AO203" si="205">$AO$3</f>
        <v>238.92443174298893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113.46111823383572</v>
      </c>
      <c r="AV197" s="21">
        <f>EXP(-LN(2)/25)*AV196+(1-EXP(-LN(2)/25))/(LN(2)/25)*Calculateur!AQ197*Calculateur!AS197*VLOOKUP('Données projet'!$B$10,Paramètres!$A$1:$I$89,3,0)*0.475*44/12</f>
        <v>14.777509630331046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128.23862786416677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1.7053025658242404E-13</v>
      </c>
      <c r="BE197" s="13">
        <f>BD197*VLOOKUP('Données projet'!$B$11,Paramètres!$A$1:$I$89,3,0)*VLOOKUP('Données projet'!$B$11,Paramètres!$A$1:$I$89,5,0)</f>
        <v>1.4897523215040567E-13</v>
      </c>
      <c r="BF197" s="13">
        <f t="shared" si="167"/>
        <v>2.136562777003313E-12</v>
      </c>
      <c r="BG197" s="20">
        <f t="shared" si="168"/>
        <v>3.9806453659427267E-12</v>
      </c>
      <c r="BH197" s="59">
        <f t="shared" si="194"/>
        <v>293.33333333333729</v>
      </c>
      <c r="BI197" s="59">
        <f ca="1">AVERAGE(OFFSET($BH$3,0,0,'Données projet'!$E$11+1,1))-AVERAGE(OFFSET($H$3,0,0,'Données projet'!$E$11+1,1))</f>
        <v>310.44153296396854</v>
      </c>
      <c r="BJ197" s="59">
        <f t="shared" ref="BJ197:BJ203" si="206">$BJ$3</f>
        <v>388.05195847800502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6.9811735314199952</v>
      </c>
      <c r="BQ197" s="21">
        <f>EXP(-LN(2)/25)*BQ196+(1-EXP(-LN(2)/25))/(LN(2)/25)*Calculateur!BL197*Calculateur!BN197*VLOOKUP('Données projet'!$B$11,Paramètres!$A$1:$I$89,3,0)*0.475*44/12</f>
        <v>0.17042736609636944</v>
      </c>
      <c r="BR197" s="21">
        <f>EXP(-LN(2)/2)*BR196+(1-EXP(-LN(2)/2))/(LN(2)/2)*BL197*BO197*VLOOKUP('Données projet'!$B$11,Paramètres!$A$1:$I$89,3,0)*0.475*44/12</f>
        <v>8.9317895454132881E-18</v>
      </c>
      <c r="BS197" s="22">
        <f t="shared" si="169"/>
        <v>7.1516008975163645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-2.2737367544323206E-13</v>
      </c>
      <c r="BZ197" s="13">
        <f>BY197*VLOOKUP('Données projet'!$B$12,Paramètres!$A$1:$I$89,3,0)*VLOOKUP('Données projet'!$B$12,Paramètres!$A$1:$I$89,5,0)</f>
        <v>-1.2710188457276673E-13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443.34220761968419</v>
      </c>
      <c r="CE197" s="59">
        <f t="shared" ref="CE197:CE203" si="207">$CE$3</f>
        <v>546.58234447298014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17.907989292832106</v>
      </c>
      <c r="CL197" s="21">
        <f>EXP(-LN(2)/25)*CL196+(1-EXP(-LN(2)/25))/(LN(2)/25)*Calculateur!CG197*Calculateur!CI197*VLOOKUP('Données projet'!$B$12,Paramètres!$A$1:$I$89,3,0)*0.475*44/12</f>
        <v>1.4763910743907458</v>
      </c>
      <c r="CM197" s="21">
        <f>EXP(-LN(2)/2)*CM196+(1-EXP(-LN(2)/2))/(LN(2)/2)*CG197*CJ197*VLOOKUP('Données projet'!$B$12,Paramètres!$A$1:$I$89,3,0)*0.475*44/12</f>
        <v>2.9265605089009588E-19</v>
      </c>
      <c r="CN197" s="22">
        <f t="shared" si="172"/>
        <v>19.384380367222853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>
        <f>CT197*VLOOKUP('Données projet'!$B$13,Paramètres!$A$1:$I$89,3,0)*VLOOKUP('Données projet'!$B$13,Paramètres!$A$1:$I$89,5,0)</f>
        <v>0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214.22606988805535</v>
      </c>
      <c r="CZ197" s="59">
        <f t="shared" ref="CZ197:CZ203" si="208">$CZ$3</f>
        <v>305.78163836959078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10.0480337248695</v>
      </c>
      <c r="DG197" s="21">
        <f>EXP(-LN(2)/25)*DG196+(1-EXP(-LN(2)/25))/(LN(2)/25)*Calculateur!DB197*Calculateur!DD197*VLOOKUP('Données projet'!$B$13,Paramètres!$A$1:$I$89,3,0)*0.475*44/12</f>
        <v>0.86526503840621605</v>
      </c>
      <c r="DH197" s="21">
        <f>EXP(-LN(2)/2)*DH196+(1-EXP(-LN(2)/2))/(LN(2)/2)*DB197*DE197*VLOOKUP('Données projet'!$B$13,Paramètres!$A$1:$I$89,3,0)*0.475*44/12</f>
        <v>1.2790506096145781E-19</v>
      </c>
      <c r="DI197" s="22">
        <f t="shared" si="175"/>
        <v>10.913298763275716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-1.7053025658242404E-13</v>
      </c>
      <c r="DP197" s="17">
        <f>DO197*VLOOKUP('Données projet'!$B$14,Paramètres!$A$1:$I$89,3,0)*VLOOKUP('Données projet'!$B$14,Paramètres!$A$1:$I$89,5,0)</f>
        <v>-1.383341441396624E-13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304.26232113495314</v>
      </c>
      <c r="DU197" s="59">
        <f t="shared" ref="DU197:DU203" si="209">$DU$3</f>
        <v>297.47246687305056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11.024782560483212</v>
      </c>
      <c r="EB197" s="21">
        <f>EXP(-LN(2)/25)*EB196+(1-EXP(-LN(2)/25))/(LN(2)/25)*Calculateur!DW197*Calculateur!DY197*VLOOKUP('Données projet'!$B$14,Paramètres!$A$1:$I$89,3,0)*0.475*44/12</f>
        <v>0.12256339664271799</v>
      </c>
      <c r="EC197" s="21">
        <f>EXP(-LN(2)/2)*EC196+(1-EXP(-LN(2)/2))/(LN(2)/2)*DW197*DZ197*VLOOKUP('Données projet'!$B$14,Paramètres!$A$1:$I$89,3,0)*0.475*44/12</f>
        <v>2.9441074120134395E-16</v>
      </c>
      <c r="ED197" s="22">
        <f t="shared" si="178"/>
        <v>11.14734595712593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-1.7053025658242404E-13</v>
      </c>
      <c r="EK197" s="17">
        <f>EJ197*VLOOKUP('Données projet'!$B$15,Paramètres!$A$1:$I$89,3,0)*VLOOKUP('Données projet'!$B$15,Paramètres!$A$1:$I$89,5,0)</f>
        <v>-1.6493686416652052E-13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355.72173590705142</v>
      </c>
      <c r="EP197" s="59">
        <f t="shared" ref="EP197:EP203" si="210">$EP$3</f>
        <v>346.30980704469363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10.66475700516988</v>
      </c>
      <c r="EW197" s="21">
        <f>EXP(-LN(2)/25)*EW196+(1-EXP(-LN(2)/25))/(LN(2)/25)*Calculateur!ER197*Calculateur!ET197*VLOOKUP('Données projet'!$B$15,Paramètres!$A$1:$I$89,3,0)*0.475*44/12</f>
        <v>0.11856096351577873</v>
      </c>
      <c r="EX197" s="21">
        <f>EXP(-LN(2)/2)*EX196+(1-EXP(-LN(2)/2))/(LN(2)/2)*ER197*EU197*VLOOKUP('Données projet'!$B$15,Paramètres!$A$1:$I$89,3,0)*0.475*44/12</f>
        <v>3.5102819143237043E-16</v>
      </c>
      <c r="EY197" s="22">
        <f t="shared" si="181"/>
        <v>10.78331796868566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-1.7053025658242404E-13</v>
      </c>
      <c r="FF197" s="17">
        <f>FE197*VLOOKUP('Données projet'!$B$16,Paramètres!$A$1:$I$89,3,0)*VLOOKUP('Données projet'!$B$16,Paramètres!$A$1:$I$89,5,0)</f>
        <v>-1.250327841262333E-13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278.45534008146865</v>
      </c>
      <c r="FK197" s="59">
        <f t="shared" ref="FK197:FK203" si="211">$FK$3</f>
        <v>272.97841038165217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8.0845738587578229</v>
      </c>
      <c r="FR197" s="21">
        <f>EXP(-LN(2)/25)*FR196+(1-EXP(-LN(2)/25))/(LN(2)/25)*Calculateur!FM197*Calculateur!FO197*VLOOKUP('Données projet'!$B$16,Paramètres!$A$1:$I$89,3,0)*0.475*44/12</f>
        <v>8.9876859439380563E-2</v>
      </c>
      <c r="FS197" s="21">
        <f>EXP(-LN(2)/2)*FS196+(1-EXP(-LN(2)/2))/(LN(2)/2)*FM197*FP197*VLOOKUP('Données projet'!$B$16,Paramètres!$A$1:$I$89,3,0)*0.475*44/12</f>
        <v>2.6610201608582942E-16</v>
      </c>
      <c r="FT197" s="22">
        <f t="shared" si="184"/>
        <v>8.1744507181972033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-2.8421709430404007E-13</v>
      </c>
      <c r="O198" s="13">
        <f>N198*VLOOKUP('Données projet'!$B$9,Paramètres!$A$1:$I$89,3,0)*VLOOKUP('Données projet'!$B$9,Paramètres!$A$1:$I$89,5,0)</f>
        <v>-2.5715962692629546E-13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436.03161778768742</v>
      </c>
      <c r="T198" s="59">
        <f t="shared" si="204"/>
        <v>217.65884352525285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99.256930227133822</v>
      </c>
      <c r="AA198" s="21">
        <f>EXP(-LN(2)/25)*AA197+(1-EXP(-LN(2)/25))/(LN(2)/25)*Calculateur!V198*Calculateur!X198*VLOOKUP('Données projet'!$B$9,Paramètres!$A$1:$I$89,3,0)*0.475*44/12</f>
        <v>12.825511314426198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112.08244154156002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-2.8421709430404007E-13</v>
      </c>
      <c r="AJ198" s="13">
        <f>AI198*VLOOKUP('Données projet'!$B$10,Paramètres!$A$1:$I$89,3,0)*VLOOKUP('Données projet'!$B$10,Paramètres!$A$1:$I$89,5,0)</f>
        <v>-2.8819613362429665E-13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483.45320081988984</v>
      </c>
      <c r="AO198" s="59">
        <f t="shared" si="205"/>
        <v>238.92443174298893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111.23621490971895</v>
      </c>
      <c r="AV198" s="21">
        <f>EXP(-LN(2)/25)*AV197+(1-EXP(-LN(2)/25))/(LN(2)/25)*Calculateur!AQ198*Calculateur!AS198*VLOOKUP('Données projet'!$B$10,Paramètres!$A$1:$I$89,3,0)*0.475*44/12</f>
        <v>14.373417852374187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125.60963276209314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1.7053025658242404E-13</v>
      </c>
      <c r="BE198" s="13">
        <f>BD198*VLOOKUP('Données projet'!$B$11,Paramètres!$A$1:$I$89,3,0)*VLOOKUP('Données projet'!$B$11,Paramètres!$A$1:$I$89,5,0)</f>
        <v>1.4897523215040567E-13</v>
      </c>
      <c r="BF198" s="13">
        <f t="shared" si="167"/>
        <v>2.136562777003313E-12</v>
      </c>
      <c r="BG198" s="20">
        <f t="shared" si="168"/>
        <v>3.9806453659427267E-12</v>
      </c>
      <c r="BH198" s="59">
        <f t="shared" si="194"/>
        <v>293.33333333333729</v>
      </c>
      <c r="BI198" s="59">
        <f ca="1">AVERAGE(OFFSET($BH$3,0,0,'Données projet'!$E$11+1,1))-AVERAGE(OFFSET($H$3,0,0,'Données projet'!$E$11+1,1))</f>
        <v>310.44153296396854</v>
      </c>
      <c r="BJ198" s="59">
        <f t="shared" si="206"/>
        <v>388.05195847800502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6.8442769765642515</v>
      </c>
      <c r="BQ198" s="21">
        <f>EXP(-LN(2)/25)*BQ197+(1-EXP(-LN(2)/25))/(LN(2)/25)*Calculateur!BL198*Calculateur!BN198*VLOOKUP('Données projet'!$B$11,Paramètres!$A$1:$I$89,3,0)*0.475*44/12</f>
        <v>0.16576702080807854</v>
      </c>
      <c r="BR198" s="21">
        <f>EXP(-LN(2)/2)*BR197+(1-EXP(-LN(2)/2))/(LN(2)/2)*BL198*BO198*VLOOKUP('Données projet'!$B$11,Paramètres!$A$1:$I$89,3,0)*0.475*44/12</f>
        <v>6.3157289556928468E-18</v>
      </c>
      <c r="BS198" s="22">
        <f t="shared" si="169"/>
        <v>7.0100439973723301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-2.2737367544323206E-13</v>
      </c>
      <c r="BZ198" s="13">
        <f>BY198*VLOOKUP('Données projet'!$B$12,Paramètres!$A$1:$I$89,3,0)*VLOOKUP('Données projet'!$B$12,Paramètres!$A$1:$I$89,5,0)</f>
        <v>-1.2710188457276673E-13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443.34220761968419</v>
      </c>
      <c r="CE198" s="59">
        <f t="shared" si="207"/>
        <v>546.58234447298014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17.556824545594601</v>
      </c>
      <c r="CL198" s="21">
        <f>EXP(-LN(2)/25)*CL197+(1-EXP(-LN(2)/25))/(LN(2)/25)*Calculateur!CG198*Calculateur!CI198*VLOOKUP('Données projet'!$B$12,Paramètres!$A$1:$I$89,3,0)*0.475*44/12</f>
        <v>1.4360190828214985</v>
      </c>
      <c r="CM198" s="21">
        <f>EXP(-LN(2)/2)*CM197+(1-EXP(-LN(2)/2))/(LN(2)/2)*CG198*CJ198*VLOOKUP('Données projet'!$B$12,Paramètres!$A$1:$I$89,3,0)*0.475*44/12</f>
        <v>2.0693907813966215E-19</v>
      </c>
      <c r="CN198" s="22">
        <f t="shared" si="172"/>
        <v>18.9928436284161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>
        <f>CT198*VLOOKUP('Données projet'!$B$13,Paramètres!$A$1:$I$89,3,0)*VLOOKUP('Données projet'!$B$13,Paramètres!$A$1:$I$89,5,0)</f>
        <v>0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214.22606988805535</v>
      </c>
      <c r="CZ198" s="59">
        <f t="shared" si="208"/>
        <v>305.78163836959078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9.8509979122202225</v>
      </c>
      <c r="DG198" s="21">
        <f>EXP(-LN(2)/25)*DG197+(1-EXP(-LN(2)/25))/(LN(2)/25)*Calculateur!DB198*Calculateur!DD198*VLOOKUP('Données projet'!$B$13,Paramètres!$A$1:$I$89,3,0)*0.475*44/12</f>
        <v>0.84160432042868727</v>
      </c>
      <c r="DH198" s="21">
        <f>EXP(-LN(2)/2)*DH197+(1-EXP(-LN(2)/2))/(LN(2)/2)*DB198*DE198*VLOOKUP('Données projet'!$B$13,Paramètres!$A$1:$I$89,3,0)*0.475*44/12</f>
        <v>9.044253595392557E-20</v>
      </c>
      <c r="DI198" s="22">
        <f t="shared" si="175"/>
        <v>10.692602232648909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-1.7053025658242404E-13</v>
      </c>
      <c r="DP198" s="17">
        <f>DO198*VLOOKUP('Données projet'!$B$14,Paramètres!$A$1:$I$89,3,0)*VLOOKUP('Données projet'!$B$14,Paramètres!$A$1:$I$89,5,0)</f>
        <v>-1.383341441396624E-13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304.26232113495314</v>
      </c>
      <c r="DU198" s="59">
        <f t="shared" si="209"/>
        <v>297.47246687305056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10.808593298925514</v>
      </c>
      <c r="EB198" s="21">
        <f>EXP(-LN(2)/25)*EB197+(1-EXP(-LN(2)/25))/(LN(2)/25)*Calculateur!DW198*Calculateur!DY198*VLOOKUP('Données projet'!$B$14,Paramètres!$A$1:$I$89,3,0)*0.475*44/12</f>
        <v>0.11921189411619397</v>
      </c>
      <c r="EC198" s="21">
        <f>EXP(-LN(2)/2)*EC197+(1-EXP(-LN(2)/2))/(LN(2)/2)*DW198*DZ198*VLOOKUP('Données projet'!$B$14,Paramètres!$A$1:$I$89,3,0)*0.475*44/12</f>
        <v>2.0817983155762799E-16</v>
      </c>
      <c r="ED198" s="22">
        <f t="shared" si="178"/>
        <v>10.927805193041708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-1.7053025658242404E-13</v>
      </c>
      <c r="EK198" s="17">
        <f>EJ198*VLOOKUP('Données projet'!$B$15,Paramètres!$A$1:$I$89,3,0)*VLOOKUP('Données projet'!$B$15,Paramètres!$A$1:$I$89,5,0)</f>
        <v>-1.6493686416652052E-13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355.72173590705142</v>
      </c>
      <c r="EP198" s="59">
        <f t="shared" si="210"/>
        <v>346.30980704469363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10.455627625157971</v>
      </c>
      <c r="EW198" s="21">
        <f>EXP(-LN(2)/25)*EW197+(1-EXP(-LN(2)/25))/(LN(2)/25)*Calculateur!ER198*Calculateur!ET198*VLOOKUP('Données projet'!$B$15,Paramètres!$A$1:$I$89,3,0)*0.475*44/12</f>
        <v>0.11531890773358966</v>
      </c>
      <c r="EX198" s="21">
        <f>EXP(-LN(2)/2)*EX197+(1-EXP(-LN(2)/2))/(LN(2)/2)*ER198*EU198*VLOOKUP('Données projet'!$B$15,Paramètres!$A$1:$I$89,3,0)*0.475*44/12</f>
        <v>2.4821441454947867E-16</v>
      </c>
      <c r="EY198" s="22">
        <f t="shared" si="181"/>
        <v>10.570946532891561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-1.7053025658242404E-13</v>
      </c>
      <c r="FF198" s="17">
        <f>FE198*VLOOKUP('Données projet'!$B$16,Paramètres!$A$1:$I$89,3,0)*VLOOKUP('Données projet'!$B$16,Paramètres!$A$1:$I$89,5,0)</f>
        <v>-1.250327841262333E-13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278.45534008146865</v>
      </c>
      <c r="FK198" s="59">
        <f t="shared" si="211"/>
        <v>272.97841038165217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7.9260402964907302</v>
      </c>
      <c r="FR198" s="21">
        <f>EXP(-LN(2)/25)*FR197+(1-EXP(-LN(2)/25))/(LN(2)/25)*Calculateur!FM198*Calculateur!FO198*VLOOKUP('Données projet'!$B$16,Paramètres!$A$1:$I$89,3,0)*0.475*44/12</f>
        <v>8.7419171991592076E-2</v>
      </c>
      <c r="FS198" s="21">
        <f>EXP(-LN(2)/2)*FS197+(1-EXP(-LN(2)/2))/(LN(2)/2)*FM198*FP198*VLOOKUP('Données projet'!$B$16,Paramètres!$A$1:$I$89,3,0)*0.475*44/12</f>
        <v>1.8816254006170174E-16</v>
      </c>
      <c r="FT198" s="22">
        <f t="shared" si="184"/>
        <v>8.0134594684823224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-2.8421709430404007E-13</v>
      </c>
      <c r="O199" s="13">
        <f>N199*VLOOKUP('Données projet'!$B$9,Paramètres!$A$1:$I$89,3,0)*VLOOKUP('Données projet'!$B$9,Paramètres!$A$1:$I$89,5,0)</f>
        <v>-2.5715962692629546E-13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436.03161778768742</v>
      </c>
      <c r="T199" s="59">
        <f t="shared" si="204"/>
        <v>217.65884352525285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97.310562366129261</v>
      </c>
      <c r="AA199" s="21">
        <f>EXP(-LN(2)/25)*AA198+(1-EXP(-LN(2)/25))/(LN(2)/25)*Calculateur!V199*Calculateur!X199*VLOOKUP('Données projet'!$B$9,Paramètres!$A$1:$I$89,3,0)*0.475*44/12</f>
        <v>12.474797033068887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109.78535939919814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-2.8421709430404007E-13</v>
      </c>
      <c r="AJ199" s="13">
        <f>AI199*VLOOKUP('Données projet'!$B$10,Paramètres!$A$1:$I$89,3,0)*VLOOKUP('Données projet'!$B$10,Paramètres!$A$1:$I$89,5,0)</f>
        <v>-2.8819613362429665E-13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483.45320081988984</v>
      </c>
      <c r="AO199" s="59">
        <f t="shared" si="205"/>
        <v>238.92443174298893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109.05494058273109</v>
      </c>
      <c r="AV199" s="21">
        <f>EXP(-LN(2)/25)*AV198+(1-EXP(-LN(2)/25))/(LN(2)/25)*Calculateur!AQ199*Calculateur!AS199*VLOOKUP('Données projet'!$B$10,Paramètres!$A$1:$I$89,3,0)*0.475*44/12</f>
        <v>13.98037598533582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123.03531656806692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1.7053025658242404E-13</v>
      </c>
      <c r="BE199" s="13">
        <f>BD199*VLOOKUP('Données projet'!$B$11,Paramètres!$A$1:$I$89,3,0)*VLOOKUP('Données projet'!$B$11,Paramètres!$A$1:$I$89,5,0)</f>
        <v>1.4897523215040567E-13</v>
      </c>
      <c r="BF199" s="13">
        <f t="shared" si="167"/>
        <v>2.136562777003313E-12</v>
      </c>
      <c r="BG199" s="20">
        <f t="shared" si="168"/>
        <v>3.9806453659427267E-12</v>
      </c>
      <c r="BH199" s="59">
        <f t="shared" si="194"/>
        <v>293.33333333333729</v>
      </c>
      <c r="BI199" s="59">
        <f ca="1">AVERAGE(OFFSET($BH$3,0,0,'Données projet'!$E$11+1,1))-AVERAGE(OFFSET($H$3,0,0,'Données projet'!$E$11+1,1))</f>
        <v>310.44153296396854</v>
      </c>
      <c r="BJ199" s="59">
        <f t="shared" si="206"/>
        <v>388.05195847800502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6.7100648796505746</v>
      </c>
      <c r="BQ199" s="21">
        <f>EXP(-LN(2)/25)*BQ198+(1-EXP(-LN(2)/25))/(LN(2)/25)*Calculateur!BL199*Calculateur!BN199*VLOOKUP('Données projet'!$B$11,Paramètres!$A$1:$I$89,3,0)*0.475*44/12</f>
        <v>0.16123411290677286</v>
      </c>
      <c r="BR199" s="21">
        <f>EXP(-LN(2)/2)*BR198+(1-EXP(-LN(2)/2))/(LN(2)/2)*BL199*BO199*VLOOKUP('Données projet'!$B$11,Paramètres!$A$1:$I$89,3,0)*0.475*44/12</f>
        <v>4.4658947727066441E-18</v>
      </c>
      <c r="BS199" s="22">
        <f t="shared" si="169"/>
        <v>6.8712989925573478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-2.2737367544323206E-13</v>
      </c>
      <c r="BZ199" s="13">
        <f>BY199*VLOOKUP('Données projet'!$B$12,Paramètres!$A$1:$I$89,3,0)*VLOOKUP('Données projet'!$B$12,Paramètres!$A$1:$I$89,5,0)</f>
        <v>-1.2710188457276673E-13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443.34220761968419</v>
      </c>
      <c r="CE199" s="59">
        <f t="shared" si="207"/>
        <v>546.58234447298014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17.212545924861075</v>
      </c>
      <c r="CL199" s="21">
        <f>EXP(-LN(2)/25)*CL198+(1-EXP(-LN(2)/25))/(LN(2)/25)*Calculateur!CG199*Calculateur!CI199*VLOOKUP('Données projet'!$B$12,Paramètres!$A$1:$I$89,3,0)*0.475*44/12</f>
        <v>1.396751065484783</v>
      </c>
      <c r="CM199" s="21">
        <f>EXP(-LN(2)/2)*CM198+(1-EXP(-LN(2)/2))/(LN(2)/2)*CG199*CJ199*VLOOKUP('Données projet'!$B$12,Paramètres!$A$1:$I$89,3,0)*0.475*44/12</f>
        <v>1.4632802544504794E-19</v>
      </c>
      <c r="CN199" s="22">
        <f t="shared" si="172"/>
        <v>18.609296990345857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>
        <f>CT199*VLOOKUP('Données projet'!$B$13,Paramètres!$A$1:$I$89,3,0)*VLOOKUP('Données projet'!$B$13,Paramètres!$A$1:$I$89,5,0)</f>
        <v>0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214.22606988805535</v>
      </c>
      <c r="CZ199" s="59">
        <f t="shared" si="208"/>
        <v>305.78163836959078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9.6578258516770195</v>
      </c>
      <c r="DG199" s="21">
        <f>EXP(-LN(2)/25)*DG198+(1-EXP(-LN(2)/25))/(LN(2)/25)*Calculateur!DB199*Calculateur!DD199*VLOOKUP('Données projet'!$B$13,Paramètres!$A$1:$I$89,3,0)*0.475*44/12</f>
        <v>0.81859060602851708</v>
      </c>
      <c r="DH199" s="21">
        <f>EXP(-LN(2)/2)*DH198+(1-EXP(-LN(2)/2))/(LN(2)/2)*DB199*DE199*VLOOKUP('Données projet'!$B$13,Paramètres!$A$1:$I$89,3,0)*0.475*44/12</f>
        <v>6.3952530480728904E-20</v>
      </c>
      <c r="DI199" s="22">
        <f t="shared" si="175"/>
        <v>10.476416457705536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-1.7053025658242404E-13</v>
      </c>
      <c r="DP199" s="17">
        <f>DO199*VLOOKUP('Données projet'!$B$14,Paramètres!$A$1:$I$89,3,0)*VLOOKUP('Données projet'!$B$14,Paramètres!$A$1:$I$89,5,0)</f>
        <v>-1.383341441396624E-13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304.26232113495314</v>
      </c>
      <c r="DU199" s="59">
        <f t="shared" si="209"/>
        <v>297.47246687305056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10.596643376924533</v>
      </c>
      <c r="EB199" s="21">
        <f>EXP(-LN(2)/25)*EB198+(1-EXP(-LN(2)/25))/(LN(2)/25)*Calculateur!DW199*Calculateur!DY199*VLOOKUP('Données projet'!$B$14,Paramètres!$A$1:$I$89,3,0)*0.475*44/12</f>
        <v>0.11595203860250559</v>
      </c>
      <c r="EC199" s="21">
        <f>EXP(-LN(2)/2)*EC198+(1-EXP(-LN(2)/2))/(LN(2)/2)*DW199*DZ199*VLOOKUP('Données projet'!$B$14,Paramètres!$A$1:$I$89,3,0)*0.475*44/12</f>
        <v>1.4720537060067197E-16</v>
      </c>
      <c r="ED199" s="22">
        <f t="shared" si="178"/>
        <v>10.712595415527039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-1.7053025658242404E-13</v>
      </c>
      <c r="EK199" s="17">
        <f>EJ199*VLOOKUP('Données projet'!$B$15,Paramètres!$A$1:$I$89,3,0)*VLOOKUP('Données projet'!$B$15,Paramètres!$A$1:$I$89,5,0)</f>
        <v>-1.6493686416652052E-13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355.72173590705142</v>
      </c>
      <c r="EP199" s="59">
        <f t="shared" si="210"/>
        <v>346.30980704469363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10.250599144731769</v>
      </c>
      <c r="EW199" s="21">
        <f>EXP(-LN(2)/25)*EW198+(1-EXP(-LN(2)/25))/(LN(2)/25)*Calculateur!ER199*Calculateur!ET199*VLOOKUP('Données projet'!$B$15,Paramètres!$A$1:$I$89,3,0)*0.475*44/12</f>
        <v>0.11216550613725686</v>
      </c>
      <c r="EX199" s="21">
        <f>EXP(-LN(2)/2)*EX198+(1-EXP(-LN(2)/2))/(LN(2)/2)*ER199*EU199*VLOOKUP('Données projet'!$B$15,Paramètres!$A$1:$I$89,3,0)*0.475*44/12</f>
        <v>1.7551409571618521E-16</v>
      </c>
      <c r="EY199" s="22">
        <f t="shared" si="181"/>
        <v>10.362764650869027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-1.7053025658242404E-13</v>
      </c>
      <c r="FF199" s="17">
        <f>FE199*VLOOKUP('Données projet'!$B$16,Paramètres!$A$1:$I$89,3,0)*VLOOKUP('Données projet'!$B$16,Paramètres!$A$1:$I$89,5,0)</f>
        <v>-1.250327841262333E-13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278.45534008146865</v>
      </c>
      <c r="FK199" s="59">
        <f t="shared" si="211"/>
        <v>272.97841038165217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7.7706154806837695</v>
      </c>
      <c r="FR199" s="21">
        <f>EXP(-LN(2)/25)*FR198+(1-EXP(-LN(2)/25))/(LN(2)/25)*Calculateur!FM199*Calculateur!FO199*VLOOKUP('Données projet'!$B$16,Paramètres!$A$1:$I$89,3,0)*0.475*44/12</f>
        <v>8.5028690136307539E-2</v>
      </c>
      <c r="FS199" s="21">
        <f>EXP(-LN(2)/2)*FS198+(1-EXP(-LN(2)/2))/(LN(2)/2)*FM199*FP199*VLOOKUP('Données projet'!$B$16,Paramètres!$A$1:$I$89,3,0)*0.475*44/12</f>
        <v>1.3305100804291471E-16</v>
      </c>
      <c r="FT199" s="22">
        <f t="shared" si="184"/>
        <v>7.855644170820077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-2.8421709430404007E-13</v>
      </c>
      <c r="O200" s="13">
        <f>N200*VLOOKUP('Données projet'!$B$9,Paramètres!$A$1:$I$89,3,0)*VLOOKUP('Données projet'!$B$9,Paramètres!$A$1:$I$89,5,0)</f>
        <v>-2.5715962692629546E-13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436.03161778768742</v>
      </c>
      <c r="T200" s="59">
        <f t="shared" si="204"/>
        <v>217.65884352525285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95.402361591711824</v>
      </c>
      <c r="AA200" s="21">
        <f>EXP(-LN(2)/25)*AA199+(1-EXP(-LN(2)/25))/(LN(2)/25)*Calculateur!V200*Calculateur!X200*VLOOKUP('Données projet'!$B$9,Paramètres!$A$1:$I$89,3,0)*0.475*44/12</f>
        <v>12.133673052178553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107.53603464389037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-2.8421709430404007E-13</v>
      </c>
      <c r="AJ200" s="13">
        <f>AI200*VLOOKUP('Données projet'!$B$10,Paramètres!$A$1:$I$89,3,0)*VLOOKUP('Données projet'!$B$10,Paramètres!$A$1:$I$89,5,0)</f>
        <v>-2.8819613362429665E-13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483.45320081988984</v>
      </c>
      <c r="AO200" s="59">
        <f t="shared" si="205"/>
        <v>238.92443174298893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106.91643971484949</v>
      </c>
      <c r="AV200" s="21">
        <f>EXP(-LN(2)/25)*AV199+(1-EXP(-LN(2)/25))/(LN(2)/25)*Calculateur!AQ200*Calculateur!AS200*VLOOKUP('Données projet'!$B$10,Paramètres!$A$1:$I$89,3,0)*0.475*44/12</f>
        <v>13.598081868820792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120.51452158367027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1.7053025658242404E-13</v>
      </c>
      <c r="BE200" s="13">
        <f>BD200*VLOOKUP('Données projet'!$B$11,Paramètres!$A$1:$I$89,3,0)*VLOOKUP('Données projet'!$B$11,Paramètres!$A$1:$I$89,5,0)</f>
        <v>1.4897523215040567E-13</v>
      </c>
      <c r="BF200" s="13">
        <f t="shared" si="167"/>
        <v>2.136562777003313E-12</v>
      </c>
      <c r="BG200" s="20">
        <f t="shared" si="168"/>
        <v>3.9806453659427267E-12</v>
      </c>
      <c r="BH200" s="59">
        <f t="shared" si="194"/>
        <v>293.33333333333729</v>
      </c>
      <c r="BI200" s="59">
        <f ca="1">AVERAGE(OFFSET($BH$3,0,0,'Données projet'!$E$11+1,1))-AVERAGE(OFFSET($H$3,0,0,'Données projet'!$E$11+1,1))</f>
        <v>310.44153296396854</v>
      </c>
      <c r="BJ200" s="59">
        <f t="shared" si="206"/>
        <v>388.05195847800502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6.578484600096079</v>
      </c>
      <c r="BQ200" s="21">
        <f>EXP(-LN(2)/25)*BQ199+(1-EXP(-LN(2)/25))/(LN(2)/25)*Calculateur!BL200*Calculateur!BN200*VLOOKUP('Données projet'!$B$11,Paramètres!$A$1:$I$89,3,0)*0.475*44/12</f>
        <v>0.15682515761040366</v>
      </c>
      <c r="BR200" s="21">
        <f>EXP(-LN(2)/2)*BR199+(1-EXP(-LN(2)/2))/(LN(2)/2)*BL200*BO200*VLOOKUP('Données projet'!$B$11,Paramètres!$A$1:$I$89,3,0)*0.475*44/12</f>
        <v>3.1578644778464234E-18</v>
      </c>
      <c r="BS200" s="22">
        <f t="shared" si="169"/>
        <v>6.7353097577064824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-2.2737367544323206E-13</v>
      </c>
      <c r="BZ200" s="13">
        <f>BY200*VLOOKUP('Données projet'!$B$12,Paramètres!$A$1:$I$89,3,0)*VLOOKUP('Données projet'!$B$12,Paramètres!$A$1:$I$89,5,0)</f>
        <v>-1.2710188457276673E-13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443.34220761968419</v>
      </c>
      <c r="CE200" s="59">
        <f t="shared" si="207"/>
        <v>546.58234447298014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16.875018397890912</v>
      </c>
      <c r="CL200" s="21">
        <f>EXP(-LN(2)/25)*CL199+(1-EXP(-LN(2)/25))/(LN(2)/25)*Calculateur!CG200*Calculateur!CI200*VLOOKUP('Données projet'!$B$12,Paramètres!$A$1:$I$89,3,0)*0.475*44/12</f>
        <v>1.3585568341471554</v>
      </c>
      <c r="CM200" s="21">
        <f>EXP(-LN(2)/2)*CM199+(1-EXP(-LN(2)/2))/(LN(2)/2)*CG200*CJ200*VLOOKUP('Données projet'!$B$12,Paramètres!$A$1:$I$89,3,0)*0.475*44/12</f>
        <v>1.0346953906983107E-19</v>
      </c>
      <c r="CN200" s="22">
        <f t="shared" si="172"/>
        <v>18.233575232038067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>
        <f>CT200*VLOOKUP('Données projet'!$B$13,Paramètres!$A$1:$I$89,3,0)*VLOOKUP('Données projet'!$B$13,Paramètres!$A$1:$I$89,5,0)</f>
        <v>0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214.22606988805535</v>
      </c>
      <c r="CZ200" s="59">
        <f t="shared" si="208"/>
        <v>305.78163836959078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9.4684417774177447</v>
      </c>
      <c r="DG200" s="21">
        <f>EXP(-LN(2)/25)*DG199+(1-EXP(-LN(2)/25))/(LN(2)/25)*Calculateur!DB200*Calculateur!DD200*VLOOKUP('Données projet'!$B$13,Paramètres!$A$1:$I$89,3,0)*0.475*44/12</f>
        <v>0.79620620285885824</v>
      </c>
      <c r="DH200" s="21">
        <f>EXP(-LN(2)/2)*DH199+(1-EXP(-LN(2)/2))/(LN(2)/2)*DB200*DE200*VLOOKUP('Données projet'!$B$13,Paramètres!$A$1:$I$89,3,0)*0.475*44/12</f>
        <v>4.5221267976962785E-20</v>
      </c>
      <c r="DI200" s="22">
        <f t="shared" si="175"/>
        <v>10.264647980276603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-1.7053025658242404E-13</v>
      </c>
      <c r="DP200" s="17">
        <f>DO200*VLOOKUP('Données projet'!$B$14,Paramètres!$A$1:$I$89,3,0)*VLOOKUP('Données projet'!$B$14,Paramètres!$A$1:$I$89,5,0)</f>
        <v>-1.383341441396624E-13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304.26232113495314</v>
      </c>
      <c r="DU200" s="59">
        <f t="shared" si="209"/>
        <v>297.47246687305056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10.388849663617304</v>
      </c>
      <c r="EB200" s="21">
        <f>EXP(-LN(2)/25)*EB199+(1-EXP(-LN(2)/25))/(LN(2)/25)*Calculateur!DW200*Calculateur!DY200*VLOOKUP('Données projet'!$B$14,Paramètres!$A$1:$I$89,3,0)*0.475*44/12</f>
        <v>0.11278132400926738</v>
      </c>
      <c r="EC200" s="21">
        <f>EXP(-LN(2)/2)*EC199+(1-EXP(-LN(2)/2))/(LN(2)/2)*DW200*DZ200*VLOOKUP('Données projet'!$B$14,Paramètres!$A$1:$I$89,3,0)*0.475*44/12</f>
        <v>1.0408991577881399E-16</v>
      </c>
      <c r="ED200" s="22">
        <f t="shared" si="178"/>
        <v>10.501630987626571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-1.7053025658242404E-13</v>
      </c>
      <c r="EK200" s="17">
        <f>EJ200*VLOOKUP('Données projet'!$B$15,Paramètres!$A$1:$I$89,3,0)*VLOOKUP('Données projet'!$B$15,Paramètres!$A$1:$I$89,5,0)</f>
        <v>-1.6493686416652052E-13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355.72173590705142</v>
      </c>
      <c r="EP200" s="59">
        <f t="shared" si="210"/>
        <v>346.30980704469363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10.049591147751698</v>
      </c>
      <c r="EW200" s="21">
        <f>EXP(-LN(2)/25)*EW199+(1-EXP(-LN(2)/25))/(LN(2)/25)*Calculateur!ER200*Calculateur!ET200*VLOOKUP('Données projet'!$B$15,Paramètres!$A$1:$I$89,3,0)*0.475*44/12</f>
        <v>0.10909833447340596</v>
      </c>
      <c r="EX200" s="21">
        <f>EXP(-LN(2)/2)*EX199+(1-EXP(-LN(2)/2))/(LN(2)/2)*ER200*EU200*VLOOKUP('Données projet'!$B$15,Paramètres!$A$1:$I$89,3,0)*0.475*44/12</f>
        <v>1.2410720727473933E-16</v>
      </c>
      <c r="EY200" s="22">
        <f t="shared" si="181"/>
        <v>10.158689482225105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-1.7053025658242404E-13</v>
      </c>
      <c r="FF200" s="17">
        <f>FE200*VLOOKUP('Données projet'!$B$16,Paramètres!$A$1:$I$89,3,0)*VLOOKUP('Données projet'!$B$16,Paramètres!$A$1:$I$89,5,0)</f>
        <v>-1.250327841262333E-13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278.45534008146865</v>
      </c>
      <c r="FK200" s="59">
        <f t="shared" si="211"/>
        <v>272.97841038165217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7.6182384507150065</v>
      </c>
      <c r="FR200" s="21">
        <f>EXP(-LN(2)/25)*FR199+(1-EXP(-LN(2)/25))/(LN(2)/25)*Calculateur!FM200*Calculateur!FO200*VLOOKUP('Données projet'!$B$16,Paramètres!$A$1:$I$89,3,0)*0.475*44/12</f>
        <v>8.2703576133065726E-2</v>
      </c>
      <c r="FS200" s="21">
        <f>EXP(-LN(2)/2)*FS199+(1-EXP(-LN(2)/2))/(LN(2)/2)*FM200*FP200*VLOOKUP('Données projet'!$B$16,Paramètres!$A$1:$I$89,3,0)*0.475*44/12</f>
        <v>9.4081270030850869E-17</v>
      </c>
      <c r="FT200" s="22">
        <f t="shared" si="184"/>
        <v>7.7009420268480726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-2.8421709430404007E-13</v>
      </c>
      <c r="O201" s="13">
        <f>N201*VLOOKUP('Données projet'!$B$9,Paramètres!$A$1:$I$89,3,0)*VLOOKUP('Données projet'!$B$9,Paramètres!$A$1:$I$89,5,0)</f>
        <v>-2.5715962692629546E-13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436.03161778768742</v>
      </c>
      <c r="T201" s="59">
        <f t="shared" si="204"/>
        <v>217.65884352525285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93.531579470593172</v>
      </c>
      <c r="AA201" s="21">
        <f>EXP(-LN(2)/25)*AA200+(1-EXP(-LN(2)/25))/(LN(2)/25)*Calculateur!V201*Calculateur!X201*VLOOKUP('Données projet'!$B$9,Paramètres!$A$1:$I$89,3,0)*0.475*44/12</f>
        <v>11.801877124484596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105.33345659507776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-2.8421709430404007E-13</v>
      </c>
      <c r="AJ201" s="13">
        <f>AI201*VLOOKUP('Données projet'!$B$10,Paramètres!$A$1:$I$89,3,0)*VLOOKUP('Données projet'!$B$10,Paramètres!$A$1:$I$89,5,0)</f>
        <v>-2.8819613362429665E-13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483.45320081988984</v>
      </c>
      <c r="AO201" s="59">
        <f t="shared" si="205"/>
        <v>238.92443174298893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104.81987354463031</v>
      </c>
      <c r="AV201" s="21">
        <f>EXP(-LN(2)/25)*AV200+(1-EXP(-LN(2)/25))/(LN(2)/25)*Calculateur!AQ201*Calculateur!AS201*VLOOKUP('Données projet'!$B$10,Paramètres!$A$1:$I$89,3,0)*0.475*44/12</f>
        <v>13.226241605025841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118.04611514965615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1.7053025658242404E-13</v>
      </c>
      <c r="BE201" s="13">
        <f>BD201*VLOOKUP('Données projet'!$B$11,Paramètres!$A$1:$I$89,3,0)*VLOOKUP('Données projet'!$B$11,Paramètres!$A$1:$I$89,5,0)</f>
        <v>1.4897523215040567E-13</v>
      </c>
      <c r="BF201" s="13">
        <f t="shared" si="167"/>
        <v>2.136562777003313E-12</v>
      </c>
      <c r="BG201" s="20">
        <f t="shared" si="168"/>
        <v>3.9806453659427267E-12</v>
      </c>
      <c r="BH201" s="59">
        <f t="shared" si="194"/>
        <v>293.33333333333729</v>
      </c>
      <c r="BI201" s="59">
        <f ca="1">AVERAGE(OFFSET($BH$3,0,0,'Données projet'!$E$11+1,1))-AVERAGE(OFFSET($H$3,0,0,'Données projet'!$E$11+1,1))</f>
        <v>310.44153296396854</v>
      </c>
      <c r="BJ201" s="59">
        <f t="shared" si="206"/>
        <v>388.05195847800502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6.4494845295676013</v>
      </c>
      <c r="BQ201" s="21">
        <f>EXP(-LN(2)/25)*BQ200+(1-EXP(-LN(2)/25))/(LN(2)/25)*Calculateur!BL201*Calculateur!BN201*VLOOKUP('Données projet'!$B$11,Paramètres!$A$1:$I$89,3,0)*0.475*44/12</f>
        <v>0.15253676542847056</v>
      </c>
      <c r="BR201" s="21">
        <f>EXP(-LN(2)/2)*BR200+(1-EXP(-LN(2)/2))/(LN(2)/2)*BL201*BO201*VLOOKUP('Données projet'!$B$11,Paramètres!$A$1:$I$89,3,0)*0.475*44/12</f>
        <v>2.232947386353322E-18</v>
      </c>
      <c r="BS201" s="22">
        <f t="shared" si="169"/>
        <v>6.6020212949960717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-2.2737367544323206E-13</v>
      </c>
      <c r="BZ201" s="13">
        <f>BY201*VLOOKUP('Données projet'!$B$12,Paramètres!$A$1:$I$89,3,0)*VLOOKUP('Données projet'!$B$12,Paramètres!$A$1:$I$89,5,0)</f>
        <v>-1.2710188457276673E-13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443.34220761968419</v>
      </c>
      <c r="CE201" s="59">
        <f t="shared" si="207"/>
        <v>546.58234447298014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16.544109579853171</v>
      </c>
      <c r="CL201" s="21">
        <f>EXP(-LN(2)/25)*CL200+(1-EXP(-LN(2)/25))/(LN(2)/25)*Calculateur!CG201*Calculateur!CI201*VLOOKUP('Données projet'!$B$12,Paramètres!$A$1:$I$89,3,0)*0.475*44/12</f>
        <v>1.3214070260740025</v>
      </c>
      <c r="CM201" s="21">
        <f>EXP(-LN(2)/2)*CM200+(1-EXP(-LN(2)/2))/(LN(2)/2)*CG201*CJ201*VLOOKUP('Données projet'!$B$12,Paramètres!$A$1:$I$89,3,0)*0.475*44/12</f>
        <v>7.3164012722523971E-20</v>
      </c>
      <c r="CN201" s="22">
        <f t="shared" si="172"/>
        <v>17.865516605927173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>
        <f>CT201*VLOOKUP('Données projet'!$B$13,Paramètres!$A$1:$I$89,3,0)*VLOOKUP('Données projet'!$B$13,Paramètres!$A$1:$I$89,5,0)</f>
        <v>0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214.22606988805535</v>
      </c>
      <c r="CZ201" s="59">
        <f t="shared" si="208"/>
        <v>305.78163836959078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9.2827714093418159</v>
      </c>
      <c r="DG201" s="21">
        <f>EXP(-LN(2)/25)*DG200+(1-EXP(-LN(2)/25))/(LN(2)/25)*Calculateur!DB201*Calculateur!DD201*VLOOKUP('Données projet'!$B$13,Paramètres!$A$1:$I$89,3,0)*0.475*44/12</f>
        <v>0.77443390237101828</v>
      </c>
      <c r="DH201" s="21">
        <f>EXP(-LN(2)/2)*DH200+(1-EXP(-LN(2)/2))/(LN(2)/2)*DB201*DE201*VLOOKUP('Données projet'!$B$13,Paramètres!$A$1:$I$89,3,0)*0.475*44/12</f>
        <v>3.1976265240364452E-20</v>
      </c>
      <c r="DI201" s="22">
        <f t="shared" si="175"/>
        <v>10.057205311712835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-1.7053025658242404E-13</v>
      </c>
      <c r="DP201" s="17">
        <f>DO201*VLOOKUP('Données projet'!$B$14,Paramètres!$A$1:$I$89,3,0)*VLOOKUP('Données projet'!$B$14,Paramètres!$A$1:$I$89,5,0)</f>
        <v>-1.383341441396624E-13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304.26232113495314</v>
      </c>
      <c r="DU201" s="59">
        <f t="shared" si="209"/>
        <v>297.47246687305056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10.185130658286379</v>
      </c>
      <c r="EB201" s="21">
        <f>EXP(-LN(2)/25)*EB200+(1-EXP(-LN(2)/25))/(LN(2)/25)*Calculateur!DW201*Calculateur!DY201*VLOOKUP('Données projet'!$B$14,Paramètres!$A$1:$I$89,3,0)*0.475*44/12</f>
        <v>0.1096973127733219</v>
      </c>
      <c r="EC201" s="21">
        <f>EXP(-LN(2)/2)*EC200+(1-EXP(-LN(2)/2))/(LN(2)/2)*DW201*DZ201*VLOOKUP('Données projet'!$B$14,Paramètres!$A$1:$I$89,3,0)*0.475*44/12</f>
        <v>7.3602685300335987E-17</v>
      </c>
      <c r="ED201" s="22">
        <f t="shared" si="178"/>
        <v>10.294827971059702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-1.7053025658242404E-13</v>
      </c>
      <c r="EK201" s="17">
        <f>EJ201*VLOOKUP('Données projet'!$B$15,Paramètres!$A$1:$I$89,3,0)*VLOOKUP('Données projet'!$B$15,Paramètres!$A$1:$I$89,5,0)</f>
        <v>-1.6493686416652052E-13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355.72173590705142</v>
      </c>
      <c r="EP201" s="59">
        <f t="shared" si="210"/>
        <v>346.30980704469363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9.8525247949896357</v>
      </c>
      <c r="EW201" s="21">
        <f>EXP(-LN(2)/25)*EW200+(1-EXP(-LN(2)/25))/(LN(2)/25)*Calculateur!ER201*Calculateur!ET201*VLOOKUP('Données projet'!$B$15,Paramètres!$A$1:$I$89,3,0)*0.475*44/12</f>
        <v>0.1061150347799986</v>
      </c>
      <c r="EX201" s="21">
        <f>EXP(-LN(2)/2)*EX200+(1-EXP(-LN(2)/2))/(LN(2)/2)*ER201*EU201*VLOOKUP('Données projet'!$B$15,Paramètres!$A$1:$I$89,3,0)*0.475*44/12</f>
        <v>8.7757047858092607E-17</v>
      </c>
      <c r="EY201" s="22">
        <f t="shared" si="181"/>
        <v>9.9586398297696341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-1.7053025658242404E-13</v>
      </c>
      <c r="FF201" s="17">
        <f>FE201*VLOOKUP('Données projet'!$B$16,Paramètres!$A$1:$I$89,3,0)*VLOOKUP('Données projet'!$B$16,Paramètres!$A$1:$I$89,5,0)</f>
        <v>-1.250327841262333E-13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278.45534008146865</v>
      </c>
      <c r="FK201" s="59">
        <f t="shared" si="211"/>
        <v>272.97841038165217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7.4688494413631199</v>
      </c>
      <c r="FR201" s="21">
        <f>EXP(-LN(2)/25)*FR200+(1-EXP(-LN(2)/25))/(LN(2)/25)*Calculateur!FM201*Calculateur!FO201*VLOOKUP('Données projet'!$B$16,Paramètres!$A$1:$I$89,3,0)*0.475*44/12</f>
        <v>8.044204249451499E-2</v>
      </c>
      <c r="FS201" s="21">
        <f>EXP(-LN(2)/2)*FS200+(1-EXP(-LN(2)/2))/(LN(2)/2)*FM201*FP201*VLOOKUP('Données projet'!$B$16,Paramètres!$A$1:$I$89,3,0)*0.475*44/12</f>
        <v>6.6525504021457356E-17</v>
      </c>
      <c r="FT201" s="22">
        <f t="shared" si="184"/>
        <v>7.549291483857635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-2.8421709430404007E-13</v>
      </c>
      <c r="O202" s="13">
        <f>N202*VLOOKUP('Données projet'!$B$9,Paramètres!$A$1:$I$89,3,0)*VLOOKUP('Données projet'!$B$9,Paramètres!$A$1:$I$89,5,0)</f>
        <v>-2.5715962692629546E-13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436.03161778768742</v>
      </c>
      <c r="T202" s="59">
        <f t="shared" si="204"/>
        <v>217.65884352525285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91.697482245805233</v>
      </c>
      <c r="AA202" s="21">
        <f>EXP(-LN(2)/25)*AA201+(1-EXP(-LN(2)/25))/(LN(2)/25)*Calculateur!V202*Calculateur!X202*VLOOKUP('Données projet'!$B$9,Paramètres!$A$1:$I$89,3,0)*0.475*44/12</f>
        <v>11.47915417388182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103.17663641968706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-2.8421709430404007E-13</v>
      </c>
      <c r="AJ202" s="13">
        <f>AI202*VLOOKUP('Données projet'!$B$10,Paramètres!$A$1:$I$89,3,0)*VLOOKUP('Données projet'!$B$10,Paramètres!$A$1:$I$89,5,0)</f>
        <v>-2.8819613362429665E-13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483.45320081988984</v>
      </c>
      <c r="AO202" s="59">
        <f t="shared" si="205"/>
        <v>238.92443174298893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102.76441975823003</v>
      </c>
      <c r="AV202" s="21">
        <f>EXP(-LN(2)/25)*AV201+(1-EXP(-LN(2)/25))/(LN(2)/25)*Calculateur!AQ202*Calculateur!AS202*VLOOKUP('Données projet'!$B$10,Paramètres!$A$1:$I$89,3,0)*0.475*44/12</f>
        <v>12.864569332798592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115.62898909102863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1.7053025658242404E-13</v>
      </c>
      <c r="BE202" s="13">
        <f>BD202*VLOOKUP('Données projet'!$B$11,Paramètres!$A$1:$I$89,3,0)*VLOOKUP('Données projet'!$B$11,Paramètres!$A$1:$I$89,5,0)</f>
        <v>1.4897523215040567E-13</v>
      </c>
      <c r="BF202" s="13">
        <f t="shared" si="167"/>
        <v>2.136562777003313E-12</v>
      </c>
      <c r="BG202" s="20">
        <f t="shared" si="168"/>
        <v>3.9806453659427267E-12</v>
      </c>
      <c r="BH202" s="59">
        <f t="shared" si="194"/>
        <v>293.33333333333729</v>
      </c>
      <c r="BI202" s="59">
        <f ca="1">AVERAGE(OFFSET($BH$3,0,0,'Données projet'!$E$11+1,1))-AVERAGE(OFFSET($H$3,0,0,'Données projet'!$E$11+1,1))</f>
        <v>310.44153296396854</v>
      </c>
      <c r="BJ202" s="59">
        <f t="shared" si="206"/>
        <v>388.05195847800502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6.3230140717399133</v>
      </c>
      <c r="BQ202" s="21">
        <f>EXP(-LN(2)/25)*BQ201+(1-EXP(-LN(2)/25))/(LN(2)/25)*Calculateur!BL202*Calculateur!BN202*VLOOKUP('Données projet'!$B$11,Paramètres!$A$1:$I$89,3,0)*0.475*44/12</f>
        <v>0.14836563955626916</v>
      </c>
      <c r="BR202" s="21">
        <f>EXP(-LN(2)/2)*BR201+(1-EXP(-LN(2)/2))/(LN(2)/2)*BL202*BO202*VLOOKUP('Données projet'!$B$11,Paramètres!$A$1:$I$89,3,0)*0.475*44/12</f>
        <v>1.5789322389232117E-18</v>
      </c>
      <c r="BS202" s="22">
        <f t="shared" si="169"/>
        <v>6.4713797112961826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-2.2737367544323206E-13</v>
      </c>
      <c r="BZ202" s="13">
        <f>BY202*VLOOKUP('Données projet'!$B$12,Paramètres!$A$1:$I$89,3,0)*VLOOKUP('Données projet'!$B$12,Paramètres!$A$1:$I$89,5,0)</f>
        <v>-1.2710188457276673E-13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443.34220761968419</v>
      </c>
      <c r="CE202" s="59">
        <f t="shared" si="207"/>
        <v>546.58234447298014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16.2196896819027</v>
      </c>
      <c r="CL202" s="21">
        <f>EXP(-LN(2)/25)*CL201+(1-EXP(-LN(2)/25))/(LN(2)/25)*Calculateur!CG202*Calculateur!CI202*VLOOKUP('Données projet'!$B$12,Paramètres!$A$1:$I$89,3,0)*0.475*44/12</f>
        <v>1.2852730814562334</v>
      </c>
      <c r="CM202" s="21">
        <f>EXP(-LN(2)/2)*CM201+(1-EXP(-LN(2)/2))/(LN(2)/2)*CG202*CJ202*VLOOKUP('Données projet'!$B$12,Paramètres!$A$1:$I$89,3,0)*0.475*44/12</f>
        <v>5.1734769534915537E-20</v>
      </c>
      <c r="CN202" s="22">
        <f t="shared" si="172"/>
        <v>17.504962763358932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>
        <f>CT202*VLOOKUP('Données projet'!$B$13,Paramètres!$A$1:$I$89,3,0)*VLOOKUP('Données projet'!$B$13,Paramètres!$A$1:$I$89,5,0)</f>
        <v>0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214.22606988805535</v>
      </c>
      <c r="CZ202" s="59">
        <f t="shared" si="208"/>
        <v>305.78163836959078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9.1007419239361127</v>
      </c>
      <c r="DG202" s="21">
        <f>EXP(-LN(2)/25)*DG201+(1-EXP(-LN(2)/25))/(LN(2)/25)*Calculateur!DB202*Calculateur!DD202*VLOOKUP('Données projet'!$B$13,Paramètres!$A$1:$I$89,3,0)*0.475*44/12</f>
        <v>0.75325696658497387</v>
      </c>
      <c r="DH202" s="21">
        <f>EXP(-LN(2)/2)*DH201+(1-EXP(-LN(2)/2))/(LN(2)/2)*DB202*DE202*VLOOKUP('Données projet'!$B$13,Paramètres!$A$1:$I$89,3,0)*0.475*44/12</f>
        <v>2.2610633988481393E-20</v>
      </c>
      <c r="DI202" s="22">
        <f t="shared" si="175"/>
        <v>9.8539988905210869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-1.7053025658242404E-13</v>
      </c>
      <c r="DP202" s="17">
        <f>DO202*VLOOKUP('Données projet'!$B$14,Paramètres!$A$1:$I$89,3,0)*VLOOKUP('Données projet'!$B$14,Paramètres!$A$1:$I$89,5,0)</f>
        <v>-1.383341441396624E-13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304.26232113495314</v>
      </c>
      <c r="DU202" s="59">
        <f t="shared" si="209"/>
        <v>297.47246687305056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9.985406458393669</v>
      </c>
      <c r="EB202" s="21">
        <f>EXP(-LN(2)/25)*EB201+(1-EXP(-LN(2)/25))/(LN(2)/25)*Calculateur!DW202*Calculateur!DY202*VLOOKUP('Données projet'!$B$14,Paramètres!$A$1:$I$89,3,0)*0.475*44/12</f>
        <v>0.10669763398680444</v>
      </c>
      <c r="EC202" s="21">
        <f>EXP(-LN(2)/2)*EC201+(1-EXP(-LN(2)/2))/(LN(2)/2)*DW202*DZ202*VLOOKUP('Données projet'!$B$14,Paramètres!$A$1:$I$89,3,0)*0.475*44/12</f>
        <v>5.2044957889406997E-17</v>
      </c>
      <c r="ED202" s="22">
        <f t="shared" si="178"/>
        <v>10.092104092380474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-1.7053025658242404E-13</v>
      </c>
      <c r="EK202" s="17">
        <f>EJ202*VLOOKUP('Données projet'!$B$15,Paramètres!$A$1:$I$89,3,0)*VLOOKUP('Données projet'!$B$15,Paramètres!$A$1:$I$89,5,0)</f>
        <v>-1.6493686416652052E-13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355.72173590705142</v>
      </c>
      <c r="EP202" s="59">
        <f t="shared" si="210"/>
        <v>346.30980704469363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9.6593227932066306</v>
      </c>
      <c r="EW202" s="21">
        <f>EXP(-LN(2)/25)*EW201+(1-EXP(-LN(2)/25))/(LN(2)/25)*Calculateur!ER202*Calculateur!ET202*VLOOKUP('Données projet'!$B$15,Paramètres!$A$1:$I$89,3,0)*0.475*44/12</f>
        <v>0.1032133135735924</v>
      </c>
      <c r="EX202" s="21">
        <f>EXP(-LN(2)/2)*EX201+(1-EXP(-LN(2)/2))/(LN(2)/2)*ER202*EU202*VLOOKUP('Données projet'!$B$15,Paramètres!$A$1:$I$89,3,0)*0.475*44/12</f>
        <v>6.2053603637369666E-17</v>
      </c>
      <c r="EY202" s="22">
        <f t="shared" si="181"/>
        <v>9.7625361067802228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-1.7053025658242404E-13</v>
      </c>
      <c r="FF202" s="17">
        <f>FE202*VLOOKUP('Données projet'!$B$16,Paramètres!$A$1:$I$89,3,0)*VLOOKUP('Données projet'!$B$16,Paramètres!$A$1:$I$89,5,0)</f>
        <v>-1.250327841262333E-13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278.45534008146865</v>
      </c>
      <c r="FK202" s="59">
        <f t="shared" si="211"/>
        <v>272.97841038165217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7.322389859366325</v>
      </c>
      <c r="FR202" s="21">
        <f>EXP(-LN(2)/25)*FR201+(1-EXP(-LN(2)/25))/(LN(2)/25)*Calculateur!FM202*Calculateur!FO202*VLOOKUP('Données projet'!$B$16,Paramètres!$A$1:$I$89,3,0)*0.475*44/12</f>
        <v>7.8242350612239317E-2</v>
      </c>
      <c r="FS202" s="21">
        <f>EXP(-LN(2)/2)*FS201+(1-EXP(-LN(2)/2))/(LN(2)/2)*FM202*FP202*VLOOKUP('Données projet'!$B$16,Paramètres!$A$1:$I$89,3,0)*0.475*44/12</f>
        <v>4.7040635015425434E-17</v>
      </c>
      <c r="FT202" s="22">
        <f t="shared" si="184"/>
        <v>7.4006322099785642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-2.8421709430404007E-13</v>
      </c>
      <c r="O203" s="13">
        <f>N203*VLOOKUP('Données projet'!$B$9,Paramètres!$A$1:$I$89,3,0)*VLOOKUP('Données projet'!$B$9,Paramètres!$A$1:$I$89,5,0)</f>
        <v>-2.5715962692629546E-13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436.03161778768742</v>
      </c>
      <c r="T203" s="59">
        <f t="shared" si="204"/>
        <v>217.65884352525285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89.89935054890654</v>
      </c>
      <c r="AA203" s="21">
        <f>EXP(-LN(2)/25)*AA202+(1-EXP(-LN(2)/25))/(LN(2)/25)*Calculateur!V203*Calculateur!X203*VLOOKUP('Données projet'!$B$9,Paramètres!$A$1:$I$89,3,0)*0.475*44/12</f>
        <v>11.16525609933454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101.06460664824108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-2.8421709430404007E-13</v>
      </c>
      <c r="AJ203" s="13">
        <f>AI203*VLOOKUP('Données projet'!$B$10,Paramètres!$A$1:$I$89,3,0)*VLOOKUP('Données projet'!$B$10,Paramètres!$A$1:$I$89,5,0)</f>
        <v>-2.8819613362429665E-13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483.45320081988984</v>
      </c>
      <c r="AO203" s="59">
        <f t="shared" si="205"/>
        <v>238.92443174298893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100.74927216687804</v>
      </c>
      <c r="AV203" s="21">
        <f>EXP(-LN(2)/25)*AV202+(1-EXP(-LN(2)/25))/(LN(2)/25)*Calculateur!AQ203*Calculateur!AS203*VLOOKUP('Données projet'!$B$10,Paramètres!$A$1:$I$89,3,0)*0.475*44/12</f>
        <v>12.512787007874916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113.26205917475296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1.7053025658242404E-13</v>
      </c>
      <c r="BE203" s="13">
        <f>BD203*VLOOKUP('Données projet'!$B$11,Paramètres!$A$1:$I$89,3,0)*VLOOKUP('Données projet'!$B$11,Paramètres!$A$1:$I$89,5,0)</f>
        <v>1.4897523215040567E-13</v>
      </c>
      <c r="BF203" s="13">
        <f t="shared" si="167"/>
        <v>2.136562777003313E-12</v>
      </c>
      <c r="BG203" s="20">
        <f t="shared" si="168"/>
        <v>3.9806453659427267E-12</v>
      </c>
      <c r="BH203" s="59">
        <f t="shared" si="194"/>
        <v>293.33333333333729</v>
      </c>
      <c r="BI203" s="59">
        <f ca="1">AVERAGE(OFFSET($BH$3,0,0,'Données projet'!$E$11+1,1))-AVERAGE(OFFSET($H$3,0,0,'Données projet'!$E$11+1,1))</f>
        <v>310.44153296396854</v>
      </c>
      <c r="BJ203" s="59">
        <f t="shared" si="206"/>
        <v>388.05195847800502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6.1990236224508637</v>
      </c>
      <c r="BQ203" s="21">
        <f>EXP(-LN(2)/25)*BQ202+(1-EXP(-LN(2)/25))/(LN(2)/25)*Calculateur!BL203*Calculateur!BN203*VLOOKUP('Données projet'!$B$11,Paramètres!$A$1:$I$89,3,0)*0.475*44/12</f>
        <v>0.1443085733403931</v>
      </c>
      <c r="BR203" s="21">
        <f>EXP(-LN(2)/2)*BR202+(1-EXP(-LN(2)/2))/(LN(2)/2)*BL203*BO203*VLOOKUP('Données projet'!$B$11,Paramètres!$A$1:$I$89,3,0)*0.475*44/12</f>
        <v>1.116473693176661E-18</v>
      </c>
      <c r="BS203" s="22">
        <f t="shared" si="169"/>
        <v>6.3433321957912572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-2.2737367544323206E-13</v>
      </c>
      <c r="BZ203" s="13">
        <f>BY203*VLOOKUP('Données projet'!$B$12,Paramètres!$A$1:$I$89,3,0)*VLOOKUP('Données projet'!$B$12,Paramètres!$A$1:$I$89,5,0)</f>
        <v>-1.2710188457276673E-13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443.34220761968419</v>
      </c>
      <c r="CE203" s="59">
        <f t="shared" si="207"/>
        <v>546.58234447298014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15.901631460274439</v>
      </c>
      <c r="CL203" s="21">
        <f>EXP(-LN(2)/25)*CL202+(1-EXP(-LN(2)/25))/(LN(2)/25)*Calculateur!CG203*Calculateur!CI203*VLOOKUP('Données projet'!$B$12,Paramètres!$A$1:$I$89,3,0)*0.475*44/12</f>
        <v>1.2501272214542389</v>
      </c>
      <c r="CM203" s="21">
        <f>EXP(-LN(2)/2)*CM202+(1-EXP(-LN(2)/2))/(LN(2)/2)*CG203*CJ203*VLOOKUP('Données projet'!$B$12,Paramètres!$A$1:$I$89,3,0)*0.475*44/12</f>
        <v>3.6582006361261985E-20</v>
      </c>
      <c r="CN203" s="22">
        <f t="shared" si="172"/>
        <v>17.15175868172868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>
        <f>CT203*VLOOKUP('Données projet'!$B$13,Paramètres!$A$1:$I$89,3,0)*VLOOKUP('Données projet'!$B$13,Paramètres!$A$1:$I$89,5,0)</f>
        <v>0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214.22606988805535</v>
      </c>
      <c r="CZ203" s="59">
        <f t="shared" si="208"/>
        <v>305.78163836959078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8.922281925712193</v>
      </c>
      <c r="DG203" s="21">
        <f>EXP(-LN(2)/25)*DG202+(1-EXP(-LN(2)/25))/(LN(2)/25)*Calculateur!DB203*Calculateur!DD203*VLOOKUP('Données projet'!$B$13,Paramètres!$A$1:$I$89,3,0)*0.475*44/12</f>
        <v>0.73265911522164551</v>
      </c>
      <c r="DH203" s="21">
        <f>EXP(-LN(2)/2)*DH202+(1-EXP(-LN(2)/2))/(LN(2)/2)*DB203*DE203*VLOOKUP('Données projet'!$B$13,Paramètres!$A$1:$I$89,3,0)*0.475*44/12</f>
        <v>1.5988132620182226E-20</v>
      </c>
      <c r="DI203" s="22">
        <f t="shared" si="175"/>
        <v>9.6549410409338385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-1.7053025658242404E-13</v>
      </c>
      <c r="DP203" s="17">
        <f>DO203*VLOOKUP('Données projet'!$B$14,Paramètres!$A$1:$I$89,3,0)*VLOOKUP('Données projet'!$B$14,Paramètres!$A$1:$I$89,5,0)</f>
        <v>-1.383341441396624E-13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304.26232113495314</v>
      </c>
      <c r="DU203" s="59">
        <f t="shared" si="209"/>
        <v>297.47246687305056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9.7895987282411223</v>
      </c>
      <c r="EB203" s="21">
        <f>EXP(-LN(2)/25)*EB202+(1-EXP(-LN(2)/25))/(LN(2)/25)*Calculateur!DW203*Calculateur!DY203*VLOOKUP('Données projet'!$B$14,Paramètres!$A$1:$I$89,3,0)*0.475*44/12</f>
        <v>0.10377998157445056</v>
      </c>
      <c r="EC203" s="21">
        <f>EXP(-LN(2)/2)*EC202+(1-EXP(-LN(2)/2))/(LN(2)/2)*DW203*DZ203*VLOOKUP('Données projet'!$B$14,Paramètres!$A$1:$I$89,3,0)*0.475*44/12</f>
        <v>3.6801342650167993E-17</v>
      </c>
      <c r="ED203" s="22">
        <f t="shared" si="178"/>
        <v>9.8933787098155737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-1.7053025658242404E-13</v>
      </c>
      <c r="EK203" s="17">
        <f>EJ203*VLOOKUP('Données projet'!$B$15,Paramètres!$A$1:$I$89,3,0)*VLOOKUP('Données projet'!$B$15,Paramètres!$A$1:$I$89,5,0)</f>
        <v>-1.6493686416652052E-13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355.72173590705142</v>
      </c>
      <c r="EP203" s="59">
        <f t="shared" si="210"/>
        <v>346.30980704469363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9.4699093648370045</v>
      </c>
      <c r="EW203" s="21">
        <f>EXP(-LN(2)/25)*EW202+(1-EXP(-LN(2)/25))/(LN(2)/25)*Calculateur!ER203*Calculateur!ET203*VLOOKUP('Données projet'!$B$15,Paramètres!$A$1:$I$89,3,0)*0.475*44/12</f>
        <v>0.10039094008617025</v>
      </c>
      <c r="EX203" s="21">
        <f>EXP(-LN(2)/2)*EX202+(1-EXP(-LN(2)/2))/(LN(2)/2)*ER203*EU203*VLOOKUP('Données projet'!$B$15,Paramètres!$A$1:$I$89,3,0)*0.475*44/12</f>
        <v>4.3878523929046304E-17</v>
      </c>
      <c r="EY203" s="22">
        <f t="shared" si="181"/>
        <v>9.5703003049231743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-1.7053025658242404E-13</v>
      </c>
      <c r="FF203" s="17">
        <f>FE203*VLOOKUP('Données projet'!$B$16,Paramètres!$A$1:$I$89,3,0)*VLOOKUP('Données projet'!$B$16,Paramètres!$A$1:$I$89,5,0)</f>
        <v>-1.250327841262333E-13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278.45534008146865</v>
      </c>
      <c r="FK203" s="59">
        <f t="shared" si="211"/>
        <v>272.97841038165217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7.1788022604409631</v>
      </c>
      <c r="FR203" s="21">
        <f>EXP(-LN(2)/25)*FR202+(1-EXP(-LN(2)/25))/(LN(2)/25)*Calculateur!FM203*Calculateur!FO203*VLOOKUP('Données projet'!$B$16,Paramètres!$A$1:$I$89,3,0)*0.475*44/12</f>
        <v>7.6102809420161233E-2</v>
      </c>
      <c r="FS203" s="21">
        <f>EXP(-LN(2)/2)*FS202+(1-EXP(-LN(2)/2))/(LN(2)/2)*FM203*FP203*VLOOKUP('Données projet'!$B$16,Paramètres!$A$1:$I$89,3,0)*0.475*44/12</f>
        <v>3.3262752010728678E-17</v>
      </c>
      <c r="FT203" s="22">
        <f t="shared" si="184"/>
        <v>7.2549050698611239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1.1220412478485406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1.1220412478485406</v>
      </c>
      <c r="BA205" s="82">
        <f>EXP(LN('Données projet'!B88)/'Données projet'!A88)</f>
        <v>1.278898353844806</v>
      </c>
      <c r="BV205" s="82">
        <f>EXP(LN('Données projet'!B114)/'Données projet'!A114)</f>
        <v>1.3070441688874561</v>
      </c>
      <c r="CQ205" s="82">
        <f>EXP(LN('Données projet'!B140)/'Données projet'!A140)</f>
        <v>1.2997069632623315</v>
      </c>
      <c r="DL205" s="82">
        <f>EXP(LN('Données projet'!B166)/'Données projet'!A166)</f>
        <v>1.2721747796233518</v>
      </c>
      <c r="EG205" s="82">
        <f>EXP(LN('Données projet'!B192)/'Données projet'!A192)</f>
        <v>1.2721747796233518</v>
      </c>
      <c r="FB205" s="82">
        <f>EXP(LN('Données projet'!B218)/'Données projet'!A218)</f>
        <v>1.2721747796233518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2" zoomScale="90" zoomScaleNormal="90" workbookViewId="0">
      <selection activeCell="I13" sqref="I13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Chêne sessile</v>
      </c>
      <c r="B6" s="146">
        <f>'Données projet'!D9</f>
        <v>0.86640000000000006</v>
      </c>
      <c r="C6" s="147">
        <f ca="1">IF(OR('Données projet'!B9="",'Données projet'!C9="",'Données projet'!C9=0%),0,Calculateur!S3)</f>
        <v>436.03161778768742</v>
      </c>
      <c r="D6" s="147">
        <f>IF(OR('Données projet'!B9="",'Données projet'!C9="",'Données projet'!C9=0%),0,Calculateur!T3)</f>
        <v>217.65884352525285</v>
      </c>
      <c r="E6" s="147">
        <f ca="1">MIN(C6,D6)</f>
        <v>217.65884352525285</v>
      </c>
      <c r="F6" s="147">
        <f ca="1">E6*B6</f>
        <v>188.57962203027907</v>
      </c>
      <c r="G6" s="147">
        <f ca="1">F6*(100%-'Données projet'!$C$24)*(100%-'Données projet'!$C$25)*(100%-'Données projet'!$C$26)*(100%-'Données projet'!$C$27)</f>
        <v>169.72165982725116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169.72165982725116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Chêne pubescent</v>
      </c>
      <c r="B7" s="154">
        <f>'Données projet'!D10</f>
        <v>0.86640000000000006</v>
      </c>
      <c r="C7" s="147">
        <f ca="1">IF(OR('Données projet'!B10="",'Données projet'!C10="",'Données projet'!C10=0%),0,Calculateur!AN3)</f>
        <v>483.45320081988984</v>
      </c>
      <c r="D7" s="147">
        <f>IF(OR('Données projet'!B10="",'Données projet'!C10="",'Données projet'!C10=0%),0,Calculateur!AO3)</f>
        <v>238.92443174298893</v>
      </c>
      <c r="E7" s="147">
        <f t="shared" ref="E7:E15" ca="1" si="0">MIN(C7,D7)</f>
        <v>238.92443174298893</v>
      </c>
      <c r="F7" s="147">
        <f t="shared" ref="F7:F15" ca="1" si="1">E7*B7</f>
        <v>207.00412766212563</v>
      </c>
      <c r="G7" s="147">
        <f ca="1">F7*(100%-'Données projet'!$C$24)*(100%-'Données projet'!$C$25)*(100%-'Données projet'!$C$26)*(100%-'Données projet'!$C$27)</f>
        <v>186.30371489591306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186.30371489591306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Chêne rouge d'Amérique</v>
      </c>
      <c r="B8" s="154">
        <f>'Données projet'!D11</f>
        <v>1.5162000000000002</v>
      </c>
      <c r="C8" s="147">
        <f ca="1">IF(OR('Données projet'!B11="",'Données projet'!C11="",'Données projet'!C11=0%),0,Calculateur!BI3)</f>
        <v>310.44153296396854</v>
      </c>
      <c r="D8" s="147">
        <f>IF(OR('Données projet'!B11="",'Données projet'!C11="",'Données projet'!C11=0%),0,Calculateur!BJ3)</f>
        <v>388.05195847800502</v>
      </c>
      <c r="E8" s="147">
        <f t="shared" ca="1" si="0"/>
        <v>310.44153296396854</v>
      </c>
      <c r="F8" s="147">
        <f t="shared" ca="1" si="1"/>
        <v>470.69145227996916</v>
      </c>
      <c r="G8" s="147">
        <f ca="1">F8*(100%-'Données projet'!$C$24)*(100%-'Données projet'!$C$25)*(100%-'Données projet'!$C$26)*(100%-'Données projet'!$C$27)</f>
        <v>423.62230705197226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32.977350000000001</v>
      </c>
      <c r="K8" s="151">
        <f>J8*(100%-'Données projet'!$C$24)*(100%-'Données projet'!$C$25)*(100%-'Données projet'!$C$26)*(100%-'Données projet'!$C$27)</f>
        <v>29.679615000000002</v>
      </c>
      <c r="L8" s="152">
        <f t="shared" ca="1" si="2"/>
        <v>453.30192205197227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Douglas</v>
      </c>
      <c r="B9" s="154">
        <f>'Données projet'!D12</f>
        <v>1.9494</v>
      </c>
      <c r="C9" s="147">
        <f ca="1">IF(OR('Données projet'!B12="",'Données projet'!C12="",'Données projet'!C12=0%),0,Calculateur!CD3)</f>
        <v>443.34220761968419</v>
      </c>
      <c r="D9" s="147">
        <f>IF(OR('Données projet'!B12="",'Données projet'!C12="",'Données projet'!C12=0%),0,Calculateur!CE3)</f>
        <v>546.58234447298014</v>
      </c>
      <c r="E9" s="147">
        <f t="shared" ca="1" si="0"/>
        <v>443.34220761968419</v>
      </c>
      <c r="F9" s="147">
        <f t="shared" ca="1" si="1"/>
        <v>864.25129953381236</v>
      </c>
      <c r="G9" s="147">
        <f ca="1">F9*(100%-'Données projet'!$C$24)*(100%-'Données projet'!$C$25)*(100%-'Données projet'!$C$26)*(100%-'Données projet'!$C$27)</f>
        <v>777.82616958043116</v>
      </c>
      <c r="H9" s="155">
        <f>IF(OR('Données projet'!B12="",'Données projet'!C12="",'Données projet'!C12=0%),0,AVERAGE(Calculateur!$CN$3:$CN$33)*B9)</f>
        <v>8.894482679067135</v>
      </c>
      <c r="I9" s="149">
        <f>H9*(100%-'Données projet'!$C$24)*(100%-'Données projet'!$C$25)*(100%-'Données projet'!$C$26)*(100%-'Données projet'!$C$27)</f>
        <v>8.0050344111604215</v>
      </c>
      <c r="J9" s="150">
        <f>IF(OR('Données projet'!B12="",'Données projet'!C12="",'Données projet'!C12=0%),0,SUM(Calculateur!$CG$3:$CG$33)*VLOOKUP('Données projet'!$B$12,Paramètres!$A$1:$I$89,9,0)*B9)</f>
        <v>90.530135999999999</v>
      </c>
      <c r="K9" s="151">
        <f>J9*(100%-'Données projet'!$C$24)*(100%-'Données projet'!$C$25)*(100%-'Données projet'!$C$26)*(100%-'Données projet'!$C$27)</f>
        <v>81.477122399999999</v>
      </c>
      <c r="L9" s="152">
        <f t="shared" ca="1" si="2"/>
        <v>867.30832639159155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Mélèze hybride</v>
      </c>
      <c r="B10" s="154">
        <f>'Données projet'!D13</f>
        <v>1.9494</v>
      </c>
      <c r="C10" s="147">
        <f ca="1">IF(OR('Données projet'!B13="",'Données projet'!C13="",'Données projet'!C13=0%),0,Calculateur!CY3)</f>
        <v>214.22606988805535</v>
      </c>
      <c r="D10" s="147">
        <f>IF(OR('Données projet'!B13="",'Données projet'!C13="",'Données projet'!C13=0%),0,Calculateur!CZ3)</f>
        <v>305.78163836959078</v>
      </c>
      <c r="E10" s="147">
        <f t="shared" ca="1" si="0"/>
        <v>214.22606988805535</v>
      </c>
      <c r="F10" s="147">
        <f t="shared" ca="1" si="1"/>
        <v>417.61230063977513</v>
      </c>
      <c r="G10" s="147">
        <f ca="1">F10*(100%-'Données projet'!$C$24)*(100%-'Données projet'!$C$25)*(100%-'Données projet'!$C$26)*(100%-'Données projet'!$C$27)</f>
        <v>375.85107057579762</v>
      </c>
      <c r="H10" s="155">
        <f>IF(OR('Données projet'!B13="",'Données projet'!C13="",'Données projet'!C13=0%),0,AVERAGE(Calculateur!$DI$3:$DI$33)*B10)</f>
        <v>15.912534312542441</v>
      </c>
      <c r="I10" s="149">
        <f>H10*(100%-'Données projet'!$C$24)*(100%-'Données projet'!$C$25)*(100%-'Données projet'!$C$26)*(100%-'Données projet'!$C$27)</f>
        <v>14.321280881288198</v>
      </c>
      <c r="J10" s="150">
        <f>IF(OR('Données projet'!B13="",'Données projet'!C13="",'Données projet'!C13=0%),0,SUM(Calculateur!$DB$3:$DB$33)*VLOOKUP('Données projet'!$B$13,Paramètres!$A$1:$I$89,9,0)*B10)</f>
        <v>107.29497600000001</v>
      </c>
      <c r="K10" s="151">
        <f>J10*(100%-'Données projet'!$C$24)*(100%-'Données projet'!$C$25)*(100%-'Données projet'!$C$26)*(100%-'Données projet'!$C$27)</f>
        <v>96.565478400000003</v>
      </c>
      <c r="L10" s="152">
        <f t="shared" ca="1" si="2"/>
        <v>486.73782985708584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Noyer</v>
      </c>
      <c r="B11" s="154">
        <f>'Données projet'!D14</f>
        <v>1.9494</v>
      </c>
      <c r="C11" s="147">
        <f ca="1">IF(OR('Données projet'!B14="",'Données projet'!C14="",'Données projet'!C14=0%),0,Calculateur!DT3)</f>
        <v>304.26232113495314</v>
      </c>
      <c r="D11" s="147">
        <f>IF(OR('Données projet'!B14="",'Données projet'!C14="",'Données projet'!C14=0%),0,Calculateur!DU3)</f>
        <v>297.47246687305056</v>
      </c>
      <c r="E11" s="147">
        <f t="shared" ca="1" si="0"/>
        <v>297.47246687305056</v>
      </c>
      <c r="F11" s="147">
        <f t="shared" ca="1" si="1"/>
        <v>579.89282692232473</v>
      </c>
      <c r="G11" s="147">
        <f ca="1">F11*(100%-'Données projet'!$C$24)*(100%-'Données projet'!$C$25)*(100%-'Données projet'!$C$26)*(100%-'Données projet'!$C$27)</f>
        <v>521.90354423009228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48.24765</v>
      </c>
      <c r="K11" s="151">
        <f>J11*(100%-'Données projet'!$C$24)*(100%-'Données projet'!$C$25)*(100%-'Données projet'!$C$26)*(100%-'Données projet'!$C$27)</f>
        <v>43.422885000000001</v>
      </c>
      <c r="L11" s="152">
        <f t="shared" ca="1" si="2"/>
        <v>565.32642923009223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>Alisier torminal</v>
      </c>
      <c r="B12" s="154">
        <f>'Données projet'!D15</f>
        <v>0.21660000000000001</v>
      </c>
      <c r="C12" s="147">
        <f ca="1">IF(OR('Données projet'!B15="",'Données projet'!C15="",'Données projet'!C15=0%),0,Calculateur!EO3)</f>
        <v>355.72173590705142</v>
      </c>
      <c r="D12" s="147">
        <f>IF(OR('Données projet'!B15="",'Données projet'!C15="",'Données projet'!C15=0%),0,Calculateur!EP3)</f>
        <v>346.30980704469363</v>
      </c>
      <c r="E12" s="147">
        <f t="shared" ca="1" si="0"/>
        <v>346.30980704469363</v>
      </c>
      <c r="F12" s="147">
        <f t="shared" ca="1" si="1"/>
        <v>75.010704205880643</v>
      </c>
      <c r="G12" s="147">
        <f ca="1">F12*(100%-'Données projet'!$C$24)*(100%-'Données projet'!$C$25)*(100%-'Données projet'!$C$26)*(100%-'Données projet'!$C$27)</f>
        <v>67.509633785292579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5.3608500000000001</v>
      </c>
      <c r="K12" s="151">
        <f>J12*(100%-'Données projet'!$C$24)*(100%-'Données projet'!$C$25)*(100%-'Données projet'!$C$26)*(100%-'Données projet'!$C$27)</f>
        <v>4.8247650000000002</v>
      </c>
      <c r="L12" s="152">
        <f t="shared" ca="1" si="2"/>
        <v>72.334398785292578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>Châtaignier</v>
      </c>
      <c r="B13" s="154">
        <f>'Données projet'!D16</f>
        <v>1.5162000000000002</v>
      </c>
      <c r="C13" s="147">
        <f ca="1">IF(OR('Données projet'!B16="",'Données projet'!C16="",'Données projet'!C16=0%),0,Calculateur!FJ3)</f>
        <v>278.45534008146865</v>
      </c>
      <c r="D13" s="147">
        <f>IF(OR('Données projet'!B16="",'Données projet'!C16="",'Données projet'!C16=0%),0,Calculateur!FK3)</f>
        <v>272.97841038165217</v>
      </c>
      <c r="E13" s="147">
        <f t="shared" ca="1" si="0"/>
        <v>272.97841038165217</v>
      </c>
      <c r="F13" s="147">
        <f t="shared" ca="1" si="1"/>
        <v>413.8898658206611</v>
      </c>
      <c r="G13" s="147">
        <f ca="1">F13*(100%-'Données projet'!$C$24)*(100%-'Données projet'!$C$25)*(100%-'Données projet'!$C$26)*(100%-'Données projet'!$C$27)</f>
        <v>372.50087923859502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37.525950000000009</v>
      </c>
      <c r="K13" s="151">
        <f>J13*(100%-'Données projet'!$C$24)*(100%-'Données projet'!$C$25)*(100%-'Données projet'!$C$26)*(100%-'Données projet'!$C$27)</f>
        <v>33.773355000000009</v>
      </c>
      <c r="L13" s="152">
        <f t="shared" ca="1" si="2"/>
        <v>406.274234238595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3216.9321990948283</v>
      </c>
      <c r="G16" s="166">
        <f t="shared" ca="1" si="3"/>
        <v>2895.2389791853452</v>
      </c>
      <c r="H16" s="167">
        <f t="shared" si="3"/>
        <v>24.807016991609576</v>
      </c>
      <c r="I16" s="167">
        <f t="shared" si="3"/>
        <v>22.326315292448619</v>
      </c>
      <c r="J16" s="168">
        <f t="shared" si="3"/>
        <v>321.93691200000006</v>
      </c>
      <c r="K16" s="168">
        <f t="shared" si="3"/>
        <v>289.74322080000002</v>
      </c>
      <c r="L16" s="169">
        <f t="shared" ca="1" si="3"/>
        <v>3207.308515277794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Chêne rouge d'Amérique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Douglas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Mélèze hybride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Noyer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>Alisier torminal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>Châtaignier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H6" zoomScale="80" zoomScaleNormal="80" workbookViewId="0">
      <selection activeCell="L26" sqref="L26:P2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274.496126517253</v>
      </c>
      <c r="U10" s="178">
        <f>'Données projet'!D9</f>
        <v>0.86640000000000006</v>
      </c>
      <c r="V10" s="177">
        <f>U10*T10</f>
        <v>237.82344401454802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pubescent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239.62258677807259</v>
      </c>
      <c r="U11" s="178">
        <f>'Données projet'!D10</f>
        <v>0.86640000000000006</v>
      </c>
      <c r="V11" s="177">
        <f t="shared" ref="V11" si="0">U11*T11</f>
        <v>207.60900918452211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rouge d'Amérique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1057.5563578778106</v>
      </c>
      <c r="U12" s="178">
        <f>'Données projet'!D11</f>
        <v>1.5162000000000002</v>
      </c>
      <c r="V12" s="177">
        <f t="shared" ref="V12:V19" si="1">U12*T12</f>
        <v>1603.4669498143367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Douglas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3017.8895874779209</v>
      </c>
      <c r="U13" s="178">
        <f>'Données projet'!D12</f>
        <v>1.9494</v>
      </c>
      <c r="V13" s="177">
        <f t="shared" si="1"/>
        <v>5883.0739618294592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Mélèze hybride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2181.7192392729612</v>
      </c>
      <c r="U14" s="178">
        <f>'Données projet'!D13</f>
        <v>1.9494</v>
      </c>
      <c r="V14" s="177">
        <f t="shared" si="1"/>
        <v>4253.043485038711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Noyer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961.57171718421728</v>
      </c>
      <c r="U15" s="178">
        <f>'Données projet'!D14</f>
        <v>1.9494</v>
      </c>
      <c r="V15" s="177">
        <f t="shared" si="1"/>
        <v>1874.4879054789133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>Alisier torminal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961.57171718421728</v>
      </c>
      <c r="U16" s="178">
        <f>'Données projet'!D15</f>
        <v>0.21660000000000001</v>
      </c>
      <c r="V16" s="177">
        <f t="shared" si="1"/>
        <v>208.27643394210148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>Châtaignier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961.57171718421728</v>
      </c>
      <c r="U17" s="178">
        <f>'Données projet'!D16</f>
        <v>1.5162000000000002</v>
      </c>
      <c r="V17" s="177">
        <f t="shared" si="1"/>
        <v>1457.9350375947104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v>5434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750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750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42</v>
      </c>
      <c r="B23" s="181">
        <f>'Données projet'!D36</f>
        <v>30</v>
      </c>
      <c r="C23" s="193">
        <v>8</v>
      </c>
      <c r="D23" s="182">
        <f>B23*C23</f>
        <v>240</v>
      </c>
      <c r="E23" s="193"/>
      <c r="F23" s="230"/>
      <c r="H23" s="190">
        <v>5</v>
      </c>
      <c r="I23" s="191">
        <v>750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-64532.858837467778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50</v>
      </c>
      <c r="B24" s="181">
        <f>'Données projet'!D37</f>
        <v>35</v>
      </c>
      <c r="C24" s="193">
        <v>9</v>
      </c>
      <c r="D24" s="182">
        <f t="shared" ref="D24:D42" si="2">B24*C24</f>
        <v>315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58</v>
      </c>
      <c r="B25" s="181">
        <f>'Données projet'!D38</f>
        <v>44</v>
      </c>
      <c r="C25" s="193">
        <v>9</v>
      </c>
      <c r="D25" s="182">
        <f t="shared" si="2"/>
        <v>396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299">
        <f ca="1">T23-T24</f>
        <v>-64532.858837467778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66</v>
      </c>
      <c r="B26" s="181">
        <f>'Données projet'!D39</f>
        <v>39</v>
      </c>
      <c r="C26" s="193">
        <v>9</v>
      </c>
      <c r="D26" s="182">
        <f t="shared" si="2"/>
        <v>351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75</v>
      </c>
      <c r="B27" s="181">
        <f>'Données projet'!D40</f>
        <v>37</v>
      </c>
      <c r="C27" s="193">
        <v>9</v>
      </c>
      <c r="D27" s="182">
        <f t="shared" si="2"/>
        <v>333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84</v>
      </c>
      <c r="B28" s="181">
        <f>'Données projet'!D41</f>
        <v>36</v>
      </c>
      <c r="C28" s="193">
        <v>14.2</v>
      </c>
      <c r="D28" s="182">
        <f t="shared" si="2"/>
        <v>511.2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93</v>
      </c>
      <c r="B29" s="181">
        <f>'Données projet'!D42</f>
        <v>35</v>
      </c>
      <c r="C29" s="193">
        <v>24.3</v>
      </c>
      <c r="D29" s="182">
        <f t="shared" si="2"/>
        <v>850.5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103</v>
      </c>
      <c r="B30" s="181">
        <f>'Données projet'!D43</f>
        <v>38</v>
      </c>
      <c r="C30" s="193">
        <v>57.4</v>
      </c>
      <c r="D30" s="182">
        <f t="shared" si="2"/>
        <v>2181.1999999999998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113</v>
      </c>
      <c r="B31" s="181">
        <f>'Données projet'!D44</f>
        <v>42</v>
      </c>
      <c r="C31" s="193">
        <v>93.6</v>
      </c>
      <c r="D31" s="182">
        <f t="shared" si="2"/>
        <v>3931.2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123</v>
      </c>
      <c r="B32" s="181">
        <f>'Données projet'!D45</f>
        <v>46</v>
      </c>
      <c r="C32" s="193">
        <v>93.6</v>
      </c>
      <c r="D32" s="182">
        <f t="shared" si="2"/>
        <v>4305.5999999999995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135</v>
      </c>
      <c r="B33" s="181">
        <f>'Données projet'!D46</f>
        <v>48</v>
      </c>
      <c r="C33" s="193">
        <v>93.6</v>
      </c>
      <c r="D33" s="182">
        <f t="shared" si="2"/>
        <v>4492.7999999999993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147</v>
      </c>
      <c r="B34" s="181">
        <f>'Données projet'!D47</f>
        <v>48</v>
      </c>
      <c r="C34" s="193">
        <v>93.6</v>
      </c>
      <c r="D34" s="182">
        <f t="shared" si="2"/>
        <v>4492.7999999999993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159</v>
      </c>
      <c r="B35" s="181">
        <f>'Données projet'!D48</f>
        <v>47</v>
      </c>
      <c r="C35" s="193">
        <v>93.6</v>
      </c>
      <c r="D35" s="182">
        <f t="shared" si="2"/>
        <v>4399.2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171</v>
      </c>
      <c r="B36" s="181">
        <f>'Données projet'!D49</f>
        <v>399</v>
      </c>
      <c r="C36" s="193">
        <v>93.6</v>
      </c>
      <c r="D36" s="182">
        <f t="shared" si="2"/>
        <v>37346.399999999994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Chêne pubescent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42</v>
      </c>
      <c r="B54" s="181">
        <f>'Données projet'!D62</f>
        <v>30</v>
      </c>
      <c r="C54" s="191">
        <v>8</v>
      </c>
      <c r="D54" s="179">
        <f>B54*C54</f>
        <v>240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50</v>
      </c>
      <c r="B55" s="181">
        <f>'Données projet'!D63</f>
        <v>35</v>
      </c>
      <c r="C55" s="191">
        <v>9</v>
      </c>
      <c r="D55" s="179">
        <f t="shared" ref="D55:D73" si="4">B55*C55</f>
        <v>315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58</v>
      </c>
      <c r="B56" s="181">
        <f>'Données projet'!D64</f>
        <v>44</v>
      </c>
      <c r="C56" s="191">
        <v>9</v>
      </c>
      <c r="D56" s="179">
        <f t="shared" si="4"/>
        <v>396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66</v>
      </c>
      <c r="B57" s="181">
        <f>'Données projet'!D65</f>
        <v>39</v>
      </c>
      <c r="C57" s="191">
        <v>9</v>
      </c>
      <c r="D57" s="179">
        <f t="shared" si="4"/>
        <v>351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75</v>
      </c>
      <c r="B58" s="181">
        <f>'Données projet'!D66</f>
        <v>37</v>
      </c>
      <c r="C58" s="191">
        <v>9</v>
      </c>
      <c r="D58" s="179">
        <f t="shared" si="4"/>
        <v>333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84</v>
      </c>
      <c r="B59" s="181">
        <f>'Données projet'!D67</f>
        <v>36</v>
      </c>
      <c r="C59" s="191">
        <v>14.2</v>
      </c>
      <c r="D59" s="179">
        <f t="shared" si="4"/>
        <v>511.2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93</v>
      </c>
      <c r="B60" s="181">
        <f>'Données projet'!D68</f>
        <v>35</v>
      </c>
      <c r="C60" s="191">
        <v>24.3</v>
      </c>
      <c r="D60" s="179">
        <f t="shared" si="4"/>
        <v>850.5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103</v>
      </c>
      <c r="B61" s="181">
        <f>'Données projet'!D69</f>
        <v>38</v>
      </c>
      <c r="C61" s="191">
        <v>57.4</v>
      </c>
      <c r="D61" s="179">
        <f t="shared" si="4"/>
        <v>2181.1999999999998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113</v>
      </c>
      <c r="B62" s="181">
        <f>'Données projet'!D70</f>
        <v>42</v>
      </c>
      <c r="C62" s="191">
        <v>93.6</v>
      </c>
      <c r="D62" s="179">
        <f t="shared" si="4"/>
        <v>3931.2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123</v>
      </c>
      <c r="B63" s="181">
        <f>'Données projet'!D71</f>
        <v>46</v>
      </c>
      <c r="C63" s="191">
        <v>93.6</v>
      </c>
      <c r="D63" s="179">
        <f t="shared" si="4"/>
        <v>4305.5999999999995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135</v>
      </c>
      <c r="B64" s="181">
        <f>'Données projet'!D72</f>
        <v>48</v>
      </c>
      <c r="C64" s="191">
        <v>93.6</v>
      </c>
      <c r="D64" s="179">
        <f t="shared" si="4"/>
        <v>4492.7999999999993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147</v>
      </c>
      <c r="B65" s="181">
        <f>'Données projet'!D73</f>
        <v>48</v>
      </c>
      <c r="C65" s="191">
        <v>93.6</v>
      </c>
      <c r="D65" s="179">
        <f t="shared" si="4"/>
        <v>4492.7999999999993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159</v>
      </c>
      <c r="B66" s="181">
        <f>'Données projet'!D74</f>
        <v>47</v>
      </c>
      <c r="C66" s="191">
        <v>93.6</v>
      </c>
      <c r="D66" s="179">
        <f t="shared" si="4"/>
        <v>4399.2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171</v>
      </c>
      <c r="B67" s="181">
        <f>'Données projet'!D75</f>
        <v>399</v>
      </c>
      <c r="C67" s="191">
        <v>93.6</v>
      </c>
      <c r="D67" s="179">
        <f t="shared" si="4"/>
        <v>37346.399999999994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Chêne rouge d'Amérique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20</v>
      </c>
      <c r="B85" s="181">
        <f>'Données projet'!D88</f>
        <v>43</v>
      </c>
      <c r="C85" s="191">
        <v>8</v>
      </c>
      <c r="D85" s="179">
        <f>B85*C85</f>
        <v>344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30</v>
      </c>
      <c r="B86" s="181">
        <f>'Données projet'!D89</f>
        <v>44</v>
      </c>
      <c r="C86" s="191">
        <v>8</v>
      </c>
      <c r="D86" s="179">
        <f t="shared" ref="D86:D104" si="6">B86*C86</f>
        <v>352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40</v>
      </c>
      <c r="B87" s="181">
        <f>'Données projet'!D90</f>
        <v>39</v>
      </c>
      <c r="C87" s="191">
        <v>20.8</v>
      </c>
      <c r="D87" s="179">
        <f t="shared" si="6"/>
        <v>811.2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50</v>
      </c>
      <c r="B88" s="181">
        <f>'Données projet'!D91</f>
        <v>33</v>
      </c>
      <c r="C88" s="191">
        <v>25.8</v>
      </c>
      <c r="D88" s="179">
        <f t="shared" si="6"/>
        <v>851.4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60</v>
      </c>
      <c r="B89" s="181">
        <f>'Données projet'!D92</f>
        <v>26</v>
      </c>
      <c r="C89" s="191">
        <v>35.599999999999994</v>
      </c>
      <c r="D89" s="179">
        <f t="shared" si="6"/>
        <v>925.59999999999991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70</v>
      </c>
      <c r="B90" s="181">
        <f>'Données projet'!D93</f>
        <v>249</v>
      </c>
      <c r="C90" s="191">
        <v>45.599999999999994</v>
      </c>
      <c r="D90" s="179">
        <f t="shared" si="6"/>
        <v>11354.399999999998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Douglas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19</v>
      </c>
      <c r="B116" s="181">
        <f>'Données projet'!D114</f>
        <v>0</v>
      </c>
      <c r="C116" s="191">
        <v>11.600000000000001</v>
      </c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25</v>
      </c>
      <c r="B117" s="181">
        <f>'Données projet'!D115</f>
        <v>54</v>
      </c>
      <c r="C117" s="191">
        <v>11.600000000000001</v>
      </c>
      <c r="D117" s="179">
        <f t="shared" ref="D117:D135" si="8">B117*C117</f>
        <v>626.40000000000009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30</v>
      </c>
      <c r="B118" s="181">
        <f>'Données projet'!D116</f>
        <v>54</v>
      </c>
      <c r="C118" s="191">
        <v>11.600000000000001</v>
      </c>
      <c r="D118" s="179">
        <f t="shared" si="8"/>
        <v>626.40000000000009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35</v>
      </c>
      <c r="B119" s="181">
        <f>'Données projet'!D117</f>
        <v>69</v>
      </c>
      <c r="C119" s="191">
        <v>17.600000000000001</v>
      </c>
      <c r="D119" s="179">
        <f t="shared" si="8"/>
        <v>1214.4000000000001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40</v>
      </c>
      <c r="B120" s="181">
        <f>'Données projet'!D118</f>
        <v>72</v>
      </c>
      <c r="C120" s="191">
        <v>23.2</v>
      </c>
      <c r="D120" s="179">
        <f t="shared" si="8"/>
        <v>1670.3999999999999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45</v>
      </c>
      <c r="B121" s="181">
        <f>'Données projet'!D119</f>
        <v>66</v>
      </c>
      <c r="C121" s="191">
        <v>25.8</v>
      </c>
      <c r="D121" s="179">
        <f t="shared" si="8"/>
        <v>1702.8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50</v>
      </c>
      <c r="B122" s="181">
        <f>'Données projet'!D120</f>
        <v>48</v>
      </c>
      <c r="C122" s="191">
        <v>25.8</v>
      </c>
      <c r="D122" s="179">
        <f t="shared" si="8"/>
        <v>1238.4000000000001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55</v>
      </c>
      <c r="B123" s="181">
        <f>'Données projet'!D121</f>
        <v>35</v>
      </c>
      <c r="C123" s="191">
        <v>28.8</v>
      </c>
      <c r="D123" s="179">
        <f t="shared" si="8"/>
        <v>1008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60</v>
      </c>
      <c r="B124" s="181">
        <f>'Données projet'!D122</f>
        <v>666</v>
      </c>
      <c r="C124" s="191">
        <v>34.4</v>
      </c>
      <c r="D124" s="179">
        <f t="shared" si="8"/>
        <v>22910.399999999998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Mélèze hybride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18</v>
      </c>
      <c r="B147" s="175">
        <f>'Données projet'!D140</f>
        <v>20</v>
      </c>
      <c r="C147" s="191">
        <v>11.600000000000001</v>
      </c>
      <c r="D147" s="182">
        <f>B147*C147</f>
        <v>232.00000000000003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21</v>
      </c>
      <c r="B148" s="175">
        <f>'Données projet'!D141</f>
        <v>26</v>
      </c>
      <c r="C148" s="191">
        <v>11.600000000000001</v>
      </c>
      <c r="D148" s="182">
        <f t="shared" ref="D148:D166" si="10">B148*C148</f>
        <v>301.60000000000002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24</v>
      </c>
      <c r="B149" s="175">
        <f>'Données projet'!D142</f>
        <v>29</v>
      </c>
      <c r="C149" s="191">
        <v>11.600000000000001</v>
      </c>
      <c r="D149" s="182">
        <f t="shared" si="10"/>
        <v>336.40000000000003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30</v>
      </c>
      <c r="B150" s="175">
        <f>'Données projet'!D143</f>
        <v>53</v>
      </c>
      <c r="C150" s="191">
        <v>17.600000000000001</v>
      </c>
      <c r="D150" s="182">
        <f t="shared" si="10"/>
        <v>932.80000000000007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36</v>
      </c>
      <c r="B151" s="175">
        <f>'Données projet'!D144</f>
        <v>62</v>
      </c>
      <c r="C151" s="191">
        <v>23.2</v>
      </c>
      <c r="D151" s="182">
        <f t="shared" si="10"/>
        <v>1438.3999999999999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42</v>
      </c>
      <c r="B152" s="175">
        <f>'Données projet'!D145</f>
        <v>67</v>
      </c>
      <c r="C152" s="191">
        <v>28.8</v>
      </c>
      <c r="D152" s="182">
        <f t="shared" si="10"/>
        <v>1929.6000000000001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48</v>
      </c>
      <c r="B153" s="175">
        <f>'Données projet'!D146</f>
        <v>65</v>
      </c>
      <c r="C153" s="191">
        <v>31.4</v>
      </c>
      <c r="D153" s="182">
        <f t="shared" si="10"/>
        <v>2041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60</v>
      </c>
      <c r="B154" s="175">
        <f>'Données projet'!D147</f>
        <v>304</v>
      </c>
      <c r="C154" s="191">
        <v>34.4</v>
      </c>
      <c r="D154" s="182">
        <f t="shared" si="10"/>
        <v>10457.6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>Noyer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15</v>
      </c>
      <c r="B178" s="181">
        <f>'Données projet'!D166</f>
        <v>15</v>
      </c>
      <c r="C178" s="193">
        <v>8</v>
      </c>
      <c r="D178" s="179">
        <f>B178*C178</f>
        <v>120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20</v>
      </c>
      <c r="B179" s="181">
        <f>'Données projet'!D167</f>
        <v>28</v>
      </c>
      <c r="C179" s="193">
        <v>8</v>
      </c>
      <c r="D179" s="179">
        <f t="shared" ref="D179:D197" si="11">B179*C179</f>
        <v>224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25</v>
      </c>
      <c r="B180" s="181">
        <f>'Données projet'!D168</f>
        <v>28</v>
      </c>
      <c r="C180" s="193">
        <v>8</v>
      </c>
      <c r="D180" s="179">
        <f t="shared" si="11"/>
        <v>224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30</v>
      </c>
      <c r="B181" s="181">
        <f>'Données projet'!D169</f>
        <v>28</v>
      </c>
      <c r="C181" s="193">
        <v>8</v>
      </c>
      <c r="D181" s="179">
        <f t="shared" si="11"/>
        <v>224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35</v>
      </c>
      <c r="B182" s="181">
        <f>'Données projet'!D170</f>
        <v>28</v>
      </c>
      <c r="C182" s="193">
        <v>11.000000000000002</v>
      </c>
      <c r="D182" s="179">
        <f t="shared" si="11"/>
        <v>308.00000000000006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40</v>
      </c>
      <c r="B183" s="181">
        <f>'Données projet'!D171</f>
        <v>28</v>
      </c>
      <c r="C183" s="193">
        <v>14.799999999999999</v>
      </c>
      <c r="D183" s="179">
        <f t="shared" si="11"/>
        <v>414.4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45</v>
      </c>
      <c r="B184" s="181">
        <f>'Données projet'!D172</f>
        <v>22</v>
      </c>
      <c r="C184" s="193">
        <v>23</v>
      </c>
      <c r="D184" s="179">
        <f t="shared" si="11"/>
        <v>506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50</v>
      </c>
      <c r="B185" s="181">
        <f>'Données projet'!D173</f>
        <v>17</v>
      </c>
      <c r="C185" s="193">
        <v>23</v>
      </c>
      <c r="D185" s="179">
        <f t="shared" si="11"/>
        <v>391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55</v>
      </c>
      <c r="B186" s="181">
        <f>'Données projet'!D174</f>
        <v>13</v>
      </c>
      <c r="C186" s="193">
        <v>30.8</v>
      </c>
      <c r="D186" s="179">
        <f t="shared" si="11"/>
        <v>400.40000000000003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60</v>
      </c>
      <c r="B187" s="181">
        <f>'Données projet'!D175</f>
        <v>12</v>
      </c>
      <c r="C187" s="193">
        <v>30.8</v>
      </c>
      <c r="D187" s="179">
        <f t="shared" si="11"/>
        <v>369.6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65</v>
      </c>
      <c r="B188" s="181">
        <f>'Données projet'!D176</f>
        <v>11</v>
      </c>
      <c r="C188" s="193">
        <v>30.8</v>
      </c>
      <c r="D188" s="179">
        <f t="shared" si="11"/>
        <v>338.8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70</v>
      </c>
      <c r="B189" s="181">
        <f>'Données projet'!D177</f>
        <v>10</v>
      </c>
      <c r="C189" s="193">
        <v>30.8</v>
      </c>
      <c r="D189" s="179">
        <f t="shared" si="11"/>
        <v>308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75</v>
      </c>
      <c r="B190" s="181">
        <f>'Données projet'!D178</f>
        <v>9</v>
      </c>
      <c r="C190" s="193">
        <v>38.599999999999994</v>
      </c>
      <c r="D190" s="179">
        <f t="shared" si="11"/>
        <v>347.4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80</v>
      </c>
      <c r="B191" s="181">
        <f>'Données projet'!D179</f>
        <v>275</v>
      </c>
      <c r="C191" s="193">
        <v>38.599999999999994</v>
      </c>
      <c r="D191" s="179">
        <f t="shared" si="11"/>
        <v>10614.999999999998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>Alisier torminal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15</v>
      </c>
      <c r="B209" s="181">
        <f>'Données projet'!D192</f>
        <v>15</v>
      </c>
      <c r="C209" s="193">
        <v>8</v>
      </c>
      <c r="D209" s="179">
        <f>B209*C209</f>
        <v>120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20</v>
      </c>
      <c r="B210" s="181">
        <f>'Données projet'!D193</f>
        <v>28</v>
      </c>
      <c r="C210" s="193">
        <v>8</v>
      </c>
      <c r="D210" s="179">
        <f t="shared" ref="D210:D228" si="12">B210*C210</f>
        <v>224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25</v>
      </c>
      <c r="B211" s="181">
        <f>'Données projet'!D194</f>
        <v>28</v>
      </c>
      <c r="C211" s="193">
        <v>8</v>
      </c>
      <c r="D211" s="179">
        <f t="shared" si="12"/>
        <v>224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30</v>
      </c>
      <c r="B212" s="181">
        <f>'Données projet'!D195</f>
        <v>28</v>
      </c>
      <c r="C212" s="193">
        <v>8</v>
      </c>
      <c r="D212" s="179">
        <f t="shared" si="12"/>
        <v>224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35</v>
      </c>
      <c r="B213" s="181">
        <f>'Données projet'!D196</f>
        <v>28</v>
      </c>
      <c r="C213" s="193">
        <v>11.000000000000002</v>
      </c>
      <c r="D213" s="179">
        <f t="shared" si="12"/>
        <v>308.00000000000006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40</v>
      </c>
      <c r="B214" s="181">
        <f>'Données projet'!D197</f>
        <v>28</v>
      </c>
      <c r="C214" s="193">
        <v>14.799999999999999</v>
      </c>
      <c r="D214" s="179">
        <f t="shared" si="12"/>
        <v>414.4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45</v>
      </c>
      <c r="B215" s="181">
        <f>'Données projet'!D198</f>
        <v>22</v>
      </c>
      <c r="C215" s="193">
        <v>23</v>
      </c>
      <c r="D215" s="179">
        <f t="shared" si="12"/>
        <v>506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50</v>
      </c>
      <c r="B216" s="181">
        <f>'Données projet'!D199</f>
        <v>17</v>
      </c>
      <c r="C216" s="193">
        <v>23</v>
      </c>
      <c r="D216" s="179">
        <f t="shared" si="12"/>
        <v>391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55</v>
      </c>
      <c r="B217" s="181">
        <f>'Données projet'!D200</f>
        <v>13</v>
      </c>
      <c r="C217" s="193">
        <v>30.8</v>
      </c>
      <c r="D217" s="179">
        <f t="shared" si="12"/>
        <v>400.40000000000003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60</v>
      </c>
      <c r="B218" s="181">
        <f>'Données projet'!D201</f>
        <v>12</v>
      </c>
      <c r="C218" s="193">
        <v>30.8</v>
      </c>
      <c r="D218" s="179">
        <f t="shared" si="12"/>
        <v>369.6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65</v>
      </c>
      <c r="B219" s="181">
        <f>'Données projet'!D202</f>
        <v>11</v>
      </c>
      <c r="C219" s="193">
        <v>30.8</v>
      </c>
      <c r="D219" s="179">
        <f t="shared" si="12"/>
        <v>338.8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70</v>
      </c>
      <c r="B220" s="181">
        <f>'Données projet'!D203</f>
        <v>10</v>
      </c>
      <c r="C220" s="193">
        <v>30.8</v>
      </c>
      <c r="D220" s="179">
        <f t="shared" si="12"/>
        <v>308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75</v>
      </c>
      <c r="B221" s="181">
        <f>'Données projet'!D204</f>
        <v>9</v>
      </c>
      <c r="C221" s="193">
        <v>38.599999999999994</v>
      </c>
      <c r="D221" s="179">
        <f t="shared" si="12"/>
        <v>347.4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80</v>
      </c>
      <c r="B222" s="181">
        <f>'Données projet'!D205</f>
        <v>275</v>
      </c>
      <c r="C222" s="193">
        <v>38.599999999999994</v>
      </c>
      <c r="D222" s="179">
        <f t="shared" si="12"/>
        <v>10614.999999999998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>Châtaignier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15</v>
      </c>
      <c r="B240" s="181">
        <f>'Données projet'!D218</f>
        <v>15</v>
      </c>
      <c r="C240" s="193">
        <v>8</v>
      </c>
      <c r="D240" s="179">
        <f>B240*C240</f>
        <v>120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20</v>
      </c>
      <c r="B241" s="181">
        <f>'Données projet'!D219</f>
        <v>28</v>
      </c>
      <c r="C241" s="193">
        <v>8</v>
      </c>
      <c r="D241" s="179">
        <f t="shared" ref="D241:D259" si="13">B241*C241</f>
        <v>224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25</v>
      </c>
      <c r="B242" s="181">
        <f>'Données projet'!D220</f>
        <v>28</v>
      </c>
      <c r="C242" s="193">
        <v>8</v>
      </c>
      <c r="D242" s="179">
        <f t="shared" si="13"/>
        <v>224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30</v>
      </c>
      <c r="B243" s="181">
        <f>'Données projet'!D221</f>
        <v>28</v>
      </c>
      <c r="C243" s="193">
        <v>8</v>
      </c>
      <c r="D243" s="179">
        <f t="shared" si="13"/>
        <v>224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35</v>
      </c>
      <c r="B244" s="181">
        <f>'Données projet'!D222</f>
        <v>28</v>
      </c>
      <c r="C244" s="193">
        <v>11.000000000000002</v>
      </c>
      <c r="D244" s="179">
        <f t="shared" si="13"/>
        <v>308.00000000000006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40</v>
      </c>
      <c r="B245" s="181">
        <f>'Données projet'!D223</f>
        <v>28</v>
      </c>
      <c r="C245" s="193">
        <v>14.799999999999999</v>
      </c>
      <c r="D245" s="179">
        <f t="shared" si="13"/>
        <v>414.4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45</v>
      </c>
      <c r="B246" s="181">
        <f>'Données projet'!D224</f>
        <v>22</v>
      </c>
      <c r="C246" s="193">
        <v>23</v>
      </c>
      <c r="D246" s="179">
        <f t="shared" si="13"/>
        <v>506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50</v>
      </c>
      <c r="B247" s="181">
        <f>'Données projet'!D225</f>
        <v>17</v>
      </c>
      <c r="C247" s="193">
        <v>23</v>
      </c>
      <c r="D247" s="179">
        <f t="shared" si="13"/>
        <v>391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55</v>
      </c>
      <c r="B248" s="181">
        <f>'Données projet'!D226</f>
        <v>13</v>
      </c>
      <c r="C248" s="193">
        <v>30.8</v>
      </c>
      <c r="D248" s="179">
        <f t="shared" si="13"/>
        <v>400.40000000000003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60</v>
      </c>
      <c r="B249" s="181">
        <f>'Données projet'!D227</f>
        <v>12</v>
      </c>
      <c r="C249" s="193">
        <v>30.8</v>
      </c>
      <c r="D249" s="179">
        <f t="shared" si="13"/>
        <v>369.6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65</v>
      </c>
      <c r="B250" s="181">
        <f>'Données projet'!D228</f>
        <v>11</v>
      </c>
      <c r="C250" s="193">
        <v>30.8</v>
      </c>
      <c r="D250" s="179">
        <f t="shared" si="13"/>
        <v>338.8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70</v>
      </c>
      <c r="B251" s="181">
        <f>'Données projet'!D229</f>
        <v>10</v>
      </c>
      <c r="C251" s="193">
        <v>30.8</v>
      </c>
      <c r="D251" s="179">
        <f t="shared" si="13"/>
        <v>308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75</v>
      </c>
      <c r="B252" s="181">
        <f>'Données projet'!D230</f>
        <v>9</v>
      </c>
      <c r="C252" s="193">
        <v>38.599999999999994</v>
      </c>
      <c r="D252" s="179">
        <f t="shared" si="13"/>
        <v>347.4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80</v>
      </c>
      <c r="B253" s="181">
        <f>'Données projet'!D231</f>
        <v>275</v>
      </c>
      <c r="C253" s="193">
        <v>38.599999999999994</v>
      </c>
      <c r="D253" s="179">
        <f t="shared" si="13"/>
        <v>10614.999999999998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ALVES PEREIRA Carolina</cp:lastModifiedBy>
  <dcterms:created xsi:type="dcterms:W3CDTF">2021-02-01T08:22:39Z</dcterms:created>
  <dcterms:modified xsi:type="dcterms:W3CDTF">2025-02-21T15:42:22Z</dcterms:modified>
</cp:coreProperties>
</file>