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MIMB-124/Dossier octobre 2024/"/>
    </mc:Choice>
  </mc:AlternateContent>
  <xr:revisionPtr revIDLastSave="15" documentId="8_{815A8711-A50D-4D92-BCC5-DBF47CA7A6CF}" xr6:coauthVersionLast="47" xr6:coauthVersionMax="47" xr10:uidLastSave="{E15E93DF-91C6-4453-A7B8-02825B23D315}"/>
  <bookViews>
    <workbookView xWindow="1520" yWindow="1520" windowWidth="19180" windowHeight="112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20" i="6"/>
  <c r="E19" i="6"/>
  <c r="E18" i="6"/>
  <c r="E17" i="6"/>
  <c r="I22" i="6" l="1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<sst xmlns="http://schemas.openxmlformats.org/spreadsheetml/2006/main" count="1176" uniqueCount="329">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</sst>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1.6572257921187568</c:v>
                </c:pt>
                <c:pt idx="2">
                  <c:v>2.2064089310611865</c:v>
                </c:pt>
                <c:pt idx="3">
                  <c:v>2.9383493176455544</c:v>
                </c:pt>
                <c:pt idx="4">
                  <c:v>3.9141052635513085</c:v>
                </c:pt>
                <c:pt idx="5">
                  <c:v>5.2152095428445673</c:v>
                </c:pt>
                <c:pt idx="6">
                  <c:v>6.950558442284577</c:v>
                </c:pt>
                <c:pt idx="7">
                  <c:v>9.2656260443126204</c:v>
                </c:pt>
                <c:pt idx="8">
                  <c:v>12.354790818454633</c:v>
                </c:pt>
                <c:pt idx="9">
                  <c:v>16.47782871052825</c:v>
                </c:pt>
                <c:pt idx="10">
                  <c:v>21.981984897702691</c:v>
                </c:pt>
                <c:pt idx="11">
                  <c:v>29.331516196426549</c:v>
                </c:pt>
                <c:pt idx="12">
                  <c:v>39.147239324140664</c:v>
                </c:pt>
                <c:pt idx="13">
                  <c:v>52.259482577850129</c:v>
                </c:pt>
                <c:pt idx="14">
                  <c:v>69.77899481455303</c:v>
                </c:pt>
                <c:pt idx="15">
                  <c:v>93.191916295000681</c:v>
                </c:pt>
                <c:pt idx="16">
                  <c:v>124.48699572366843</c:v>
                </c:pt>
                <c:pt idx="17">
                  <c:v>166.32602753763777</c:v>
                </c:pt>
                <c:pt idx="18">
                  <c:v>222.27222593669183</c:v>
                </c:pt>
                <c:pt idx="19">
                  <c:v>297.09627322422062</c:v>
                </c:pt>
                <c:pt idx="20">
                  <c:v>397.18651732416419</c:v>
                </c:pt>
                <c:pt idx="21">
                  <c:v>74.730043881041539</c:v>
                </c:pt>
                <c:pt idx="22">
                  <c:v>74.730043881041539</c:v>
                </c:pt>
                <c:pt idx="23">
                  <c:v>74.730043881041539</c:v>
                </c:pt>
                <c:pt idx="24">
                  <c:v>74.730043881041539</c:v>
                </c:pt>
                <c:pt idx="25">
                  <c:v>74.730043881041539</c:v>
                </c:pt>
                <c:pt idx="26">
                  <c:v>74.730043881041539</c:v>
                </c:pt>
                <c:pt idx="27">
                  <c:v>74.730043881041539</c:v>
                </c:pt>
                <c:pt idx="28">
                  <c:v>74.730043881041539</c:v>
                </c:pt>
                <c:pt idx="29">
                  <c:v>74.730043881041539</c:v>
                </c:pt>
                <c:pt idx="30">
                  <c:v>74.730043881041539</c:v>
                </c:pt>
                <c:pt idx="31">
                  <c:v>74.730043881041539</c:v>
                </c:pt>
                <c:pt idx="32">
                  <c:v>74.730043881041539</c:v>
                </c:pt>
                <c:pt idx="33">
                  <c:v>74.730043881041539</c:v>
                </c:pt>
                <c:pt idx="34">
                  <c:v>74.730043881041539</c:v>
                </c:pt>
                <c:pt idx="35">
                  <c:v>74.730043881041539</c:v>
                </c:pt>
                <c:pt idx="36">
                  <c:v>74.730043881041539</c:v>
                </c:pt>
                <c:pt idx="37">
                  <c:v>74.730043881041539</c:v>
                </c:pt>
                <c:pt idx="38">
                  <c:v>74.730043881041539</c:v>
                </c:pt>
                <c:pt idx="39">
                  <c:v>74.730043881041539</c:v>
                </c:pt>
                <c:pt idx="40">
                  <c:v>74.730043881041539</c:v>
                </c:pt>
                <c:pt idx="41">
                  <c:v>74.730043881041539</c:v>
                </c:pt>
                <c:pt idx="42">
                  <c:v>74.730043881041539</c:v>
                </c:pt>
                <c:pt idx="43">
                  <c:v>74.730043881041539</c:v>
                </c:pt>
                <c:pt idx="44">
                  <c:v>74.730043881041539</c:v>
                </c:pt>
                <c:pt idx="45">
                  <c:v>74.730043881041539</c:v>
                </c:pt>
                <c:pt idx="46">
                  <c:v>74.730043881041539</c:v>
                </c:pt>
                <c:pt idx="47">
                  <c:v>74.730043881041539</c:v>
                </c:pt>
                <c:pt idx="48">
                  <c:v>74.730043881041539</c:v>
                </c:pt>
                <c:pt idx="49">
                  <c:v>74.730043881041539</c:v>
                </c:pt>
                <c:pt idx="50">
                  <c:v>74.730043881041539</c:v>
                </c:pt>
                <c:pt idx="51">
                  <c:v>74.730043881041539</c:v>
                </c:pt>
                <c:pt idx="52">
                  <c:v>74.730043881041539</c:v>
                </c:pt>
                <c:pt idx="53">
                  <c:v>74.730043881041539</c:v>
                </c:pt>
                <c:pt idx="54">
                  <c:v>74.730043881041539</c:v>
                </c:pt>
                <c:pt idx="55">
                  <c:v>74.730043881041539</c:v>
                </c:pt>
                <c:pt idx="56">
                  <c:v>74.730043881041539</c:v>
                </c:pt>
                <c:pt idx="57">
                  <c:v>74.730043881041539</c:v>
                </c:pt>
                <c:pt idx="58">
                  <c:v>74.730043881041539</c:v>
                </c:pt>
                <c:pt idx="59">
                  <c:v>74.730043881041539</c:v>
                </c:pt>
                <c:pt idx="60">
                  <c:v>74.730043881041539</c:v>
                </c:pt>
                <c:pt idx="61">
                  <c:v>74.730043881041539</c:v>
                </c:pt>
                <c:pt idx="62">
                  <c:v>74.730043881041539</c:v>
                </c:pt>
                <c:pt idx="63">
                  <c:v>74.730043881041539</c:v>
                </c:pt>
                <c:pt idx="64">
                  <c:v>74.730043881041539</c:v>
                </c:pt>
                <c:pt idx="65">
                  <c:v>74.730043881041539</c:v>
                </c:pt>
                <c:pt idx="66">
                  <c:v>74.730043881041539</c:v>
                </c:pt>
                <c:pt idx="67">
                  <c:v>74.730043881041539</c:v>
                </c:pt>
                <c:pt idx="68">
                  <c:v>74.730043881041539</c:v>
                </c:pt>
                <c:pt idx="69">
                  <c:v>74.730043881041539</c:v>
                </c:pt>
                <c:pt idx="70">
                  <c:v>74.730043881041539</c:v>
                </c:pt>
                <c:pt idx="71">
                  <c:v>74.730043881041539</c:v>
                </c:pt>
                <c:pt idx="72">
                  <c:v>74.730043881041539</c:v>
                </c:pt>
                <c:pt idx="73">
                  <c:v>74.730043881041539</c:v>
                </c:pt>
                <c:pt idx="74">
                  <c:v>74.730043881041539</c:v>
                </c:pt>
                <c:pt idx="75">
                  <c:v>74.730043881041539</c:v>
                </c:pt>
                <c:pt idx="76">
                  <c:v>74.730043881041539</c:v>
                </c:pt>
                <c:pt idx="77">
                  <c:v>74.730043881041539</c:v>
                </c:pt>
                <c:pt idx="78">
                  <c:v>74.730043881041539</c:v>
                </c:pt>
                <c:pt idx="79">
                  <c:v>74.730043881041539</c:v>
                </c:pt>
                <c:pt idx="80">
                  <c:v>74.730043881041539</c:v>
                </c:pt>
                <c:pt idx="81">
                  <c:v>74.730043881041539</c:v>
                </c:pt>
                <c:pt idx="82">
                  <c:v>74.730043881041539</c:v>
                </c:pt>
                <c:pt idx="83">
                  <c:v>74.730043881041539</c:v>
                </c:pt>
                <c:pt idx="84">
                  <c:v>74.730043881041539</c:v>
                </c:pt>
                <c:pt idx="85">
                  <c:v>74.730043881041539</c:v>
                </c:pt>
                <c:pt idx="86">
                  <c:v>74.730043881041539</c:v>
                </c:pt>
                <c:pt idx="87">
                  <c:v>74.730043881041539</c:v>
                </c:pt>
                <c:pt idx="88">
                  <c:v>74.730043881041539</c:v>
                </c:pt>
                <c:pt idx="89">
                  <c:v>74.730043881041539</c:v>
                </c:pt>
                <c:pt idx="90">
                  <c:v>74.730043881041539</c:v>
                </c:pt>
                <c:pt idx="91">
                  <c:v>74.730043881041539</c:v>
                </c:pt>
                <c:pt idx="92">
                  <c:v>74.730043881041539</c:v>
                </c:pt>
                <c:pt idx="93">
                  <c:v>74.730043881041539</c:v>
                </c:pt>
                <c:pt idx="94">
                  <c:v>74.730043881041539</c:v>
                </c:pt>
                <c:pt idx="95">
                  <c:v>74.730043881041539</c:v>
                </c:pt>
                <c:pt idx="96">
                  <c:v>74.730043881041539</c:v>
                </c:pt>
                <c:pt idx="97">
                  <c:v>74.730043881041539</c:v>
                </c:pt>
                <c:pt idx="98">
                  <c:v>74.730043881041539</c:v>
                </c:pt>
                <c:pt idx="99">
                  <c:v>74.730043881041539</c:v>
                </c:pt>
                <c:pt idx="100">
                  <c:v>74.730043881041539</c:v>
                </c:pt>
                <c:pt idx="101">
                  <c:v>74.730043881041539</c:v>
                </c:pt>
                <c:pt idx="102">
                  <c:v>74.730043881041539</c:v>
                </c:pt>
                <c:pt idx="103">
                  <c:v>74.730043881041539</c:v>
                </c:pt>
                <c:pt idx="104">
                  <c:v>74.730043881041539</c:v>
                </c:pt>
                <c:pt idx="105">
                  <c:v>74.730043881041539</c:v>
                </c:pt>
                <c:pt idx="106">
                  <c:v>74.730043881041539</c:v>
                </c:pt>
                <c:pt idx="107">
                  <c:v>74.730043881041539</c:v>
                </c:pt>
                <c:pt idx="108">
                  <c:v>74.730043881041539</c:v>
                </c:pt>
                <c:pt idx="109">
                  <c:v>74.730043881041539</c:v>
                </c:pt>
                <c:pt idx="110">
                  <c:v>74.730043881041539</c:v>
                </c:pt>
                <c:pt idx="111">
                  <c:v>74.730043881041539</c:v>
                </c:pt>
                <c:pt idx="112">
                  <c:v>74.730043881041539</c:v>
                </c:pt>
                <c:pt idx="113">
                  <c:v>74.730043881041539</c:v>
                </c:pt>
                <c:pt idx="114">
                  <c:v>74.730043881041539</c:v>
                </c:pt>
                <c:pt idx="115">
                  <c:v>74.730043881041539</c:v>
                </c:pt>
                <c:pt idx="116">
                  <c:v>74.730043881041539</c:v>
                </c:pt>
                <c:pt idx="117">
                  <c:v>74.730043881041539</c:v>
                </c:pt>
                <c:pt idx="118">
                  <c:v>74.730043881041539</c:v>
                </c:pt>
                <c:pt idx="119">
                  <c:v>74.730043881041539</c:v>
                </c:pt>
                <c:pt idx="120">
                  <c:v>74.730043881041539</c:v>
                </c:pt>
                <c:pt idx="121">
                  <c:v>74.730043881041539</c:v>
                </c:pt>
                <c:pt idx="122">
                  <c:v>74.730043881041539</c:v>
                </c:pt>
                <c:pt idx="123">
                  <c:v>74.730043881041539</c:v>
                </c:pt>
                <c:pt idx="124">
                  <c:v>74.730043881041539</c:v>
                </c:pt>
                <c:pt idx="125">
                  <c:v>74.730043881041539</c:v>
                </c:pt>
                <c:pt idx="126">
                  <c:v>74.730043881041539</c:v>
                </c:pt>
                <c:pt idx="127">
                  <c:v>74.730043881041539</c:v>
                </c:pt>
                <c:pt idx="128">
                  <c:v>74.730043881041539</c:v>
                </c:pt>
                <c:pt idx="129">
                  <c:v>74.730043881041539</c:v>
                </c:pt>
                <c:pt idx="130">
                  <c:v>74.730043881041539</c:v>
                </c:pt>
                <c:pt idx="131">
                  <c:v>74.730043881041539</c:v>
                </c:pt>
                <c:pt idx="132">
                  <c:v>74.730043881041539</c:v>
                </c:pt>
                <c:pt idx="133">
                  <c:v>74.730043881041539</c:v>
                </c:pt>
                <c:pt idx="134">
                  <c:v>74.730043881041539</c:v>
                </c:pt>
                <c:pt idx="135">
                  <c:v>74.730043881041539</c:v>
                </c:pt>
                <c:pt idx="136">
                  <c:v>74.730043881041539</c:v>
                </c:pt>
                <c:pt idx="137">
                  <c:v>74.730043881041539</c:v>
                </c:pt>
                <c:pt idx="138">
                  <c:v>74.730043881041539</c:v>
                </c:pt>
                <c:pt idx="139">
                  <c:v>74.730043881041539</c:v>
                </c:pt>
                <c:pt idx="140">
                  <c:v>74.730043881041539</c:v>
                </c:pt>
                <c:pt idx="141">
                  <c:v>74.730043881041539</c:v>
                </c:pt>
                <c:pt idx="142">
                  <c:v>74.730043881041539</c:v>
                </c:pt>
                <c:pt idx="143">
                  <c:v>74.730043881041539</c:v>
                </c:pt>
                <c:pt idx="144">
                  <c:v>74.730043881041539</c:v>
                </c:pt>
                <c:pt idx="145">
                  <c:v>74.730043881041539</c:v>
                </c:pt>
                <c:pt idx="146">
                  <c:v>74.730043881041539</c:v>
                </c:pt>
                <c:pt idx="147">
                  <c:v>74.730043881041539</c:v>
                </c:pt>
                <c:pt idx="148">
                  <c:v>74.730043881041539</c:v>
                </c:pt>
                <c:pt idx="149">
                  <c:v>74.730043881041539</c:v>
                </c:pt>
                <c:pt idx="150">
                  <c:v>74.730043881041539</c:v>
                </c:pt>
                <c:pt idx="151">
                  <c:v>74.730043881041539</c:v>
                </c:pt>
                <c:pt idx="152">
                  <c:v>74.730043881041539</c:v>
                </c:pt>
                <c:pt idx="153">
                  <c:v>74.730043881041539</c:v>
                </c:pt>
                <c:pt idx="154">
                  <c:v>74.730043881041539</c:v>
                </c:pt>
                <c:pt idx="155">
                  <c:v>74.730043881041539</c:v>
                </c:pt>
                <c:pt idx="156">
                  <c:v>74.730043881041539</c:v>
                </c:pt>
                <c:pt idx="157">
                  <c:v>74.730043881041539</c:v>
                </c:pt>
                <c:pt idx="158">
                  <c:v>74.730043881041539</c:v>
                </c:pt>
                <c:pt idx="159">
                  <c:v>74.730043881041539</c:v>
                </c:pt>
                <c:pt idx="160">
                  <c:v>74.730043881041539</c:v>
                </c:pt>
                <c:pt idx="161">
                  <c:v>74.730043881041539</c:v>
                </c:pt>
                <c:pt idx="162">
                  <c:v>74.730043881041539</c:v>
                </c:pt>
                <c:pt idx="163">
                  <c:v>74.730043881041539</c:v>
                </c:pt>
                <c:pt idx="164">
                  <c:v>74.730043881041539</c:v>
                </c:pt>
                <c:pt idx="165">
                  <c:v>74.730043881041539</c:v>
                </c:pt>
                <c:pt idx="166">
                  <c:v>74.730043881041539</c:v>
                </c:pt>
                <c:pt idx="167">
                  <c:v>74.730043881041539</c:v>
                </c:pt>
                <c:pt idx="168">
                  <c:v>74.730043881041539</c:v>
                </c:pt>
                <c:pt idx="169">
                  <c:v>74.730043881041539</c:v>
                </c:pt>
                <c:pt idx="170">
                  <c:v>74.730043881041539</c:v>
                </c:pt>
                <c:pt idx="171">
                  <c:v>74.730043881041539</c:v>
                </c:pt>
                <c:pt idx="172">
                  <c:v>74.730043881041539</c:v>
                </c:pt>
                <c:pt idx="173">
                  <c:v>74.730043881041539</c:v>
                </c:pt>
                <c:pt idx="174">
                  <c:v>74.730043881041539</c:v>
                </c:pt>
                <c:pt idx="175">
                  <c:v>74.730043881041539</c:v>
                </c:pt>
                <c:pt idx="176">
                  <c:v>74.730043881041539</c:v>
                </c:pt>
                <c:pt idx="177">
                  <c:v>74.730043881041539</c:v>
                </c:pt>
                <c:pt idx="178">
                  <c:v>74.730043881041539</c:v>
                </c:pt>
                <c:pt idx="179">
                  <c:v>74.730043881041539</c:v>
                </c:pt>
                <c:pt idx="180">
                  <c:v>74.730043881041539</c:v>
                </c:pt>
                <c:pt idx="181">
                  <c:v>74.730043881041539</c:v>
                </c:pt>
                <c:pt idx="182">
                  <c:v>74.730043881041539</c:v>
                </c:pt>
                <c:pt idx="183">
                  <c:v>74.730043881041539</c:v>
                </c:pt>
                <c:pt idx="184">
                  <c:v>74.730043881041539</c:v>
                </c:pt>
                <c:pt idx="185">
                  <c:v>74.730043881041539</c:v>
                </c:pt>
                <c:pt idx="186">
                  <c:v>74.730043881041539</c:v>
                </c:pt>
                <c:pt idx="187">
                  <c:v>74.730043881041539</c:v>
                </c:pt>
                <c:pt idx="188">
                  <c:v>74.730043881041539</c:v>
                </c:pt>
                <c:pt idx="189">
                  <c:v>74.730043881041539</c:v>
                </c:pt>
                <c:pt idx="190">
                  <c:v>74.730043881041539</c:v>
                </c:pt>
                <c:pt idx="191">
                  <c:v>74.730043881041539</c:v>
                </c:pt>
                <c:pt idx="192">
                  <c:v>74.730043881041539</c:v>
                </c:pt>
                <c:pt idx="193">
                  <c:v>74.730043881041539</c:v>
                </c:pt>
                <c:pt idx="194">
                  <c:v>74.730043881041539</c:v>
                </c:pt>
                <c:pt idx="195">
                  <c:v>74.730043881041539</c:v>
                </c:pt>
                <c:pt idx="196">
                  <c:v>74.730043881041539</c:v>
                </c:pt>
                <c:pt idx="197">
                  <c:v>74.730043881041539</c:v>
                </c:pt>
                <c:pt idx="198">
                  <c:v>74.730043881041539</c:v>
                </c:pt>
                <c:pt idx="199">
                  <c:v>74.730043881041539</c:v>
                </c:pt>
                <c:pt idx="200">
                  <c:v>74.730043881041539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1" sqref="F2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2.2400000000000002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116</v>
      </c>
      <c r="C9" s="32">
        <v>1</v>
      </c>
      <c r="D9" s="33">
        <f t="shared" ref="D9:D18" si="0">C9*$C$5</f>
        <v>2.2400000000000002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2.2400000000000002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Polargo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20</v>
      </c>
      <c r="B36" s="258">
        <v>383</v>
      </c>
      <c r="C36" s="258">
        <v>1</v>
      </c>
      <c r="D36" s="259">
        <v>314</v>
      </c>
      <c r="E36" s="260">
        <v>0.75</v>
      </c>
      <c r="F36" s="260">
        <v>0.2</v>
      </c>
      <c r="G36" s="260">
        <v>0</v>
      </c>
      <c r="H36" s="260">
        <v>0.05</v>
      </c>
      <c r="I36" s="49">
        <f>IFERROR(B36/A36,"")</f>
        <v>19.149999999999999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/>
      <c r="B37" s="262"/>
      <c r="C37" s="262"/>
      <c r="D37" s="262"/>
      <c r="E37" s="263"/>
      <c r="F37" s="263"/>
      <c r="G37" s="263"/>
      <c r="H37" s="263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/>
      <c r="B38" s="262"/>
      <c r="C38" s="262"/>
      <c r="D38" s="262"/>
      <c r="E38" s="263"/>
      <c r="F38" s="263"/>
      <c r="G38" s="263"/>
      <c r="H38" s="263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/>
      <c r="B39" s="262"/>
      <c r="C39" s="262"/>
      <c r="D39" s="262"/>
      <c r="E39" s="263"/>
      <c r="F39" s="263"/>
      <c r="G39" s="263"/>
      <c r="H39" s="263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/>
      <c r="B40" s="262"/>
      <c r="C40" s="262"/>
      <c r="D40" s="262"/>
      <c r="E40" s="263"/>
      <c r="F40" s="263"/>
      <c r="G40" s="263"/>
      <c r="H40" s="263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0" sqref="G20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Peuplier Polargo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/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87.176473494358277</v>
      </c>
      <c r="T3" s="59">
        <f>IF('Données projet'!E9&gt;30,$R$33-$H$33,LOOKUP('Données projet'!$E$9,$A$3:$A$203,R3:R203)-LOOKUP('Données projet'!$E$9,$A$3:$A$203,$H$3:$H$203))</f>
        <v>421.63096176860864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19.149999999999999</v>
      </c>
      <c r="N4" s="13">
        <f>IF('Données projet'!$A$36&gt;35,N3+M4-V3,IF(A4&lt;'Données projet'!$A$36,$K$205^A4,IF(A4='Données projet'!$A$36,'Données projet'!$B$36,N3+M4-V3)))</f>
        <v>1.3463560886402173</v>
      </c>
      <c r="O4" s="13">
        <f>N4*VLOOKUP('Données projet'!$B$9,Paramètres!$A$1:$I$89,3,0)*VLOOKUP('Données projet'!$B$9,Paramètres!$A$1:$I$89,5,0)</f>
        <v>0.64059622697501539</v>
      </c>
      <c r="P4" s="13">
        <f>EXP(-1.0587+0.8836*LN(O4)+0.284)</f>
        <v>0.31092097424149573</v>
      </c>
      <c r="Q4" s="20">
        <f t="shared" ref="Q4:Q34" si="2">(O4+P4)*0.475*44/12</f>
        <v>1.6572257921187568</v>
      </c>
      <c r="R4" s="59">
        <f t="shared" si="0"/>
        <v>259.54611468100762</v>
      </c>
      <c r="S4" s="59">
        <f ca="1">AVERAGE(OFFSET($R$3,0,0,'Données projet'!$E$9+1,1))-AVERAGE(OFFSET($H$3,0,0,'Données projet'!$E$9+1,1))</f>
        <v>87.176473494358277</v>
      </c>
      <c r="T4" s="59">
        <f>$T$3</f>
        <v>421.63096176860864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19.149999999999999</v>
      </c>
      <c r="N5" s="13">
        <f>IF('Données projet'!$A$36&gt;35,N4+M5-V4,IF(A5&lt;'Données projet'!$A$36,$K$205^A5,IF(A5='Données projet'!$A$36,'Données projet'!$B$36,N4+M5-V4)))</f>
        <v>1.8126747174185847</v>
      </c>
      <c r="O5" s="13">
        <f>N5*VLOOKUP('Données projet'!$B$9,Paramètres!$A$1:$I$89,3,0)*VLOOKUP('Données projet'!$B$9,Paramètres!$A$1:$I$89,5,0)</f>
        <v>0.86247063054776263</v>
      </c>
      <c r="P5" s="13">
        <f t="shared" ref="P5:P68" si="33">EXP(-1.0587+0.8836*LN(O5)+0.284)</f>
        <v>0.40436703321942602</v>
      </c>
      <c r="Q5" s="20">
        <f t="shared" si="2"/>
        <v>2.2064089310611865</v>
      </c>
      <c r="R5" s="59">
        <f t="shared" si="0"/>
        <v>261.3175200421723</v>
      </c>
      <c r="S5" s="59">
        <f ca="1">AVERAGE(OFFSET($R$3,0,0,'Données projet'!$E$9+1,1))-AVERAGE(OFFSET($H$3,0,0,'Données projet'!$E$9+1,1))</f>
        <v>87.176473494358277</v>
      </c>
      <c r="T5" s="59">
        <f t="shared" ref="T5:T68" si="34">$T$3</f>
        <v>421.63096176860864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19.149999999999999</v>
      </c>
      <c r="N6" s="13">
        <f>IF('Données projet'!$A$36&gt;35,N5+M6-V5,IF(A6&lt;'Données projet'!$A$36,$K$205^A6,IF(A6='Données projet'!$A$36,'Données projet'!$B$36,N5+M6-V5)))</f>
        <v>2.4405056425206966</v>
      </c>
      <c r="O6" s="13">
        <f>N6*VLOOKUP('Données projet'!$B$9,Paramètres!$A$1:$I$89,3,0)*VLOOKUP('Données projet'!$B$9,Paramètres!$A$1:$I$89,5,0)</f>
        <v>1.1611925847113473</v>
      </c>
      <c r="P6" s="13">
        <f t="shared" si="33"/>
        <v>0.52589793259710504</v>
      </c>
      <c r="Q6" s="20">
        <f t="shared" si="2"/>
        <v>2.9383493176455544</v>
      </c>
      <c r="R6" s="59">
        <f t="shared" si="0"/>
        <v>263.27168265097885</v>
      </c>
      <c r="S6" s="59">
        <f ca="1">AVERAGE(OFFSET($R$3,0,0,'Données projet'!$E$9+1,1))-AVERAGE(OFFSET($H$3,0,0,'Données projet'!$E$9+1,1))</f>
        <v>87.176473494358277</v>
      </c>
      <c r="T6" s="59">
        <f t="shared" si="34"/>
        <v>421.63096176860864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19.149999999999999</v>
      </c>
      <c r="N7" s="13">
        <f>IF('Données projet'!$A$36&gt;35,N6+M7-V6,IF(A7&lt;'Données projet'!$A$36,$K$205^A7,IF(A7='Données projet'!$A$36,'Données projet'!$B$36,N6+M7-V6)))</f>
        <v>3.2857896311685457</v>
      </c>
      <c r="O7" s="13">
        <f>N7*VLOOKUP('Données projet'!$B$9,Paramètres!$A$1:$I$89,3,0)*VLOOKUP('Données projet'!$B$9,Paramètres!$A$1:$I$89,5,0)</f>
        <v>1.563378706509994</v>
      </c>
      <c r="P7" s="13">
        <f t="shared" si="33"/>
        <v>0.68395445916539876</v>
      </c>
      <c r="Q7" s="20">
        <f t="shared" si="2"/>
        <v>3.9141052635513085</v>
      </c>
      <c r="R7" s="59">
        <f t="shared" si="0"/>
        <v>265.46966081910688</v>
      </c>
      <c r="S7" s="59">
        <f ca="1">AVERAGE(OFFSET($R$3,0,0,'Données projet'!$E$9+1,1))-AVERAGE(OFFSET($H$3,0,0,'Données projet'!$E$9+1,1))</f>
        <v>87.176473494358277</v>
      </c>
      <c r="T7" s="59">
        <f t="shared" si="34"/>
        <v>421.63096176860864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19.149999999999999</v>
      </c>
      <c r="N8" s="13">
        <f>IF('Données projet'!$A$36&gt;35,N7+M8-V7,IF(A8&lt;'Données projet'!$A$36,$K$205^A8,IF(A8='Données projet'!$A$36,'Données projet'!$B$36,N7+M8-V7)))</f>
        <v>4.4238428759146657</v>
      </c>
      <c r="O8" s="13">
        <f>N8*VLOOKUP('Données projet'!$B$9,Paramètres!$A$1:$I$89,3,0)*VLOOKUP('Données projet'!$B$9,Paramètres!$A$1:$I$89,5,0)</f>
        <v>2.1048644403601982</v>
      </c>
      <c r="P8" s="13">
        <f t="shared" si="33"/>
        <v>0.88951424452663497</v>
      </c>
      <c r="Q8" s="20">
        <f t="shared" si="2"/>
        <v>5.2152095428445673</v>
      </c>
      <c r="R8" s="59">
        <f t="shared" si="0"/>
        <v>267.99298732062232</v>
      </c>
      <c r="S8" s="59">
        <f ca="1">AVERAGE(OFFSET($R$3,0,0,'Données projet'!$E$9+1,1))-AVERAGE(OFFSET($H$3,0,0,'Données projet'!$E$9+1,1))</f>
        <v>87.176473494358277</v>
      </c>
      <c r="T8" s="59">
        <f t="shared" si="34"/>
        <v>421.63096176860864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19.149999999999999</v>
      </c>
      <c r="N9" s="13">
        <f>IF('Données projet'!$A$36&gt;35,N8+M9-V8,IF(A9&lt;'Données projet'!$A$36,$K$205^A9,IF(A9='Données projet'!$A$36,'Données projet'!$B$36,N8+M9-V8)))</f>
        <v>5.956067791175359</v>
      </c>
      <c r="O9" s="13">
        <f>N9*VLOOKUP('Données projet'!$B$9,Paramètres!$A$1:$I$89,3,0)*VLOOKUP('Données projet'!$B$9,Paramètres!$A$1:$I$89,5,0)</f>
        <v>2.8338970550412359</v>
      </c>
      <c r="P9" s="13">
        <f t="shared" si="33"/>
        <v>1.1568542036867511</v>
      </c>
      <c r="Q9" s="20">
        <f t="shared" si="2"/>
        <v>6.950558442284577</v>
      </c>
      <c r="R9" s="59">
        <f t="shared" si="0"/>
        <v>270.9505584422846</v>
      </c>
      <c r="S9" s="59">
        <f ca="1">AVERAGE(OFFSET($R$3,0,0,'Données projet'!$E$9+1,1))-AVERAGE(OFFSET($H$3,0,0,'Données projet'!$E$9+1,1))</f>
        <v>87.176473494358277</v>
      </c>
      <c r="T9" s="59">
        <f t="shared" si="34"/>
        <v>421.63096176860864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19.149999999999999</v>
      </c>
      <c r="N10" s="13">
        <f>IF('Données projet'!$A$36&gt;35,N9+M10-V9,IF(A10&lt;'Données projet'!$A$36,$K$205^A10,IF(A10='Données projet'!$A$36,'Données projet'!$B$36,N9+M10-V9)))</f>
        <v>8.018988135002834</v>
      </c>
      <c r="O10" s="13">
        <f>N10*VLOOKUP('Données projet'!$B$9,Paramètres!$A$1:$I$89,3,0)*VLOOKUP('Données projet'!$B$9,Paramètres!$A$1:$I$89,5,0)</f>
        <v>3.8154345546343489</v>
      </c>
      <c r="P10" s="13">
        <f t="shared" si="33"/>
        <v>1.5045421215260077</v>
      </c>
      <c r="Q10" s="20">
        <f t="shared" si="2"/>
        <v>9.2656260443126204</v>
      </c>
      <c r="R10" s="59">
        <f t="shared" si="0"/>
        <v>274.48784826653485</v>
      </c>
      <c r="S10" s="59">
        <f ca="1">AVERAGE(OFFSET($R$3,0,0,'Données projet'!$E$9+1,1))-AVERAGE(OFFSET($H$3,0,0,'Données projet'!$E$9+1,1))</f>
        <v>87.176473494358277</v>
      </c>
      <c r="T10" s="59">
        <f t="shared" si="34"/>
        <v>421.63096176860864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19.149999999999999</v>
      </c>
      <c r="N11" s="13">
        <f>IF('Données projet'!$A$36&gt;35,N10+M11-V10,IF(A11&lt;'Données projet'!$A$36,$K$205^A11,IF(A11='Données projet'!$A$36,'Données projet'!$B$36,N10+M11-V10)))</f>
        <v>10.796413500294728</v>
      </c>
      <c r="O11" s="13">
        <f>N11*VLOOKUP('Données projet'!$B$9,Paramètres!$A$1:$I$89,3,0)*VLOOKUP('Données projet'!$B$9,Paramètres!$A$1:$I$89,5,0)</f>
        <v>5.1369335434402315</v>
      </c>
      <c r="P11" s="13">
        <f t="shared" si="33"/>
        <v>1.9567262566294152</v>
      </c>
      <c r="Q11" s="20">
        <f t="shared" si="2"/>
        <v>12.354790818454633</v>
      </c>
      <c r="R11" s="59">
        <f t="shared" si="0"/>
        <v>278.79923526289912</v>
      </c>
      <c r="S11" s="59">
        <f ca="1">AVERAGE(OFFSET($R$3,0,0,'Données projet'!$E$9+1,1))-AVERAGE(OFFSET($H$3,0,0,'Données projet'!$E$9+1,1))</f>
        <v>87.176473494358277</v>
      </c>
      <c r="T11" s="59">
        <f t="shared" si="34"/>
        <v>421.63096176860864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19.149999999999999</v>
      </c>
      <c r="N12" s="13">
        <f>IF('Données projet'!$A$36&gt;35,N11+M12-V11,IF(A12&lt;'Données projet'!$A$36,$K$205^A12,IF(A12='Données projet'!$A$36,'Données projet'!$B$36,N11+M12-V11)))</f>
        <v>14.535817051599247</v>
      </c>
      <c r="O12" s="13">
        <f>N12*VLOOKUP('Données projet'!$B$9,Paramètres!$A$1:$I$89,3,0)*VLOOKUP('Données projet'!$B$9,Paramètres!$A$1:$I$89,5,0)</f>
        <v>6.9161417531509217</v>
      </c>
      <c r="P12" s="13">
        <f t="shared" si="33"/>
        <v>2.5448125304059692</v>
      </c>
      <c r="Q12" s="20">
        <f t="shared" si="2"/>
        <v>16.47782871052825</v>
      </c>
      <c r="R12" s="59">
        <f t="shared" si="0"/>
        <v>284.14449537719491</v>
      </c>
      <c r="S12" s="59">
        <f ca="1">AVERAGE(OFFSET($R$3,0,0,'Données projet'!$E$9+1,1))-AVERAGE(OFFSET($H$3,0,0,'Données projet'!$E$9+1,1))</f>
        <v>87.176473494358277</v>
      </c>
      <c r="T12" s="59">
        <f t="shared" si="34"/>
        <v>421.63096176860864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19.149999999999999</v>
      </c>
      <c r="N13" s="13">
        <f>IF('Données projet'!$A$36&gt;35,N12+M13-V12,IF(A13&lt;'Données projet'!$A$36,$K$205^A13,IF(A13='Données projet'!$A$36,'Données projet'!$B$36,N12+M13-V12)))</f>
        <v>19.570385790780939</v>
      </c>
      <c r="O13" s="13">
        <f>N13*VLOOKUP('Données projet'!$B$9,Paramètres!$A$1:$I$89,3,0)*VLOOKUP('Données projet'!$B$9,Paramètres!$A$1:$I$89,5,0)</f>
        <v>9.3115895592535711</v>
      </c>
      <c r="P13" s="13">
        <f t="shared" si="33"/>
        <v>3.3096457887096964</v>
      </c>
      <c r="Q13" s="20">
        <f t="shared" si="2"/>
        <v>21.981984897702691</v>
      </c>
      <c r="R13" s="59">
        <f t="shared" si="0"/>
        <v>290.87087378659157</v>
      </c>
      <c r="S13" s="59">
        <f ca="1">AVERAGE(OFFSET($R$3,0,0,'Données projet'!$E$9+1,1))-AVERAGE(OFFSET($H$3,0,0,'Données projet'!$E$9+1,1))</f>
        <v>87.176473494358277</v>
      </c>
      <c r="T13" s="59">
        <f t="shared" si="34"/>
        <v>421.63096176860864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19.149999999999999</v>
      </c>
      <c r="N14" s="13">
        <f>IF('Données projet'!$A$36&gt;35,N13+M14-V13,IF(A14&lt;'Données projet'!$A$36,$K$205^A14,IF(A14='Données projet'!$A$36,'Données projet'!$B$36,N13+M14-V13)))</f>
        <v>26.348708066455906</v>
      </c>
      <c r="O14" s="13">
        <f>N14*VLOOKUP('Données projet'!$B$9,Paramètres!$A$1:$I$89,3,0)*VLOOKUP('Données projet'!$B$9,Paramètres!$A$1:$I$89,5,0)</f>
        <v>12.536715298019718</v>
      </c>
      <c r="P14" s="13">
        <f t="shared" si="33"/>
        <v>4.3043466329428961</v>
      </c>
      <c r="Q14" s="20">
        <f t="shared" si="2"/>
        <v>29.331516196426549</v>
      </c>
      <c r="R14" s="59">
        <f t="shared" si="0"/>
        <v>299.44262730753769</v>
      </c>
      <c r="S14" s="59">
        <f ca="1">AVERAGE(OFFSET($R$3,0,0,'Données projet'!$E$9+1,1))-AVERAGE(OFFSET($H$3,0,0,'Données projet'!$E$9+1,1))</f>
        <v>87.176473494358277</v>
      </c>
      <c r="T14" s="59">
        <f t="shared" si="34"/>
        <v>421.63096176860864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19.149999999999999</v>
      </c>
      <c r="N15" s="13">
        <f>IF('Données projet'!$A$36&gt;35,N14+M15-V14,IF(A15&lt;'Données projet'!$A$36,$K$205^A15,IF(A15='Données projet'!$A$36,'Données projet'!$B$36,N14+M15-V14)))</f>
        <v>35.47474353307652</v>
      </c>
      <c r="O15" s="13">
        <f>N15*VLOOKUP('Données projet'!$B$9,Paramètres!$A$1:$I$89,3,0)*VLOOKUP('Données projet'!$B$9,Paramètres!$A$1:$I$89,5,0)</f>
        <v>16.878882973037808</v>
      </c>
      <c r="P15" s="13">
        <f t="shared" si="33"/>
        <v>5.5980008494353006</v>
      </c>
      <c r="Q15" s="20">
        <f t="shared" si="2"/>
        <v>39.147239324140664</v>
      </c>
      <c r="R15" s="59">
        <f t="shared" si="0"/>
        <v>310.480572657474</v>
      </c>
      <c r="S15" s="59">
        <f ca="1">AVERAGE(OFFSET($R$3,0,0,'Données projet'!$E$9+1,1))-AVERAGE(OFFSET($H$3,0,0,'Données projet'!$E$9+1,1))</f>
        <v>87.176473494358277</v>
      </c>
      <c r="T15" s="59">
        <f t="shared" si="34"/>
        <v>421.63096176860864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19.149999999999999</v>
      </c>
      <c r="N16" s="13">
        <f>IF('Données projet'!$A$36&gt;35,N15+M16-V15,IF(A16&lt;'Données projet'!$A$36,$K$205^A16,IF(A16='Données projet'!$A$36,'Données projet'!$B$36,N15+M16-V15)))</f>
        <v>47.761636948707753</v>
      </c>
      <c r="O16" s="13">
        <f>N16*VLOOKUP('Données projet'!$B$9,Paramètres!$A$1:$I$89,3,0)*VLOOKUP('Données projet'!$B$9,Paramètres!$A$1:$I$89,5,0)</f>
        <v>22.724986860195148</v>
      </c>
      <c r="P16" s="13">
        <f t="shared" si="33"/>
        <v>7.2804576821111473</v>
      </c>
      <c r="Q16" s="20">
        <f t="shared" si="2"/>
        <v>52.259482577850129</v>
      </c>
      <c r="R16" s="59">
        <f t="shared" si="0"/>
        <v>324.81503813340566</v>
      </c>
      <c r="S16" s="59">
        <f ca="1">AVERAGE(OFFSET($R$3,0,0,'Données projet'!$E$9+1,1))-AVERAGE(OFFSET($H$3,0,0,'Données projet'!$E$9+1,1))</f>
        <v>87.176473494358277</v>
      </c>
      <c r="T16" s="59">
        <f t="shared" si="34"/>
        <v>421.63096176860864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19.149999999999999</v>
      </c>
      <c r="N17" s="13">
        <f>IF('Données projet'!$A$36&gt;35,N16+M17-V16,IF(A17&lt;'Données projet'!$A$36,$K$205^A17,IF(A17='Données projet'!$A$36,'Données projet'!$B$36,N16+M17-V16)))</f>
        <v>64.304170709316239</v>
      </c>
      <c r="O17" s="13">
        <f>N17*VLOOKUP('Données projet'!$B$9,Paramètres!$A$1:$I$89,3,0)*VLOOKUP('Données projet'!$B$9,Paramètres!$A$1:$I$89,5,0)</f>
        <v>30.595924423492669</v>
      </c>
      <c r="P17" s="13">
        <f t="shared" si="33"/>
        <v>9.4685702068727107</v>
      </c>
      <c r="Q17" s="20">
        <f t="shared" si="2"/>
        <v>69.77899481455303</v>
      </c>
      <c r="R17" s="59">
        <f t="shared" si="0"/>
        <v>343.55677259233079</v>
      </c>
      <c r="S17" s="59">
        <f ca="1">AVERAGE(OFFSET($R$3,0,0,'Données projet'!$E$9+1,1))-AVERAGE(OFFSET($H$3,0,0,'Données projet'!$E$9+1,1))</f>
        <v>87.176473494358277</v>
      </c>
      <c r="T17" s="59">
        <f t="shared" si="34"/>
        <v>421.63096176860864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19.149999999999999</v>
      </c>
      <c r="N18" s="13">
        <f>IF('Données projet'!$A$36&gt;35,N17+M18-V17,IF(A18&lt;'Données projet'!$A$36,$K$205^A18,IF(A18='Données projet'!$A$36,'Données projet'!$B$36,N17+M18-V17)))</f>
        <v>86.576311759447833</v>
      </c>
      <c r="O18" s="13">
        <f>N18*VLOOKUP('Données projet'!$B$9,Paramètres!$A$1:$I$89,3,0)*VLOOKUP('Données projet'!$B$9,Paramètres!$A$1:$I$89,5,0)</f>
        <v>41.193009135145282</v>
      </c>
      <c r="P18" s="13">
        <f t="shared" si="33"/>
        <v>12.314311225620663</v>
      </c>
      <c r="Q18" s="20">
        <f t="shared" si="2"/>
        <v>93.191916295000681</v>
      </c>
      <c r="R18" s="59">
        <f t="shared" si="0"/>
        <v>368.19191629500068</v>
      </c>
      <c r="S18" s="59">
        <f ca="1">AVERAGE(OFFSET($R$3,0,0,'Données projet'!$E$9+1,1))-AVERAGE(OFFSET($H$3,0,0,'Données projet'!$E$9+1,1))</f>
        <v>87.176473494358277</v>
      </c>
      <c r="T18" s="59">
        <f t="shared" si="34"/>
        <v>421.63096176860864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19.149999999999999</v>
      </c>
      <c r="N19" s="13">
        <f>IF('Données projet'!$A$36&gt;35,N18+M19-V18,IF(A19&lt;'Données projet'!$A$36,$K$205^A19,IF(A19='Données projet'!$A$36,'Données projet'!$B$36,N18+M19-V18)))</f>
        <v>116.56254446934625</v>
      </c>
      <c r="O19" s="13">
        <f>N19*VLOOKUP('Données projet'!$B$9,Paramètres!$A$1:$I$89,3,0)*VLOOKUP('Données projet'!$B$9,Paramètres!$A$1:$I$89,5,0)</f>
        <v>55.460458658514945</v>
      </c>
      <c r="P19" s="13">
        <f t="shared" si="33"/>
        <v>16.015328359859279</v>
      </c>
      <c r="Q19" s="20">
        <f t="shared" si="2"/>
        <v>124.48699572366843</v>
      </c>
      <c r="R19" s="59">
        <f t="shared" si="0"/>
        <v>400.70921794589066</v>
      </c>
      <c r="S19" s="59">
        <f ca="1">AVERAGE(OFFSET($R$3,0,0,'Données projet'!$E$9+1,1))-AVERAGE(OFFSET($H$3,0,0,'Données projet'!$E$9+1,1))</f>
        <v>87.176473494358277</v>
      </c>
      <c r="T19" s="59">
        <f t="shared" si="34"/>
        <v>421.63096176860864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19.149999999999999</v>
      </c>
      <c r="N20" s="13">
        <f>IF('Données projet'!$A$36&gt;35,N19+M20-V19,IF(A20&lt;'Données projet'!$A$36,$K$205^A20,IF(A20='Données projet'!$A$36,'Données projet'!$B$36,N19+M20-V19)))</f>
        <v>156.9346914537004</v>
      </c>
      <c r="O20" s="13">
        <f>N20*VLOOKUP('Données projet'!$B$9,Paramètres!$A$1:$I$89,3,0)*VLOOKUP('Données projet'!$B$9,Paramètres!$A$1:$I$89,5,0)</f>
        <v>74.669526193670649</v>
      </c>
      <c r="P20" s="13">
        <f t="shared" si="33"/>
        <v>20.828671435595066</v>
      </c>
      <c r="Q20" s="20">
        <f t="shared" si="2"/>
        <v>166.32602753763777</v>
      </c>
      <c r="R20" s="59">
        <f t="shared" si="0"/>
        <v>443.7704719820822</v>
      </c>
      <c r="S20" s="59">
        <f ca="1">AVERAGE(OFFSET($R$3,0,0,'Données projet'!$E$9+1,1))-AVERAGE(OFFSET($H$3,0,0,'Données projet'!$E$9+1,1))</f>
        <v>87.176473494358277</v>
      </c>
      <c r="T20" s="59">
        <f t="shared" si="34"/>
        <v>421.63096176860864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19.149999999999999</v>
      </c>
      <c r="N21" s="13">
        <f>IF('Données projet'!$A$36&gt;35,N20+M21-V20,IF(A21&lt;'Données projet'!$A$36,$K$205^A21,IF(A21='Données projet'!$A$36,'Données projet'!$B$36,N20+M21-V20)))</f>
        <v>211.28997735756343</v>
      </c>
      <c r="O21" s="13">
        <f>N21*VLOOKUP('Données projet'!$B$9,Paramètres!$A$1:$I$89,3,0)*VLOOKUP('Données projet'!$B$9,Paramètres!$A$1:$I$89,5,0)</f>
        <v>100.53177122672868</v>
      </c>
      <c r="P21" s="13">
        <f t="shared" si="33"/>
        <v>27.088645579027389</v>
      </c>
      <c r="Q21" s="20">
        <f t="shared" si="2"/>
        <v>222.27222593669183</v>
      </c>
      <c r="R21" s="59">
        <f t="shared" si="0"/>
        <v>500.93889260335851</v>
      </c>
      <c r="S21" s="59">
        <f ca="1">AVERAGE(OFFSET($R$3,0,0,'Données projet'!$E$9+1,1))-AVERAGE(OFFSET($H$3,0,0,'Données projet'!$E$9+1,1))</f>
        <v>87.176473494358277</v>
      </c>
      <c r="T21" s="59">
        <f t="shared" si="34"/>
        <v>421.63096176860864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19.149999999999999</v>
      </c>
      <c r="N22" s="13">
        <f>IF('Données projet'!$A$36&gt;35,N21+M22-V21,IF(A22&lt;'Données projet'!$A$36,$K$205^A22,IF(A22='Données projet'!$A$36,'Données projet'!$B$36,N21+M22-V21)))</f>
        <v>284.47154748400914</v>
      </c>
      <c r="O22" s="13">
        <f>N22*VLOOKUP('Données projet'!$B$9,Paramètres!$A$1:$I$89,3,0)*VLOOKUP('Données projet'!$B$9,Paramètres!$A$1:$I$89,5,0)</f>
        <v>135.35156229289154</v>
      </c>
      <c r="P22" s="13">
        <f t="shared" si="33"/>
        <v>35.230029988957632</v>
      </c>
      <c r="Q22" s="20">
        <f t="shared" si="2"/>
        <v>297.09627322422062</v>
      </c>
      <c r="R22" s="59">
        <f t="shared" si="0"/>
        <v>576.98516211310948</v>
      </c>
      <c r="S22" s="59">
        <f ca="1">AVERAGE(OFFSET($R$3,0,0,'Données projet'!$E$9+1,1))-AVERAGE(OFFSET($H$3,0,0,'Données projet'!$E$9+1,1))</f>
        <v>87.176473494358277</v>
      </c>
      <c r="T22" s="59">
        <f t="shared" si="34"/>
        <v>421.63096176860864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383</v>
      </c>
      <c r="L23" s="12">
        <f>VLOOKUP(A23,'Données projet'!$A$35:$I$55,9,0)</f>
        <v>19.149999999999999</v>
      </c>
      <c r="M23" s="12">
        <f t="array" ref="M23">INDEX(L:L,MIN(IF(ISNUMBER(L23:L219),ROW(L23:L219),"")))</f>
        <v>19.149999999999999</v>
      </c>
      <c r="N23" s="13">
        <f>IF('Données projet'!$A$36&gt;35,N22+M23-V22,IF(A23&lt;'Données projet'!$A$36,$K$205^A23,IF(A23='Données projet'!$A$36,'Données projet'!$B$36,N22+M23-V22)))</f>
        <v>383</v>
      </c>
      <c r="O23" s="13">
        <f>N23*VLOOKUP('Données projet'!$B$9,Paramètres!$A$1:$I$89,3,0)*VLOOKUP('Données projet'!$B$9,Paramètres!$A$1:$I$89,5,0)</f>
        <v>182.23140000000001</v>
      </c>
      <c r="P23" s="13">
        <f t="shared" si="33"/>
        <v>45.818275018658859</v>
      </c>
      <c r="Q23" s="20">
        <f t="shared" si="2"/>
        <v>397.18651732416419</v>
      </c>
      <c r="R23" s="59">
        <f t="shared" si="0"/>
        <v>678.29762843527533</v>
      </c>
      <c r="S23" s="59">
        <f ca="1">AVERAGE(OFFSET($R$3,0,0,'Données projet'!$E$9+1,1))-AVERAGE(OFFSET($H$3,0,0,'Données projet'!$E$9+1,1))</f>
        <v>87.176473494358277</v>
      </c>
      <c r="T23" s="59">
        <f t="shared" si="34"/>
        <v>421.63096176860864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314</v>
      </c>
      <c r="W23" s="16">
        <f>IF(ISNA(VLOOKUP(A23,'Données projet'!$A$35:$I$55,5,0)),0%,VLOOKUP(A23,'Données projet'!$A$35:$I$55,5,0)*VLOOKUP('Données projet'!$B$9,Paramètres!$A$1:$I$89,7,0))</f>
        <v>0.44999999999999996</v>
      </c>
      <c r="X23" s="16">
        <f>IF(ISNA(VLOOKUP(A23,'Données projet'!$A$35:$I$55,6,0)),0%,VLOOKUP(A23,'Données projet'!$A$35:$I$55,6,0)*VLOOKUP('Données projet'!$B$9,Paramètres!$A$1:$I$89,7,0))</f>
        <v>0.12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74.321370570005186</v>
      </c>
      <c r="AA23" s="21">
        <f>EXP(-LN(2)/25)*AA22+(1-EXP(-LN(2)/25))/(LN(2)/25)*Calculateur!V23*Calculateur!X23*VLOOKUP('Données projet'!$B$9,Paramètres!$A$1:$I$89,3,0)*0.475*44/12</f>
        <v>19.740997070775663</v>
      </c>
      <c r="AB23" s="21">
        <f>EXP(-LN(2)/2)*AB22+(1-EXP(-LN(2)/2))/(LN(2)/2)*V23*Y23*VLOOKUP('Données projet'!$B$9,Paramètres!$A$1:$I$89,3,0)*0.475*44/12</f>
        <v>0</v>
      </c>
      <c r="AC23" s="22">
        <f t="shared" si="3"/>
        <v>94.062367640780849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69</v>
      </c>
      <c r="O24" s="13">
        <f>N24*VLOOKUP('Données projet'!$B$9,Paramètres!$A$1:$I$89,3,0)*VLOOKUP('Données projet'!$B$9,Paramètres!$A$1:$I$89,5,0)</f>
        <v>32.830199999999998</v>
      </c>
      <c r="P24" s="13">
        <f t="shared" si="33"/>
        <v>10.077002228349212</v>
      </c>
      <c r="Q24" s="20">
        <f t="shared" si="2"/>
        <v>74.730043881041539</v>
      </c>
      <c r="R24" s="59">
        <f t="shared" si="0"/>
        <v>357.06337721437484</v>
      </c>
      <c r="S24" s="59">
        <f ca="1">AVERAGE(OFFSET($R$3,0,0,'Données projet'!$E$9+1,1))-AVERAGE(OFFSET($H$3,0,0,'Données projet'!$E$9+1,1))</f>
        <v>87.176473494358277</v>
      </c>
      <c r="T24" s="59">
        <f t="shared" si="34"/>
        <v>421.63096176860864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72.863973824687307</v>
      </c>
      <c r="AA24" s="21">
        <f>EXP(-LN(2)/25)*AA23+(1-EXP(-LN(2)/25))/(LN(2)/25)*Calculateur!V24*Calculateur!X24*VLOOKUP('Données projet'!$B$9,Paramètres!$A$1:$I$89,3,0)*0.475*44/12</f>
        <v>19.201178467741386</v>
      </c>
      <c r="AB24" s="21">
        <f>EXP(-LN(2)/2)*AB23+(1-EXP(-LN(2)/2))/(LN(2)/2)*V24*Y24*VLOOKUP('Données projet'!$B$9,Paramètres!$A$1:$I$89,3,0)*0.475*44/12</f>
        <v>0</v>
      </c>
      <c r="AC24" s="22">
        <f t="shared" si="3"/>
        <v>92.065152292428692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69</v>
      </c>
      <c r="O25" s="13">
        <f>N25*VLOOKUP('Données projet'!$B$9,Paramètres!$A$1:$I$89,3,0)*VLOOKUP('Données projet'!$B$9,Paramètres!$A$1:$I$89,5,0)</f>
        <v>32.830199999999998</v>
      </c>
      <c r="P25" s="13">
        <f t="shared" si="33"/>
        <v>10.077002228349212</v>
      </c>
      <c r="Q25" s="20">
        <f t="shared" si="2"/>
        <v>74.730043881041539</v>
      </c>
      <c r="R25" s="59">
        <f t="shared" si="0"/>
        <v>358.28559943659707</v>
      </c>
      <c r="S25" s="59">
        <f ca="1">AVERAGE(OFFSET($R$3,0,0,'Données projet'!$E$9+1,1))-AVERAGE(OFFSET($H$3,0,0,'Données projet'!$E$9+1,1))</f>
        <v>87.176473494358277</v>
      </c>
      <c r="T25" s="59">
        <f t="shared" si="34"/>
        <v>421.63096176860864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71.435155740620871</v>
      </c>
      <c r="AA25" s="21">
        <f>EXP(-LN(2)/25)*AA24+(1-EXP(-LN(2)/25))/(LN(2)/25)*Calculateur!V25*Calculateur!X25*VLOOKUP('Données projet'!$B$9,Paramètres!$A$1:$I$89,3,0)*0.475*44/12</f>
        <v>18.676121232794905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90.111276973415784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69</v>
      </c>
      <c r="O26" s="13">
        <f>N26*VLOOKUP('Données projet'!$B$9,Paramètres!$A$1:$I$89,3,0)*VLOOKUP('Données projet'!$B$9,Paramètres!$A$1:$I$89,5,0)</f>
        <v>32.830199999999998</v>
      </c>
      <c r="P26" s="13">
        <f t="shared" si="33"/>
        <v>10.077002228349212</v>
      </c>
      <c r="Q26" s="20">
        <f t="shared" si="2"/>
        <v>74.730043881041539</v>
      </c>
      <c r="R26" s="59">
        <f t="shared" si="0"/>
        <v>359.5078216588193</v>
      </c>
      <c r="S26" s="59">
        <f ca="1">AVERAGE(OFFSET($R$3,0,0,'Données projet'!$E$9+1,1))-AVERAGE(OFFSET($H$3,0,0,'Données projet'!$E$9+1,1))</f>
        <v>87.176473494358277</v>
      </c>
      <c r="T26" s="59">
        <f t="shared" si="34"/>
        <v>421.63096176860864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70.034355907689999</v>
      </c>
      <c r="AA26" s="21">
        <f>EXP(-LN(2)/25)*AA25+(1-EXP(-LN(2)/25))/(LN(2)/25)*Calculateur!V26*Calculateur!X26*VLOOKUP('Données projet'!$B$9,Paramètres!$A$1:$I$89,3,0)*0.475*44/12</f>
        <v>18.165421715549599</v>
      </c>
      <c r="AB26" s="21">
        <f>EXP(-LN(2)/2)*AB25+(1-EXP(-LN(2)/2))/(LN(2)/2)*V26*Y26*VLOOKUP('Données projet'!$B$9,Paramètres!$A$1:$I$89,3,0)*0.475*44/12</f>
        <v>0</v>
      </c>
      <c r="AC26" s="22">
        <f t="shared" si="3"/>
        <v>88.199777623239598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69</v>
      </c>
      <c r="O27" s="13">
        <f>N27*VLOOKUP('Données projet'!$B$9,Paramètres!$A$1:$I$89,3,0)*VLOOKUP('Données projet'!$B$9,Paramètres!$A$1:$I$89,5,0)</f>
        <v>32.830199999999998</v>
      </c>
      <c r="P27" s="13">
        <f t="shared" si="33"/>
        <v>10.077002228349212</v>
      </c>
      <c r="Q27" s="20">
        <f t="shared" si="2"/>
        <v>74.730043881041539</v>
      </c>
      <c r="R27" s="59">
        <f t="shared" si="0"/>
        <v>360.73004388104152</v>
      </c>
      <c r="S27" s="59">
        <f ca="1">AVERAGE(OFFSET($R$3,0,0,'Données projet'!$E$9+1,1))-AVERAGE(OFFSET($H$3,0,0,'Données projet'!$E$9+1,1))</f>
        <v>87.176473494358277</v>
      </c>
      <c r="T27" s="59">
        <f t="shared" si="34"/>
        <v>421.63096176860864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68.661024905079373</v>
      </c>
      <c r="AA27" s="21">
        <f>EXP(-LN(2)/25)*AA26+(1-EXP(-LN(2)/25))/(LN(2)/25)*Calculateur!V27*Calculateur!X27*VLOOKUP('Données projet'!$B$9,Paramètres!$A$1:$I$89,3,0)*0.475*44/12</f>
        <v>17.668687303459883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86.329712208539263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69</v>
      </c>
      <c r="O28" s="13">
        <f>N28*VLOOKUP('Données projet'!$B$9,Paramètres!$A$1:$I$89,3,0)*VLOOKUP('Données projet'!$B$9,Paramètres!$A$1:$I$89,5,0)</f>
        <v>32.830199999999998</v>
      </c>
      <c r="P28" s="13">
        <f t="shared" si="33"/>
        <v>10.077002228349212</v>
      </c>
      <c r="Q28" s="20">
        <f t="shared" si="2"/>
        <v>74.730043881041539</v>
      </c>
      <c r="R28" s="59">
        <f t="shared" si="0"/>
        <v>361.95226610326375</v>
      </c>
      <c r="S28" s="59">
        <f ca="1">AVERAGE(OFFSET($R$3,0,0,'Données projet'!$E$9+1,1))-AVERAGE(OFFSET($H$3,0,0,'Données projet'!$E$9+1,1))</f>
        <v>87.176473494358277</v>
      </c>
      <c r="T28" s="59">
        <f t="shared" si="34"/>
        <v>421.63096176860864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67.314624085780736</v>
      </c>
      <c r="AA28" s="21">
        <f>EXP(-LN(2)/25)*AA27+(1-EXP(-LN(2)/25))/(LN(2)/25)*Calculateur!V28*Calculateur!X28*VLOOKUP('Données projet'!$B$9,Paramètres!$A$1:$I$89,3,0)*0.475*44/12</f>
        <v>17.185536119990889</v>
      </c>
      <c r="AB28" s="21">
        <f>EXP(-LN(2)/2)*AB27+(1-EXP(-LN(2)/2))/(LN(2)/2)*V28*Y28*VLOOKUP('Données projet'!$B$9,Paramètres!$A$1:$I$89,3,0)*0.475*44/12</f>
        <v>0</v>
      </c>
      <c r="AC28" s="22">
        <f t="shared" si="3"/>
        <v>84.500160205771621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32.830199999999998</v>
      </c>
      <c r="P29" s="13">
        <f t="shared" si="33"/>
        <v>10.077002228349212</v>
      </c>
      <c r="Q29" s="20">
        <f t="shared" si="2"/>
        <v>74.730043881041539</v>
      </c>
      <c r="R29" s="59">
        <f t="shared" si="0"/>
        <v>363.17448832548598</v>
      </c>
      <c r="S29" s="59">
        <f ca="1">AVERAGE(OFFSET($R$3,0,0,'Données projet'!$E$9+1,1))-AVERAGE(OFFSET($H$3,0,0,'Données projet'!$E$9+1,1))</f>
        <v>87.176473494358277</v>
      </c>
      <c r="T29" s="59">
        <f t="shared" si="34"/>
        <v>421.63096176860864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65.994625365325135</v>
      </c>
      <c r="AA29" s="21">
        <f>EXP(-LN(2)/25)*AA28+(1-EXP(-LN(2)/25))/(LN(2)/25)*Calculateur!V29*Calculateur!X29*VLOOKUP('Données projet'!$B$9,Paramètres!$A$1:$I$89,3,0)*0.475*44/12</f>
        <v>16.715596731041671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82.710222096366806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69</v>
      </c>
      <c r="O30" s="13">
        <f>N30*VLOOKUP('Données projet'!$B$9,Paramètres!$A$1:$I$89,3,0)*VLOOKUP('Données projet'!$B$9,Paramètres!$A$1:$I$89,5,0)</f>
        <v>32.830199999999998</v>
      </c>
      <c r="P30" s="13">
        <f t="shared" si="33"/>
        <v>10.077002228349212</v>
      </c>
      <c r="Q30" s="20">
        <f t="shared" si="2"/>
        <v>74.730043881041539</v>
      </c>
      <c r="R30" s="59">
        <f t="shared" si="0"/>
        <v>364.39671054770821</v>
      </c>
      <c r="S30" s="59">
        <f ca="1">AVERAGE(OFFSET($R$3,0,0,'Données projet'!$E$9+1,1))-AVERAGE(OFFSET($H$3,0,0,'Données projet'!$E$9+1,1))</f>
        <v>87.176473494358277</v>
      </c>
      <c r="T30" s="59">
        <f t="shared" si="34"/>
        <v>421.63096176860864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64.700511014657948</v>
      </c>
      <c r="AA30" s="21">
        <f>EXP(-LN(2)/25)*AA29+(1-EXP(-LN(2)/25))/(LN(2)/25)*Calculateur!V30*Calculateur!X30*VLOOKUP('Données projet'!$B$9,Paramètres!$A$1:$I$89,3,0)*0.475*44/12</f>
        <v>16.25850785939631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80.959018874054266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69</v>
      </c>
      <c r="O31" s="13">
        <f>N31*VLOOKUP('Données projet'!$B$9,Paramètres!$A$1:$I$89,3,0)*VLOOKUP('Données projet'!$B$9,Paramètres!$A$1:$I$89,5,0)</f>
        <v>32.830199999999998</v>
      </c>
      <c r="P31" s="13">
        <f t="shared" si="33"/>
        <v>10.077002228349212</v>
      </c>
      <c r="Q31" s="20">
        <f t="shared" si="2"/>
        <v>74.730043881041539</v>
      </c>
      <c r="R31" s="59">
        <f t="shared" si="0"/>
        <v>365.61893276993038</v>
      </c>
      <c r="S31" s="59">
        <f ca="1">AVERAGE(OFFSET($R$3,0,0,'Données projet'!$E$9+1,1))-AVERAGE(OFFSET($H$3,0,0,'Données projet'!$E$9+1,1))</f>
        <v>87.176473494358277</v>
      </c>
      <c r="T31" s="59">
        <f t="shared" si="34"/>
        <v>421.63096176860864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63.431773457075536</v>
      </c>
      <c r="AA31" s="21">
        <f>EXP(-LN(2)/25)*AA30+(1-EXP(-LN(2)/25))/(LN(2)/25)*Calculateur!V31*Calculateur!X31*VLOOKUP('Données projet'!$B$9,Paramètres!$A$1:$I$89,3,0)*0.475*44/12</f>
        <v>15.813918106983349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79.245691564058887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69</v>
      </c>
      <c r="O32" s="13">
        <f>N32*VLOOKUP('Données projet'!$B$9,Paramètres!$A$1:$I$89,3,0)*VLOOKUP('Données projet'!$B$9,Paramètres!$A$1:$I$89,5,0)</f>
        <v>32.830199999999998</v>
      </c>
      <c r="P32" s="13">
        <f t="shared" si="33"/>
        <v>10.077002228349212</v>
      </c>
      <c r="Q32" s="20">
        <f t="shared" si="2"/>
        <v>74.730043881041539</v>
      </c>
      <c r="R32" s="59">
        <f t="shared" si="0"/>
        <v>366.84115499215267</v>
      </c>
      <c r="S32" s="59">
        <f ca="1">AVERAGE(OFFSET($R$3,0,0,'Données projet'!$E$9+1,1))-AVERAGE(OFFSET($H$3,0,0,'Données projet'!$E$9+1,1))</f>
        <v>87.176473494358277</v>
      </c>
      <c r="T32" s="59">
        <f t="shared" si="34"/>
        <v>421.63096176860864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62.18791506914382</v>
      </c>
      <c r="AA32" s="21">
        <f>EXP(-LN(2)/25)*AA31+(1-EXP(-LN(2)/25))/(LN(2)/25)*Calculateur!V32*Calculateur!X32*VLOOKUP('Données projet'!$B$9,Paramètres!$A$1:$I$89,3,0)*0.475*44/12</f>
        <v>15.38148568473008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77.569400753873907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69</v>
      </c>
      <c r="O33" s="13">
        <f>N33*VLOOKUP('Données projet'!$B$9,Paramètres!$A$1:$I$89,3,0)*VLOOKUP('Données projet'!$B$9,Paramètres!$A$1:$I$89,5,0)</f>
        <v>32.830199999999998</v>
      </c>
      <c r="P33" s="13">
        <f t="shared" si="33"/>
        <v>10.077002228349212</v>
      </c>
      <c r="Q33" s="20">
        <f t="shared" si="2"/>
        <v>74.730043881041539</v>
      </c>
      <c r="R33" s="59">
        <f t="shared" si="0"/>
        <v>368.06337721437484</v>
      </c>
      <c r="S33" s="59">
        <f ca="1">AVERAGE(OFFSET($R$3,0,0,'Données projet'!$E$9+1,1))-AVERAGE(OFFSET($H$3,0,0,'Données projet'!$E$9+1,1))</f>
        <v>87.176473494358277</v>
      </c>
      <c r="T33" s="59">
        <f t="shared" si="34"/>
        <v>421.63096176860864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60.96844798552074</v>
      </c>
      <c r="AA33" s="21">
        <f>EXP(-LN(2)/25)*AA32+(1-EXP(-LN(2)/25))/(LN(2)/25)*Calculateur!V33*Calculateur!X33*VLOOKUP('Données projet'!$B$9,Paramètres!$A$1:$I$89,3,0)*0.475*44/12</f>
        <v>14.960878149803959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75.9293261353247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69</v>
      </c>
      <c r="O34" s="13">
        <f>N34*VLOOKUP('Données projet'!$B$9,Paramètres!$A$1:$I$89,3,0)*VLOOKUP('Données projet'!$B$9,Paramètres!$A$1:$I$89,5,0)</f>
        <v>32.830199999999998</v>
      </c>
      <c r="P34" s="13">
        <f t="shared" si="33"/>
        <v>10.077002228349212</v>
      </c>
      <c r="Q34" s="20">
        <f t="shared" si="2"/>
        <v>74.730043881041539</v>
      </c>
      <c r="R34" s="59">
        <f t="shared" si="0"/>
        <v>368.06337721437484</v>
      </c>
      <c r="S34" s="59">
        <f ca="1">AVERAGE(OFFSET($R$3,0,0,'Données projet'!$E$9+1,1))-AVERAGE(OFFSET($H$3,0,0,'Données projet'!$E$9+1,1))</f>
        <v>87.176473494358277</v>
      </c>
      <c r="T34" s="59">
        <f t="shared" si="34"/>
        <v>421.63096176860864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59.772893907606033</v>
      </c>
      <c r="AA34" s="21">
        <f>EXP(-LN(2)/25)*AA33+(1-EXP(-LN(2)/25))/(LN(2)/25)*Calculateur!V34*Calculateur!X34*VLOOKUP('Données projet'!$B$9,Paramètres!$A$1:$I$89,3,0)*0.475*44/12</f>
        <v>14.551772150039181</v>
      </c>
      <c r="AB34" s="21">
        <f>EXP(-LN(2)/2)*AB33+(1-EXP(-LN(2)/2))/(LN(2)/2)*V34*Y34*VLOOKUP('Données projet'!$B$9,Paramètres!$A$1:$I$89,3,0)*0.475*44/12</f>
        <v>0</v>
      </c>
      <c r="AC34" s="22">
        <f t="shared" si="3"/>
        <v>74.324666057645217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69</v>
      </c>
      <c r="O35" s="13">
        <f>N35*VLOOKUP('Données projet'!$B$9,Paramètres!$A$1:$I$89,3,0)*VLOOKUP('Données projet'!$B$9,Paramètres!$A$1:$I$89,5,0)</f>
        <v>32.830199999999998</v>
      </c>
      <c r="P35" s="13">
        <f t="shared" si="33"/>
        <v>10.077002228349212</v>
      </c>
      <c r="Q35" s="20">
        <f t="shared" ref="Q35:Q66" si="53">(O35+P35)*0.475*44/12</f>
        <v>74.730043881041539</v>
      </c>
      <c r="R35" s="59">
        <f t="shared" si="0"/>
        <v>368.06337721437484</v>
      </c>
      <c r="S35" s="59">
        <f ca="1">AVERAGE(OFFSET($R$3,0,0,'Données projet'!$E$9+1,1))-AVERAGE(OFFSET($H$3,0,0,'Données projet'!$E$9+1,1))</f>
        <v>87.176473494358277</v>
      </c>
      <c r="T35" s="59">
        <f t="shared" si="34"/>
        <v>421.63096176860864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58.600783915943246</v>
      </c>
      <c r="AA35" s="21">
        <f>EXP(-LN(2)/25)*AA34+(1-EXP(-LN(2)/25))/(LN(2)/25)*Calculateur!V35*Calculateur!X35*VLOOKUP('Données projet'!$B$9,Paramètres!$A$1:$I$89,3,0)*0.475*44/12</f>
        <v>14.153853175351921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72.754637091295166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69</v>
      </c>
      <c r="O36" s="13">
        <f>N36*VLOOKUP('Données projet'!$B$9,Paramètres!$A$1:$I$89,3,0)*VLOOKUP('Données projet'!$B$9,Paramètres!$A$1:$I$89,5,0)</f>
        <v>32.830199999999998</v>
      </c>
      <c r="P36" s="13">
        <f t="shared" si="33"/>
        <v>10.077002228349212</v>
      </c>
      <c r="Q36" s="20">
        <f t="shared" si="53"/>
        <v>74.730043881041539</v>
      </c>
      <c r="R36" s="59">
        <f t="shared" si="0"/>
        <v>368.06337721437484</v>
      </c>
      <c r="S36" s="59">
        <f ca="1">AVERAGE(OFFSET($R$3,0,0,'Données projet'!$E$9+1,1))-AVERAGE(OFFSET($H$3,0,0,'Données projet'!$E$9+1,1))</f>
        <v>87.176473494358277</v>
      </c>
      <c r="T36" s="59">
        <f t="shared" si="34"/>
        <v>421.63096176860864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57.451658286300464</v>
      </c>
      <c r="AA36" s="21">
        <f>EXP(-LN(2)/25)*AA35+(1-EXP(-LN(2)/25))/(LN(2)/25)*Calculateur!V36*Calculateur!X36*VLOOKUP('Données projet'!$B$9,Paramètres!$A$1:$I$89,3,0)*0.475*44/12</f>
        <v>13.766815315953133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71.218473602253596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69</v>
      </c>
      <c r="O37" s="13">
        <f>N37*VLOOKUP('Données projet'!$B$9,Paramètres!$A$1:$I$89,3,0)*VLOOKUP('Données projet'!$B$9,Paramètres!$A$1:$I$89,5,0)</f>
        <v>32.830199999999998</v>
      </c>
      <c r="P37" s="13">
        <f t="shared" si="33"/>
        <v>10.077002228349212</v>
      </c>
      <c r="Q37" s="20">
        <f t="shared" si="53"/>
        <v>74.730043881041539</v>
      </c>
      <c r="R37" s="59">
        <f t="shared" si="0"/>
        <v>368.06337721437484</v>
      </c>
      <c r="S37" s="59">
        <f ca="1">AVERAGE(OFFSET($R$3,0,0,'Données projet'!$E$9+1,1))-AVERAGE(OFFSET($H$3,0,0,'Données projet'!$E$9+1,1))</f>
        <v>87.176473494358277</v>
      </c>
      <c r="T37" s="59">
        <f t="shared" si="34"/>
        <v>421.63096176860864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56.325066309357553</v>
      </c>
      <c r="AA37" s="21">
        <f>EXP(-LN(2)/25)*AA36+(1-EXP(-LN(2)/25))/(LN(2)/25)*Calculateur!V37*Calculateur!X37*VLOOKUP('Données projet'!$B$9,Paramètres!$A$1:$I$89,3,0)*0.475*44/12</f>
        <v>13.390361027173041</v>
      </c>
      <c r="AB37" s="21">
        <f>EXP(-LN(2)/2)*AB36+(1-EXP(-LN(2)/2))/(LN(2)/2)*V37*Y37*VLOOKUP('Données projet'!$B$9,Paramètres!$A$1:$I$89,3,0)*0.475*44/12</f>
        <v>0</v>
      </c>
      <c r="AC37" s="22">
        <f t="shared" si="3"/>
        <v>69.715427336530595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69</v>
      </c>
      <c r="O38" s="13">
        <f>N38*VLOOKUP('Données projet'!$B$9,Paramètres!$A$1:$I$89,3,0)*VLOOKUP('Données projet'!$B$9,Paramètres!$A$1:$I$89,5,0)</f>
        <v>32.830199999999998</v>
      </c>
      <c r="P38" s="13">
        <f t="shared" si="33"/>
        <v>10.077002228349212</v>
      </c>
      <c r="Q38" s="20">
        <f t="shared" si="53"/>
        <v>74.730043881041539</v>
      </c>
      <c r="R38" s="59">
        <f t="shared" si="0"/>
        <v>368.06337721437484</v>
      </c>
      <c r="S38" s="59">
        <f ca="1">AVERAGE(OFFSET($R$3,0,0,'Données projet'!$E$9+1,1))-AVERAGE(OFFSET($H$3,0,0,'Données projet'!$E$9+1,1))</f>
        <v>87.176473494358277</v>
      </c>
      <c r="T38" s="59">
        <f t="shared" si="34"/>
        <v>421.63096176860864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55.220566113929237</v>
      </c>
      <c r="AA38" s="21">
        <f>EXP(-LN(2)/25)*AA37+(1-EXP(-LN(2)/25))/(LN(2)/25)*Calculateur!V38*Calculateur!X38*VLOOKUP('Données projet'!$B$9,Paramètres!$A$1:$I$89,3,0)*0.475*44/12</f>
        <v>13.024200900716512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68.244767014645745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69</v>
      </c>
      <c r="O39" s="13">
        <f>N39*VLOOKUP('Données projet'!$B$9,Paramètres!$A$1:$I$89,3,0)*VLOOKUP('Données projet'!$B$9,Paramètres!$A$1:$I$89,5,0)</f>
        <v>32.830199999999998</v>
      </c>
      <c r="P39" s="13">
        <f t="shared" si="33"/>
        <v>10.077002228349212</v>
      </c>
      <c r="Q39" s="20">
        <f t="shared" si="53"/>
        <v>74.730043881041539</v>
      </c>
      <c r="R39" s="59">
        <f t="shared" si="0"/>
        <v>368.06337721437484</v>
      </c>
      <c r="S39" s="59">
        <f ca="1">AVERAGE(OFFSET($R$3,0,0,'Données projet'!$E$9+1,1))-AVERAGE(OFFSET($H$3,0,0,'Données projet'!$E$9+1,1))</f>
        <v>87.176473494358277</v>
      </c>
      <c r="T39" s="59">
        <f t="shared" si="34"/>
        <v>421.63096176860864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54.137724493654673</v>
      </c>
      <c r="AA39" s="21">
        <f>EXP(-LN(2)/25)*AA38+(1-EXP(-LN(2)/25))/(LN(2)/25)*Calculateur!V39*Calculateur!X39*VLOOKUP('Données projet'!$B$9,Paramètres!$A$1:$I$89,3,0)*0.475*44/12</f>
        <v>12.668053442173461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66.805777935828132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69</v>
      </c>
      <c r="O40" s="13">
        <f>N40*VLOOKUP('Données projet'!$B$9,Paramètres!$A$1:$I$89,3,0)*VLOOKUP('Données projet'!$B$9,Paramètres!$A$1:$I$89,5,0)</f>
        <v>32.830199999999998</v>
      </c>
      <c r="P40" s="13">
        <f t="shared" si="33"/>
        <v>10.077002228349212</v>
      </c>
      <c r="Q40" s="20">
        <f t="shared" si="53"/>
        <v>74.730043881041539</v>
      </c>
      <c r="R40" s="59">
        <f t="shared" si="0"/>
        <v>368.06337721437484</v>
      </c>
      <c r="S40" s="59">
        <f ca="1">AVERAGE(OFFSET($R$3,0,0,'Données projet'!$E$9+1,1))-AVERAGE(OFFSET($H$3,0,0,'Données projet'!$E$9+1,1))</f>
        <v>87.176473494358277</v>
      </c>
      <c r="T40" s="59">
        <f t="shared" si="34"/>
        <v>421.63096176860864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53.07611673708552</v>
      </c>
      <c r="AA40" s="21">
        <f>EXP(-LN(2)/25)*AA39+(1-EXP(-LN(2)/25))/(LN(2)/25)*Calculateur!V40*Calculateur!X40*VLOOKUP('Données projet'!$B$9,Paramètres!$A$1:$I$89,3,0)*0.475*44/12</f>
        <v>12.32164485461325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65.397761591698767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69</v>
      </c>
      <c r="O41" s="13">
        <f>N41*VLOOKUP('Données projet'!$B$9,Paramètres!$A$1:$I$89,3,0)*VLOOKUP('Données projet'!$B$9,Paramètres!$A$1:$I$89,5,0)</f>
        <v>32.830199999999998</v>
      </c>
      <c r="P41" s="13">
        <f t="shared" si="33"/>
        <v>10.077002228349212</v>
      </c>
      <c r="Q41" s="20">
        <f t="shared" si="53"/>
        <v>74.730043881041539</v>
      </c>
      <c r="R41" s="59">
        <f t="shared" si="0"/>
        <v>368.06337721437484</v>
      </c>
      <c r="S41" s="59">
        <f ca="1">AVERAGE(OFFSET($R$3,0,0,'Données projet'!$E$9+1,1))-AVERAGE(OFFSET($H$3,0,0,'Données projet'!$E$9+1,1))</f>
        <v>87.176473494358277</v>
      </c>
      <c r="T41" s="59">
        <f t="shared" si="34"/>
        <v>421.63096176860864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52.035326461105889</v>
      </c>
      <c r="AA41" s="21">
        <f>EXP(-LN(2)/25)*AA40+(1-EXP(-LN(2)/25))/(LN(2)/25)*Calculateur!V41*Calculateur!X41*VLOOKUP('Données projet'!$B$9,Paramètres!$A$1:$I$89,3,0)*0.475*44/12</f>
        <v>11.984708828096709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64.020035289202596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69</v>
      </c>
      <c r="O42" s="13">
        <f>N42*VLOOKUP('Données projet'!$B$9,Paramètres!$A$1:$I$89,3,0)*VLOOKUP('Données projet'!$B$9,Paramètres!$A$1:$I$89,5,0)</f>
        <v>32.830199999999998</v>
      </c>
      <c r="P42" s="13">
        <f t="shared" si="33"/>
        <v>10.077002228349212</v>
      </c>
      <c r="Q42" s="20">
        <f t="shared" si="53"/>
        <v>74.730043881041539</v>
      </c>
      <c r="R42" s="59">
        <f t="shared" si="0"/>
        <v>368.06337721437484</v>
      </c>
      <c r="S42" s="59">
        <f ca="1">AVERAGE(OFFSET($R$3,0,0,'Données projet'!$E$9+1,1))-AVERAGE(OFFSET($H$3,0,0,'Données projet'!$E$9+1,1))</f>
        <v>87.176473494358277</v>
      </c>
      <c r="T42" s="59">
        <f t="shared" si="34"/>
        <v>421.63096176860864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51.014945447618835</v>
      </c>
      <c r="AA42" s="21">
        <f>EXP(-LN(2)/25)*AA41+(1-EXP(-LN(2)/25))/(LN(2)/25)*Calculateur!V42*Calculateur!X42*VLOOKUP('Données projet'!$B$9,Paramètres!$A$1:$I$89,3,0)*0.475*44/12</f>
        <v>11.656986334943959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62.671931782562794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69</v>
      </c>
      <c r="O43" s="13">
        <f>N43*VLOOKUP('Données projet'!$B$9,Paramètres!$A$1:$I$89,3,0)*VLOOKUP('Données projet'!$B$9,Paramètres!$A$1:$I$89,5,0)</f>
        <v>32.830199999999998</v>
      </c>
      <c r="P43" s="13">
        <f t="shared" si="33"/>
        <v>10.077002228349212</v>
      </c>
      <c r="Q43" s="20">
        <f t="shared" si="53"/>
        <v>74.730043881041539</v>
      </c>
      <c r="R43" s="59">
        <f t="shared" si="0"/>
        <v>368.06337721437484</v>
      </c>
      <c r="S43" s="59">
        <f ca="1">AVERAGE(OFFSET($R$3,0,0,'Données projet'!$E$9+1,1))-AVERAGE(OFFSET($H$3,0,0,'Données projet'!$E$9+1,1))</f>
        <v>87.176473494358277</v>
      </c>
      <c r="T43" s="59">
        <f t="shared" si="34"/>
        <v>421.63096176860864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50.014573483435299</v>
      </c>
      <c r="AA43" s="21">
        <f>EXP(-LN(2)/25)*AA42+(1-EXP(-LN(2)/25))/(LN(2)/25)*Calculateur!V43*Calculateur!X43*VLOOKUP('Données projet'!$B$9,Paramètres!$A$1:$I$89,3,0)*0.475*44/12</f>
        <v>11.338225430600648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61.352798914035944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69</v>
      </c>
      <c r="O44" s="13">
        <f>N44*VLOOKUP('Données projet'!$B$9,Paramètres!$A$1:$I$89,3,0)*VLOOKUP('Données projet'!$B$9,Paramètres!$A$1:$I$89,5,0)</f>
        <v>32.830199999999998</v>
      </c>
      <c r="P44" s="13">
        <f t="shared" si="33"/>
        <v>10.077002228349212</v>
      </c>
      <c r="Q44" s="20">
        <f t="shared" si="53"/>
        <v>74.730043881041539</v>
      </c>
      <c r="R44" s="59">
        <f t="shared" si="0"/>
        <v>368.06337721437484</v>
      </c>
      <c r="S44" s="59">
        <f ca="1">AVERAGE(OFFSET($R$3,0,0,'Données projet'!$E$9+1,1))-AVERAGE(OFFSET($H$3,0,0,'Données projet'!$E$9+1,1))</f>
        <v>87.176473494358277</v>
      </c>
      <c r="T44" s="59">
        <f t="shared" si="34"/>
        <v>421.63096176860864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49.033818203302751</v>
      </c>
      <c r="AA44" s="21">
        <f>EXP(-LN(2)/25)*AA43+(1-EXP(-LN(2)/25))/(LN(2)/25)*Calculateur!V44*Calculateur!X44*VLOOKUP('Données projet'!$B$9,Paramètres!$A$1:$I$89,3,0)*0.475*44/12</f>
        <v>11.028181059949512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60.061999263252261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69</v>
      </c>
      <c r="O45" s="13">
        <f>N45*VLOOKUP('Données projet'!$B$9,Paramètres!$A$1:$I$89,3,0)*VLOOKUP('Données projet'!$B$9,Paramètres!$A$1:$I$89,5,0)</f>
        <v>32.830199999999998</v>
      </c>
      <c r="P45" s="13">
        <f t="shared" si="33"/>
        <v>10.077002228349212</v>
      </c>
      <c r="Q45" s="20">
        <f t="shared" si="53"/>
        <v>74.730043881041539</v>
      </c>
      <c r="R45" s="59">
        <f t="shared" si="0"/>
        <v>368.06337721437484</v>
      </c>
      <c r="S45" s="59">
        <f ca="1">AVERAGE(OFFSET($R$3,0,0,'Données projet'!$E$9+1,1))-AVERAGE(OFFSET($H$3,0,0,'Données projet'!$E$9+1,1))</f>
        <v>87.176473494358277</v>
      </c>
      <c r="T45" s="59">
        <f t="shared" si="34"/>
        <v>421.63096176860864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48.07229493601195</v>
      </c>
      <c r="AA45" s="21">
        <f>EXP(-LN(2)/25)*AA44+(1-EXP(-LN(2)/25))/(LN(2)/25)*Calculateur!V45*Calculateur!X45*VLOOKUP('Données projet'!$B$9,Paramètres!$A$1:$I$89,3,0)*0.475*44/12</f>
        <v>10.726614868918356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58.798909804930304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69</v>
      </c>
      <c r="O46" s="13">
        <f>N46*VLOOKUP('Données projet'!$B$9,Paramètres!$A$1:$I$89,3,0)*VLOOKUP('Données projet'!$B$9,Paramètres!$A$1:$I$89,5,0)</f>
        <v>32.830199999999998</v>
      </c>
      <c r="P46" s="13">
        <f t="shared" si="33"/>
        <v>10.077002228349212</v>
      </c>
      <c r="Q46" s="20">
        <f t="shared" si="53"/>
        <v>74.730043881041539</v>
      </c>
      <c r="R46" s="59">
        <f t="shared" si="0"/>
        <v>368.06337721437484</v>
      </c>
      <c r="S46" s="59">
        <f ca="1">AVERAGE(OFFSET($R$3,0,0,'Données projet'!$E$9+1,1))-AVERAGE(OFFSET($H$3,0,0,'Données projet'!$E$9+1,1))</f>
        <v>87.176473494358277</v>
      </c>
      <c r="T46" s="59">
        <f t="shared" si="34"/>
        <v>421.63096176860864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47.12962655352144</v>
      </c>
      <c r="AA46" s="21">
        <f>EXP(-LN(2)/25)*AA45+(1-EXP(-LN(2)/25))/(LN(2)/25)*Calculateur!V46*Calculateur!X46*VLOOKUP('Données projet'!$B$9,Paramètres!$A$1:$I$89,3,0)*0.475*44/12</f>
        <v>10.433295021239623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57.562921574761063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69</v>
      </c>
      <c r="O47" s="13">
        <f>N47*VLOOKUP('Données projet'!$B$9,Paramètres!$A$1:$I$89,3,0)*VLOOKUP('Données projet'!$B$9,Paramètres!$A$1:$I$89,5,0)</f>
        <v>32.830199999999998</v>
      </c>
      <c r="P47" s="13">
        <f t="shared" si="33"/>
        <v>10.077002228349212</v>
      </c>
      <c r="Q47" s="20">
        <f t="shared" si="53"/>
        <v>74.730043881041539</v>
      </c>
      <c r="R47" s="59">
        <f t="shared" si="0"/>
        <v>368.06337721437484</v>
      </c>
      <c r="S47" s="59">
        <f ca="1">AVERAGE(OFFSET($R$3,0,0,'Données projet'!$E$9+1,1))-AVERAGE(OFFSET($H$3,0,0,'Données projet'!$E$9+1,1))</f>
        <v>87.176473494358277</v>
      </c>
      <c r="T47" s="59">
        <f t="shared" si="34"/>
        <v>421.63096176860864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46.205443323040626</v>
      </c>
      <c r="AA47" s="21">
        <f>EXP(-LN(2)/25)*AA46+(1-EXP(-LN(2)/25))/(LN(2)/25)*Calculateur!V47*Calculateur!X47*VLOOKUP('Données projet'!$B$9,Paramètres!$A$1:$I$89,3,0)*0.475*44/12</f>
        <v>10.147996020220686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56.353439343261314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69</v>
      </c>
      <c r="O48" s="13">
        <f>N48*VLOOKUP('Données projet'!$B$9,Paramètres!$A$1:$I$89,3,0)*VLOOKUP('Données projet'!$B$9,Paramètres!$A$1:$I$89,5,0)</f>
        <v>32.830199999999998</v>
      </c>
      <c r="P48" s="13">
        <f t="shared" si="33"/>
        <v>10.077002228349212</v>
      </c>
      <c r="Q48" s="20">
        <f t="shared" si="53"/>
        <v>74.730043881041539</v>
      </c>
      <c r="R48" s="59">
        <f t="shared" si="0"/>
        <v>368.06337721437484</v>
      </c>
      <c r="S48" s="59">
        <f ca="1">AVERAGE(OFFSET($R$3,0,0,'Données projet'!$E$9+1,1))-AVERAGE(OFFSET($H$3,0,0,'Données projet'!$E$9+1,1))</f>
        <v>87.176473494358277</v>
      </c>
      <c r="T48" s="59">
        <f t="shared" si="34"/>
        <v>421.63096176860864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45.29938276201343</v>
      </c>
      <c r="AA48" s="21">
        <f>EXP(-LN(2)/25)*AA47+(1-EXP(-LN(2)/25))/(LN(2)/25)*Calculateur!V48*Calculateur!X48*VLOOKUP('Données projet'!$B$9,Paramètres!$A$1:$I$89,3,0)*0.475*44/12</f>
        <v>9.8704985353878349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55.169881297401261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69</v>
      </c>
      <c r="O49" s="13">
        <f>N49*VLOOKUP('Données projet'!$B$9,Paramètres!$A$1:$I$89,3,0)*VLOOKUP('Données projet'!$B$9,Paramètres!$A$1:$I$89,5,0)</f>
        <v>32.830199999999998</v>
      </c>
      <c r="P49" s="13">
        <f t="shared" si="33"/>
        <v>10.077002228349212</v>
      </c>
      <c r="Q49" s="20">
        <f t="shared" si="53"/>
        <v>74.730043881041539</v>
      </c>
      <c r="R49" s="59">
        <f t="shared" si="0"/>
        <v>368.06337721437484</v>
      </c>
      <c r="S49" s="59">
        <f ca="1">AVERAGE(OFFSET($R$3,0,0,'Données projet'!$E$9+1,1))-AVERAGE(OFFSET($H$3,0,0,'Données projet'!$E$9+1,1))</f>
        <v>87.176473494358277</v>
      </c>
      <c r="T49" s="59">
        <f t="shared" si="34"/>
        <v>421.63096176860864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44.411089495945603</v>
      </c>
      <c r="AA49" s="21">
        <f>EXP(-LN(2)/25)*AA48+(1-EXP(-LN(2)/25))/(LN(2)/25)*Calculateur!V49*Calculateur!X49*VLOOKUP('Données projet'!$B$9,Paramètres!$A$1:$I$89,3,0)*0.475*44/12</f>
        <v>9.6005892338706964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54.011678729816296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69</v>
      </c>
      <c r="O50" s="13">
        <f>N50*VLOOKUP('Données projet'!$B$9,Paramètres!$A$1:$I$89,3,0)*VLOOKUP('Données projet'!$B$9,Paramètres!$A$1:$I$89,5,0)</f>
        <v>32.830199999999998</v>
      </c>
      <c r="P50" s="13">
        <f t="shared" si="33"/>
        <v>10.077002228349212</v>
      </c>
      <c r="Q50" s="20">
        <f t="shared" si="53"/>
        <v>74.730043881041539</v>
      </c>
      <c r="R50" s="59">
        <f t="shared" si="0"/>
        <v>368.06337721437484</v>
      </c>
      <c r="S50" s="59">
        <f ca="1">AVERAGE(OFFSET($R$3,0,0,'Données projet'!$E$9+1,1))-AVERAGE(OFFSET($H$3,0,0,'Données projet'!$E$9+1,1))</f>
        <v>87.176473494358277</v>
      </c>
      <c r="T50" s="59">
        <f t="shared" si="34"/>
        <v>421.63096176860864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43.540215119019976</v>
      </c>
      <c r="AA50" s="21">
        <f>EXP(-LN(2)/25)*AA49+(1-EXP(-LN(2)/25))/(LN(2)/25)*Calculateur!V50*Calculateur!X50*VLOOKUP('Données projet'!$B$9,Paramètres!$A$1:$I$89,3,0)*0.475*44/12</f>
        <v>9.3380606163974562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52.878275735417432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69</v>
      </c>
      <c r="O51" s="13">
        <f>N51*VLOOKUP('Données projet'!$B$9,Paramètres!$A$1:$I$89,3,0)*VLOOKUP('Données projet'!$B$9,Paramètres!$A$1:$I$89,5,0)</f>
        <v>32.830199999999998</v>
      </c>
      <c r="P51" s="13">
        <f t="shared" si="33"/>
        <v>10.077002228349212</v>
      </c>
      <c r="Q51" s="20">
        <f t="shared" si="53"/>
        <v>74.730043881041539</v>
      </c>
      <c r="R51" s="59">
        <f t="shared" si="0"/>
        <v>368.06337721437484</v>
      </c>
      <c r="S51" s="59">
        <f ca="1">AVERAGE(OFFSET($R$3,0,0,'Données projet'!$E$9+1,1))-AVERAGE(OFFSET($H$3,0,0,'Données projet'!$E$9+1,1))</f>
        <v>87.176473494358277</v>
      </c>
      <c r="T51" s="59">
        <f t="shared" si="34"/>
        <v>421.63096176860864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42.686418057444939</v>
      </c>
      <c r="AA51" s="21">
        <f>EXP(-LN(2)/25)*AA50+(1-EXP(-LN(2)/25))/(LN(2)/25)*Calculateur!V51*Calculateur!X51*VLOOKUP('Données projet'!$B$9,Paramètres!$A$1:$I$89,3,0)*0.475*44/12</f>
        <v>9.0827108577748028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51.769128915219738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69</v>
      </c>
      <c r="O52" s="13">
        <f>N52*VLOOKUP('Données projet'!$B$9,Paramètres!$A$1:$I$89,3,0)*VLOOKUP('Données projet'!$B$9,Paramètres!$A$1:$I$89,5,0)</f>
        <v>32.830199999999998</v>
      </c>
      <c r="P52" s="13">
        <f t="shared" si="33"/>
        <v>10.077002228349212</v>
      </c>
      <c r="Q52" s="20">
        <f t="shared" si="53"/>
        <v>74.730043881041539</v>
      </c>
      <c r="R52" s="59">
        <f t="shared" si="0"/>
        <v>368.06337721437484</v>
      </c>
      <c r="S52" s="59">
        <f ca="1">AVERAGE(OFFSET($R$3,0,0,'Données projet'!$E$9+1,1))-AVERAGE(OFFSET($H$3,0,0,'Données projet'!$E$9+1,1))</f>
        <v>87.176473494358277</v>
      </c>
      <c r="T52" s="59">
        <f t="shared" si="34"/>
        <v>421.63096176860864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41.849363435482601</v>
      </c>
      <c r="AA52" s="21">
        <f>EXP(-LN(2)/25)*AA51+(1-EXP(-LN(2)/25))/(LN(2)/25)*Calculateur!V52*Calculateur!X52*VLOOKUP('Données projet'!$B$9,Paramètres!$A$1:$I$89,3,0)*0.475*44/12</f>
        <v>8.8343436517299452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50.683707087212547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69</v>
      </c>
      <c r="O53" s="13">
        <f>N53*VLOOKUP('Données projet'!$B$9,Paramètres!$A$1:$I$89,3,0)*VLOOKUP('Données projet'!$B$9,Paramètres!$A$1:$I$89,5,0)</f>
        <v>32.830199999999998</v>
      </c>
      <c r="P53" s="13">
        <f t="shared" si="33"/>
        <v>10.077002228349212</v>
      </c>
      <c r="Q53" s="20">
        <f t="shared" si="53"/>
        <v>74.730043881041539</v>
      </c>
      <c r="R53" s="59">
        <f t="shared" si="0"/>
        <v>368.06337721437484</v>
      </c>
      <c r="S53" s="59">
        <f ca="1">AVERAGE(OFFSET($R$3,0,0,'Données projet'!$E$9+1,1))-AVERAGE(OFFSET($H$3,0,0,'Données projet'!$E$9+1,1))</f>
        <v>87.176473494358277</v>
      </c>
      <c r="T53" s="59">
        <f t="shared" si="34"/>
        <v>421.63096176860864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41.02872294410404</v>
      </c>
      <c r="AA53" s="21">
        <f>EXP(-LN(2)/25)*AA52+(1-EXP(-LN(2)/25))/(LN(2)/25)*Calculateur!V53*Calculateur!X53*VLOOKUP('Données projet'!$B$9,Paramètres!$A$1:$I$89,3,0)*0.475*44/12</f>
        <v>8.5927680599954481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49.621491004099489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69</v>
      </c>
      <c r="O54" s="13">
        <f>N54*VLOOKUP('Données projet'!$B$9,Paramètres!$A$1:$I$89,3,0)*VLOOKUP('Données projet'!$B$9,Paramètres!$A$1:$I$89,5,0)</f>
        <v>32.830199999999998</v>
      </c>
      <c r="P54" s="13">
        <f t="shared" si="33"/>
        <v>10.077002228349212</v>
      </c>
      <c r="Q54" s="20">
        <f t="shared" si="53"/>
        <v>74.730043881041539</v>
      </c>
      <c r="R54" s="59">
        <f t="shared" si="0"/>
        <v>368.06337721437484</v>
      </c>
      <c r="S54" s="59">
        <f ca="1">AVERAGE(OFFSET($R$3,0,0,'Données projet'!$E$9+1,1))-AVERAGE(OFFSET($H$3,0,0,'Données projet'!$E$9+1,1))</f>
        <v>87.176473494358277</v>
      </c>
      <c r="T54" s="59">
        <f t="shared" si="34"/>
        <v>421.63096176860864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40.22417471222014</v>
      </c>
      <c r="AA54" s="21">
        <f>EXP(-LN(2)/25)*AA53+(1-EXP(-LN(2)/25))/(LN(2)/25)*Calculateur!V54*Calculateur!X54*VLOOKUP('Données projet'!$B$9,Paramètres!$A$1:$I$89,3,0)*0.475*44/12</f>
        <v>8.3577983655208392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48.581973077740983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69</v>
      </c>
      <c r="O55" s="13">
        <f>N55*VLOOKUP('Données projet'!$B$9,Paramètres!$A$1:$I$89,3,0)*VLOOKUP('Données projet'!$B$9,Paramètres!$A$1:$I$89,5,0)</f>
        <v>32.830199999999998</v>
      </c>
      <c r="P55" s="13">
        <f t="shared" si="33"/>
        <v>10.077002228349212</v>
      </c>
      <c r="Q55" s="20">
        <f t="shared" si="53"/>
        <v>74.730043881041539</v>
      </c>
      <c r="R55" s="59">
        <f t="shared" si="0"/>
        <v>368.06337721437484</v>
      </c>
      <c r="S55" s="59">
        <f ca="1">AVERAGE(OFFSET($R$3,0,0,'Données projet'!$E$9+1,1))-AVERAGE(OFFSET($H$3,0,0,'Données projet'!$E$9+1,1))</f>
        <v>87.176473494358277</v>
      </c>
      <c r="T55" s="59">
        <f t="shared" si="34"/>
        <v>421.63096176860864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39.435403180437511</v>
      </c>
      <c r="AA55" s="21">
        <f>EXP(-LN(2)/25)*AA54+(1-EXP(-LN(2)/25))/(LN(2)/25)*Calculateur!V55*Calculateur!X55*VLOOKUP('Données projet'!$B$9,Paramètres!$A$1:$I$89,3,0)*0.475*44/12</f>
        <v>8.129253929698157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47.56465711013567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69</v>
      </c>
      <c r="O56" s="13">
        <f>N56*VLOOKUP('Données projet'!$B$9,Paramètres!$A$1:$I$89,3,0)*VLOOKUP('Données projet'!$B$9,Paramètres!$A$1:$I$89,5,0)</f>
        <v>32.830199999999998</v>
      </c>
      <c r="P56" s="13">
        <f t="shared" si="33"/>
        <v>10.077002228349212</v>
      </c>
      <c r="Q56" s="20">
        <f t="shared" si="53"/>
        <v>74.730043881041539</v>
      </c>
      <c r="R56" s="59">
        <f t="shared" si="0"/>
        <v>368.06337721437484</v>
      </c>
      <c r="S56" s="59">
        <f ca="1">AVERAGE(OFFSET($R$3,0,0,'Données projet'!$E$9+1,1))-AVERAGE(OFFSET($H$3,0,0,'Données projet'!$E$9+1,1))</f>
        <v>87.176473494358277</v>
      </c>
      <c r="T56" s="59">
        <f t="shared" si="34"/>
        <v>421.63096176860864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38.662098977290015</v>
      </c>
      <c r="AA56" s="21">
        <f>EXP(-LN(2)/25)*AA55+(1-EXP(-LN(2)/25))/(LN(2)/25)*Calculateur!V56*Calculateur!X56*VLOOKUP('Données projet'!$B$9,Paramètres!$A$1:$I$89,3,0)*0.475*44/12</f>
        <v>7.9069590534916765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46.56905803078169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69</v>
      </c>
      <c r="O57" s="13">
        <f>N57*VLOOKUP('Données projet'!$B$9,Paramètres!$A$1:$I$89,3,0)*VLOOKUP('Données projet'!$B$9,Paramètres!$A$1:$I$89,5,0)</f>
        <v>32.830199999999998</v>
      </c>
      <c r="P57" s="13">
        <f t="shared" si="33"/>
        <v>10.077002228349212</v>
      </c>
      <c r="Q57" s="20">
        <f t="shared" si="53"/>
        <v>74.730043881041539</v>
      </c>
      <c r="R57" s="59">
        <f t="shared" si="0"/>
        <v>368.06337721437484</v>
      </c>
      <c r="S57" s="59">
        <f ca="1">AVERAGE(OFFSET($R$3,0,0,'Données projet'!$E$9+1,1))-AVERAGE(OFFSET($H$3,0,0,'Données projet'!$E$9+1,1))</f>
        <v>87.176473494358277</v>
      </c>
      <c r="T57" s="59">
        <f t="shared" si="34"/>
        <v>421.63096176860864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37.903958797897246</v>
      </c>
      <c r="AA57" s="21">
        <f>EXP(-LN(2)/25)*AA56+(1-EXP(-LN(2)/25))/(LN(2)/25)*Calculateur!V57*Calculateur!X57*VLOOKUP('Données projet'!$B$9,Paramètres!$A$1:$I$89,3,0)*0.475*44/12</f>
        <v>7.6907428423650419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45.594701640262286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69</v>
      </c>
      <c r="O58" s="13">
        <f>N58*VLOOKUP('Données projet'!$B$9,Paramètres!$A$1:$I$89,3,0)*VLOOKUP('Données projet'!$B$9,Paramètres!$A$1:$I$89,5,0)</f>
        <v>32.830199999999998</v>
      </c>
      <c r="P58" s="13">
        <f t="shared" si="33"/>
        <v>10.077002228349212</v>
      </c>
      <c r="Q58" s="20">
        <f t="shared" si="53"/>
        <v>74.730043881041539</v>
      </c>
      <c r="R58" s="59">
        <f t="shared" si="0"/>
        <v>368.06337721437484</v>
      </c>
      <c r="S58" s="59">
        <f ca="1">AVERAGE(OFFSET($R$3,0,0,'Données projet'!$E$9+1,1))-AVERAGE(OFFSET($H$3,0,0,'Données projet'!$E$9+1,1))</f>
        <v>87.176473494358277</v>
      </c>
      <c r="T58" s="59">
        <f t="shared" si="34"/>
        <v>421.63096176860864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37.160685285002522</v>
      </c>
      <c r="AA58" s="21">
        <f>EXP(-LN(2)/25)*AA57+(1-EXP(-LN(2)/25))/(LN(2)/25)*Calculateur!V58*Calculateur!X58*VLOOKUP('Données projet'!$B$9,Paramètres!$A$1:$I$89,3,0)*0.475*44/12</f>
        <v>7.4804390749019811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44.641124359904502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69</v>
      </c>
      <c r="O59" s="13">
        <f>N59*VLOOKUP('Données projet'!$B$9,Paramètres!$A$1:$I$89,3,0)*VLOOKUP('Données projet'!$B$9,Paramètres!$A$1:$I$89,5,0)</f>
        <v>32.830199999999998</v>
      </c>
      <c r="P59" s="13">
        <f t="shared" si="33"/>
        <v>10.077002228349212</v>
      </c>
      <c r="Q59" s="20">
        <f t="shared" si="53"/>
        <v>74.730043881041539</v>
      </c>
      <c r="R59" s="59">
        <f t="shared" si="0"/>
        <v>368.06337721437484</v>
      </c>
      <c r="S59" s="59">
        <f ca="1">AVERAGE(OFFSET($R$3,0,0,'Données projet'!$E$9+1,1))-AVERAGE(OFFSET($H$3,0,0,'Données projet'!$E$9+1,1))</f>
        <v>87.176473494358277</v>
      </c>
      <c r="T59" s="59">
        <f t="shared" si="34"/>
        <v>421.63096176860864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36.431986912343589</v>
      </c>
      <c r="AA59" s="21">
        <f>EXP(-LN(2)/25)*AA58+(1-EXP(-LN(2)/25))/(LN(2)/25)*Calculateur!V59*Calculateur!X59*VLOOKUP('Données projet'!$B$9,Paramètres!$A$1:$I$89,3,0)*0.475*44/12</f>
        <v>7.2758860750195922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43.707872987363181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69</v>
      </c>
      <c r="O60" s="13">
        <f>N60*VLOOKUP('Données projet'!$B$9,Paramètres!$A$1:$I$89,3,0)*VLOOKUP('Données projet'!$B$9,Paramètres!$A$1:$I$89,5,0)</f>
        <v>32.830199999999998</v>
      </c>
      <c r="P60" s="13">
        <f t="shared" si="33"/>
        <v>10.077002228349212</v>
      </c>
      <c r="Q60" s="20">
        <f t="shared" si="53"/>
        <v>74.730043881041539</v>
      </c>
      <c r="R60" s="59">
        <f t="shared" si="0"/>
        <v>368.06337721437484</v>
      </c>
      <c r="S60" s="59">
        <f ca="1">AVERAGE(OFFSET($R$3,0,0,'Données projet'!$E$9+1,1))-AVERAGE(OFFSET($H$3,0,0,'Données projet'!$E$9+1,1))</f>
        <v>87.176473494358277</v>
      </c>
      <c r="T60" s="59">
        <f t="shared" si="34"/>
        <v>421.63096176860864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35.717577870310372</v>
      </c>
      <c r="AA60" s="21">
        <f>EXP(-LN(2)/25)*AA59+(1-EXP(-LN(2)/25))/(LN(2)/25)*Calculateur!V60*Calculateur!X60*VLOOKUP('Données projet'!$B$9,Paramètres!$A$1:$I$89,3,0)*0.475*44/12</f>
        <v>7.0769265876759624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42.794504457986335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69</v>
      </c>
      <c r="O61" s="13">
        <f>N61*VLOOKUP('Données projet'!$B$9,Paramètres!$A$1:$I$89,3,0)*VLOOKUP('Données projet'!$B$9,Paramètres!$A$1:$I$89,5,0)</f>
        <v>32.830199999999998</v>
      </c>
      <c r="P61" s="13">
        <f t="shared" si="33"/>
        <v>10.077002228349212</v>
      </c>
      <c r="Q61" s="20">
        <f t="shared" si="53"/>
        <v>74.730043881041539</v>
      </c>
      <c r="R61" s="59">
        <f t="shared" si="0"/>
        <v>368.06337721437484</v>
      </c>
      <c r="S61" s="59">
        <f ca="1">AVERAGE(OFFSET($R$3,0,0,'Données projet'!$E$9+1,1))-AVERAGE(OFFSET($H$3,0,0,'Données projet'!$E$9+1,1))</f>
        <v>87.176473494358277</v>
      </c>
      <c r="T61" s="59">
        <f t="shared" si="34"/>
        <v>421.63096176860864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35.017177953844943</v>
      </c>
      <c r="AA61" s="21">
        <f>EXP(-LN(2)/25)*AA60+(1-EXP(-LN(2)/25))/(LN(2)/25)*Calculateur!V61*Calculateur!X61*VLOOKUP('Données projet'!$B$9,Paramètres!$A$1:$I$89,3,0)*0.475*44/12</f>
        <v>6.8834076579765684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41.900585611821512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69</v>
      </c>
      <c r="O62" s="13">
        <f>N62*VLOOKUP('Données projet'!$B$9,Paramètres!$A$1:$I$89,3,0)*VLOOKUP('Données projet'!$B$9,Paramètres!$A$1:$I$89,5,0)</f>
        <v>32.830199999999998</v>
      </c>
      <c r="P62" s="13">
        <f t="shared" si="33"/>
        <v>10.077002228349212</v>
      </c>
      <c r="Q62" s="20">
        <f t="shared" si="53"/>
        <v>74.730043881041539</v>
      </c>
      <c r="R62" s="59">
        <f t="shared" si="0"/>
        <v>368.06337721437484</v>
      </c>
      <c r="S62" s="59">
        <f ca="1">AVERAGE(OFFSET($R$3,0,0,'Données projet'!$E$9+1,1))-AVERAGE(OFFSET($H$3,0,0,'Données projet'!$E$9+1,1))</f>
        <v>87.176473494358277</v>
      </c>
      <c r="T62" s="59">
        <f t="shared" si="34"/>
        <v>421.63096176860864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34.330512452539629</v>
      </c>
      <c r="AA62" s="21">
        <f>EXP(-LN(2)/25)*AA61+(1-EXP(-LN(2)/25))/(LN(2)/25)*Calculateur!V62*Calculateur!X62*VLOOKUP('Données projet'!$B$9,Paramètres!$A$1:$I$89,3,0)*0.475*44/12</f>
        <v>6.6951805135865223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41.025692966126151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69</v>
      </c>
      <c r="O63" s="13">
        <f>N63*VLOOKUP('Données projet'!$B$9,Paramètres!$A$1:$I$89,3,0)*VLOOKUP('Données projet'!$B$9,Paramètres!$A$1:$I$89,5,0)</f>
        <v>32.830199999999998</v>
      </c>
      <c r="P63" s="13">
        <f t="shared" si="33"/>
        <v>10.077002228349212</v>
      </c>
      <c r="Q63" s="20">
        <f t="shared" si="53"/>
        <v>74.730043881041539</v>
      </c>
      <c r="R63" s="59">
        <f t="shared" si="0"/>
        <v>368.06337721437484</v>
      </c>
      <c r="S63" s="59">
        <f ca="1">AVERAGE(OFFSET($R$3,0,0,'Données projet'!$E$9+1,1))-AVERAGE(OFFSET($H$3,0,0,'Données projet'!$E$9+1,1))</f>
        <v>87.176473494358277</v>
      </c>
      <c r="T63" s="59">
        <f t="shared" si="34"/>
        <v>421.63096176860864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33.657312042890318</v>
      </c>
      <c r="AA63" s="21">
        <f>EXP(-LN(2)/25)*AA62+(1-EXP(-LN(2)/25))/(LN(2)/25)*Calculateur!V63*Calculateur!X63*VLOOKUP('Données projet'!$B$9,Paramètres!$A$1:$I$89,3,0)*0.475*44/12</f>
        <v>6.5121004503582576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40.169412493248572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69</v>
      </c>
      <c r="O64" s="13">
        <f>N64*VLOOKUP('Données projet'!$B$9,Paramètres!$A$1:$I$89,3,0)*VLOOKUP('Données projet'!$B$9,Paramètres!$A$1:$I$89,5,0)</f>
        <v>32.830199999999998</v>
      </c>
      <c r="P64" s="13">
        <f t="shared" si="33"/>
        <v>10.077002228349212</v>
      </c>
      <c r="Q64" s="20">
        <f t="shared" si="53"/>
        <v>74.730043881041539</v>
      </c>
      <c r="R64" s="59">
        <f t="shared" si="0"/>
        <v>368.06337721437484</v>
      </c>
      <c r="S64" s="59">
        <f ca="1">AVERAGE(OFFSET($R$3,0,0,'Données projet'!$E$9+1,1))-AVERAGE(OFFSET($H$3,0,0,'Données projet'!$E$9+1,1))</f>
        <v>87.176473494358277</v>
      </c>
      <c r="T64" s="59">
        <f t="shared" si="34"/>
        <v>421.63096176860864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32.997312682662525</v>
      </c>
      <c r="AA64" s="21">
        <f>EXP(-LN(2)/25)*AA63+(1-EXP(-LN(2)/25))/(LN(2)/25)*Calculateur!V64*Calculateur!X64*VLOOKUP('Données projet'!$B$9,Paramètres!$A$1:$I$89,3,0)*0.475*44/12</f>
        <v>6.3340267210867323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39.331339403749254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69</v>
      </c>
      <c r="O65" s="13">
        <f>N65*VLOOKUP('Données projet'!$B$9,Paramètres!$A$1:$I$89,3,0)*VLOOKUP('Données projet'!$B$9,Paramètres!$A$1:$I$89,5,0)</f>
        <v>32.830199999999998</v>
      </c>
      <c r="P65" s="13">
        <f t="shared" si="33"/>
        <v>10.077002228349212</v>
      </c>
      <c r="Q65" s="20">
        <f t="shared" si="53"/>
        <v>74.730043881041539</v>
      </c>
      <c r="R65" s="59">
        <f t="shared" si="0"/>
        <v>368.06337721437484</v>
      </c>
      <c r="S65" s="59">
        <f ca="1">AVERAGE(OFFSET($R$3,0,0,'Données projet'!$E$9+1,1))-AVERAGE(OFFSET($H$3,0,0,'Données projet'!$E$9+1,1))</f>
        <v>87.176473494358277</v>
      </c>
      <c r="T65" s="59">
        <f t="shared" si="34"/>
        <v>421.63096176860864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32.350255507328932</v>
      </c>
      <c r="AA65" s="21">
        <f>EXP(-LN(2)/25)*AA64+(1-EXP(-LN(2)/25))/(LN(2)/25)*Calculateur!V65*Calculateur!X65*VLOOKUP('Données projet'!$B$9,Paramètres!$A$1:$I$89,3,0)*0.475*44/12</f>
        <v>6.160822427306627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38.511077934635559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69</v>
      </c>
      <c r="O66" s="13">
        <f>N66*VLOOKUP('Données projet'!$B$9,Paramètres!$A$1:$I$89,3,0)*VLOOKUP('Données projet'!$B$9,Paramètres!$A$1:$I$89,5,0)</f>
        <v>32.830199999999998</v>
      </c>
      <c r="P66" s="13">
        <f t="shared" si="33"/>
        <v>10.077002228349212</v>
      </c>
      <c r="Q66" s="20">
        <f t="shared" si="53"/>
        <v>74.730043881041539</v>
      </c>
      <c r="R66" s="59">
        <f t="shared" si="0"/>
        <v>368.06337721437484</v>
      </c>
      <c r="S66" s="59">
        <f ca="1">AVERAGE(OFFSET($R$3,0,0,'Données projet'!$E$9+1,1))-AVERAGE(OFFSET($H$3,0,0,'Données projet'!$E$9+1,1))</f>
        <v>87.176473494358277</v>
      </c>
      <c r="T66" s="59">
        <f t="shared" si="34"/>
        <v>421.63096176860864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31.715886728537726</v>
      </c>
      <c r="AA66" s="21">
        <f>EXP(-LN(2)/25)*AA65+(1-EXP(-LN(2)/25))/(LN(2)/25)*Calculateur!V66*Calculateur!X66*VLOOKUP('Données projet'!$B$9,Paramètres!$A$1:$I$89,3,0)*0.475*44/12</f>
        <v>5.9923544140483562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37.708241142586083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69</v>
      </c>
      <c r="O67" s="13">
        <f>N67*VLOOKUP('Données projet'!$B$9,Paramètres!$A$1:$I$89,3,0)*VLOOKUP('Données projet'!$B$9,Paramètres!$A$1:$I$89,5,0)</f>
        <v>32.830199999999998</v>
      </c>
      <c r="P67" s="13">
        <f t="shared" si="33"/>
        <v>10.077002228349212</v>
      </c>
      <c r="Q67" s="20">
        <f t="shared" ref="Q67:Q98" si="54">(O67+P67)*0.475*44/12</f>
        <v>74.730043881041539</v>
      </c>
      <c r="R67" s="59">
        <f t="shared" ref="R67:R130" si="55">Q67+(I67+J67)*44/12</f>
        <v>368.06337721437484</v>
      </c>
      <c r="S67" s="59">
        <f ca="1">AVERAGE(OFFSET($R$3,0,0,'Données projet'!$E$9+1,1))-AVERAGE(OFFSET($H$3,0,0,'Données projet'!$E$9+1,1))</f>
        <v>87.176473494358277</v>
      </c>
      <c r="T67" s="59">
        <f t="shared" si="34"/>
        <v>421.63096176860864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31.093957534571867</v>
      </c>
      <c r="AA67" s="21">
        <f>EXP(-LN(2)/25)*AA66+(1-EXP(-LN(2)/25))/(LN(2)/25)*Calculateur!V67*Calculateur!X67*VLOOKUP('Données projet'!$B$9,Paramètres!$A$1:$I$89,3,0)*0.475*44/12</f>
        <v>5.8284931674719811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36.922450702043847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69</v>
      </c>
      <c r="O68" s="13">
        <f>N68*VLOOKUP('Données projet'!$B$9,Paramètres!$A$1:$I$89,3,0)*VLOOKUP('Données projet'!$B$9,Paramètres!$A$1:$I$89,5,0)</f>
        <v>32.830199999999998</v>
      </c>
      <c r="P68" s="13">
        <f t="shared" si="33"/>
        <v>10.077002228349212</v>
      </c>
      <c r="Q68" s="20">
        <f t="shared" si="54"/>
        <v>74.730043881041539</v>
      </c>
      <c r="R68" s="59">
        <f t="shared" si="55"/>
        <v>368.06337721437484</v>
      </c>
      <c r="S68" s="59">
        <f ca="1">AVERAGE(OFFSET($R$3,0,0,'Données projet'!$E$9+1,1))-AVERAGE(OFFSET($H$3,0,0,'Données projet'!$E$9+1,1))</f>
        <v>87.176473494358277</v>
      </c>
      <c r="T68" s="59">
        <f t="shared" si="34"/>
        <v>421.63096176860864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30.484223992760327</v>
      </c>
      <c r="AA68" s="21">
        <f>EXP(-LN(2)/25)*AA67+(1-EXP(-LN(2)/25))/(LN(2)/25)*Calculateur!V68*Calculateur!X68*VLOOKUP('Données projet'!$B$9,Paramètres!$A$1:$I$89,3,0)*0.475*44/12</f>
        <v>5.6691127153003249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36.15333670806065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69</v>
      </c>
      <c r="O69" s="13">
        <f>N69*VLOOKUP('Données projet'!$B$9,Paramètres!$A$1:$I$89,3,0)*VLOOKUP('Données projet'!$B$9,Paramètres!$A$1:$I$89,5,0)</f>
        <v>32.830199999999998</v>
      </c>
      <c r="P69" s="13">
        <f t="shared" ref="P69:P132" si="87">EXP(-1.0587+0.8836*LN(O69)+0.284)</f>
        <v>10.077002228349212</v>
      </c>
      <c r="Q69" s="20">
        <f t="shared" si="54"/>
        <v>74.730043881041539</v>
      </c>
      <c r="R69" s="59">
        <f t="shared" si="55"/>
        <v>368.06337721437484</v>
      </c>
      <c r="S69" s="59">
        <f ca="1">AVERAGE(OFFSET($R$3,0,0,'Données projet'!$E$9+1,1))-AVERAGE(OFFSET($H$3,0,0,'Données projet'!$E$9+1,1))</f>
        <v>87.176473494358277</v>
      </c>
      <c r="T69" s="59">
        <f t="shared" ref="T69:T132" si="88">$T$3</f>
        <v>421.63096176860864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29.886446953802974</v>
      </c>
      <c r="AA69" s="21">
        <f>EXP(-LN(2)/25)*AA68+(1-EXP(-LN(2)/25))/(LN(2)/25)*Calculateur!V69*Calculateur!X69*VLOOKUP('Données projet'!$B$9,Paramètres!$A$1:$I$89,3,0)*0.475*44/12</f>
        <v>5.5140905299747569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35.400537483777732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69</v>
      </c>
      <c r="O70" s="13">
        <f>N70*VLOOKUP('Données projet'!$B$9,Paramètres!$A$1:$I$89,3,0)*VLOOKUP('Données projet'!$B$9,Paramètres!$A$1:$I$89,5,0)</f>
        <v>32.830199999999998</v>
      </c>
      <c r="P70" s="13">
        <f t="shared" si="87"/>
        <v>10.077002228349212</v>
      </c>
      <c r="Q70" s="20">
        <f t="shared" si="54"/>
        <v>74.730043881041539</v>
      </c>
      <c r="R70" s="59">
        <f t="shared" si="55"/>
        <v>368.06337721437484</v>
      </c>
      <c r="S70" s="59">
        <f ca="1">AVERAGE(OFFSET($R$3,0,0,'Données projet'!$E$9+1,1))-AVERAGE(OFFSET($H$3,0,0,'Données projet'!$E$9+1,1))</f>
        <v>87.176473494358277</v>
      </c>
      <c r="T70" s="59">
        <f t="shared" si="88"/>
        <v>421.63096176860864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29.300391957971581</v>
      </c>
      <c r="AA70" s="21">
        <f>EXP(-LN(2)/25)*AA69+(1-EXP(-LN(2)/25))/(LN(2)/25)*Calculateur!V70*Calculateur!X70*VLOOKUP('Données projet'!$B$9,Paramètres!$A$1:$I$89,3,0)*0.475*44/12</f>
        <v>5.3633074344591787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34.663699392430757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69</v>
      </c>
      <c r="O71" s="13">
        <f>N71*VLOOKUP('Données projet'!$B$9,Paramètres!$A$1:$I$89,3,0)*VLOOKUP('Données projet'!$B$9,Paramètres!$A$1:$I$89,5,0)</f>
        <v>32.830199999999998</v>
      </c>
      <c r="P71" s="13">
        <f t="shared" si="87"/>
        <v>10.077002228349212</v>
      </c>
      <c r="Q71" s="20">
        <f t="shared" si="54"/>
        <v>74.730043881041539</v>
      </c>
      <c r="R71" s="59">
        <f t="shared" si="55"/>
        <v>368.06337721437484</v>
      </c>
      <c r="S71" s="59">
        <f ca="1">AVERAGE(OFFSET($R$3,0,0,'Données projet'!$E$9+1,1))-AVERAGE(OFFSET($H$3,0,0,'Données projet'!$E$9+1,1))</f>
        <v>87.176473494358277</v>
      </c>
      <c r="T71" s="59">
        <f t="shared" si="88"/>
        <v>421.63096176860864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28.72582914315019</v>
      </c>
      <c r="AA71" s="21">
        <f>EXP(-LN(2)/25)*AA70+(1-EXP(-LN(2)/25))/(LN(2)/25)*Calculateur!V71*Calculateur!X71*VLOOKUP('Données projet'!$B$9,Paramètres!$A$1:$I$89,3,0)*0.475*44/12</f>
        <v>5.2166475106198122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33.942476653770001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69</v>
      </c>
      <c r="O72" s="13">
        <f>N72*VLOOKUP('Données projet'!$B$9,Paramètres!$A$1:$I$89,3,0)*VLOOKUP('Données projet'!$B$9,Paramètres!$A$1:$I$89,5,0)</f>
        <v>32.830199999999998</v>
      </c>
      <c r="P72" s="13">
        <f t="shared" si="87"/>
        <v>10.077002228349212</v>
      </c>
      <c r="Q72" s="20">
        <f t="shared" si="54"/>
        <v>74.730043881041539</v>
      </c>
      <c r="R72" s="59">
        <f t="shared" si="55"/>
        <v>368.06337721437484</v>
      </c>
      <c r="S72" s="59">
        <f ca="1">AVERAGE(OFFSET($R$3,0,0,'Données projet'!$E$9+1,1))-AVERAGE(OFFSET($H$3,0,0,'Données projet'!$E$9+1,1))</f>
        <v>87.176473494358277</v>
      </c>
      <c r="T72" s="59">
        <f t="shared" si="88"/>
        <v>421.63096176860864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28.162533154678734</v>
      </c>
      <c r="AA72" s="21">
        <f>EXP(-LN(2)/25)*AA71+(1-EXP(-LN(2)/25))/(LN(2)/25)*Calculateur!V72*Calculateur!X72*VLOOKUP('Données projet'!$B$9,Paramètres!$A$1:$I$89,3,0)*0.475*44/12</f>
        <v>5.0739980101103441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33.236531164789078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69</v>
      </c>
      <c r="O73" s="13">
        <f>N73*VLOOKUP('Données projet'!$B$9,Paramètres!$A$1:$I$89,3,0)*VLOOKUP('Données projet'!$B$9,Paramètres!$A$1:$I$89,5,0)</f>
        <v>32.830199999999998</v>
      </c>
      <c r="P73" s="13">
        <f t="shared" si="87"/>
        <v>10.077002228349212</v>
      </c>
      <c r="Q73" s="20">
        <f t="shared" si="54"/>
        <v>74.730043881041539</v>
      </c>
      <c r="R73" s="59">
        <f t="shared" si="55"/>
        <v>368.06337721437484</v>
      </c>
      <c r="S73" s="59">
        <f ca="1">AVERAGE(OFFSET($R$3,0,0,'Données projet'!$E$9+1,1))-AVERAGE(OFFSET($H$3,0,0,'Données projet'!$E$9+1,1))</f>
        <v>87.176473494358277</v>
      </c>
      <c r="T73" s="59">
        <f t="shared" si="88"/>
        <v>421.63096176860864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27.610283056964576</v>
      </c>
      <c r="AA73" s="21">
        <f>EXP(-LN(2)/25)*AA72+(1-EXP(-LN(2)/25))/(LN(2)/25)*Calculateur!V73*Calculateur!X73*VLOOKUP('Données projet'!$B$9,Paramètres!$A$1:$I$89,3,0)*0.475*44/12</f>
        <v>4.9352492676939184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32.545532324658495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69</v>
      </c>
      <c r="O74" s="13">
        <f>N74*VLOOKUP('Données projet'!$B$9,Paramètres!$A$1:$I$89,3,0)*VLOOKUP('Données projet'!$B$9,Paramètres!$A$1:$I$89,5,0)</f>
        <v>32.830199999999998</v>
      </c>
      <c r="P74" s="13">
        <f t="shared" si="87"/>
        <v>10.077002228349212</v>
      </c>
      <c r="Q74" s="20">
        <f t="shared" si="54"/>
        <v>74.730043881041539</v>
      </c>
      <c r="R74" s="59">
        <f t="shared" si="55"/>
        <v>368.06337721437484</v>
      </c>
      <c r="S74" s="59">
        <f ca="1">AVERAGE(OFFSET($R$3,0,0,'Données projet'!$E$9+1,1))-AVERAGE(OFFSET($H$3,0,0,'Données projet'!$E$9+1,1))</f>
        <v>87.176473494358277</v>
      </c>
      <c r="T74" s="59">
        <f t="shared" si="88"/>
        <v>421.63096176860864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27.068862246827294</v>
      </c>
      <c r="AA74" s="21">
        <f>EXP(-LN(2)/25)*AA73+(1-EXP(-LN(2)/25))/(LN(2)/25)*Calculateur!V74*Calculateur!X74*VLOOKUP('Données projet'!$B$9,Paramètres!$A$1:$I$89,3,0)*0.475*44/12</f>
        <v>4.8002946169353491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31.869156863762644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69</v>
      </c>
      <c r="O75" s="13">
        <f>N75*VLOOKUP('Données projet'!$B$9,Paramètres!$A$1:$I$89,3,0)*VLOOKUP('Données projet'!$B$9,Paramètres!$A$1:$I$89,5,0)</f>
        <v>32.830199999999998</v>
      </c>
      <c r="P75" s="13">
        <f t="shared" si="87"/>
        <v>10.077002228349212</v>
      </c>
      <c r="Q75" s="20">
        <f t="shared" si="54"/>
        <v>74.730043881041539</v>
      </c>
      <c r="R75" s="59">
        <f t="shared" si="55"/>
        <v>368.06337721437484</v>
      </c>
      <c r="S75" s="59">
        <f ca="1">AVERAGE(OFFSET($R$3,0,0,'Données projet'!$E$9+1,1))-AVERAGE(OFFSET($H$3,0,0,'Données projet'!$E$9+1,1))</f>
        <v>87.176473494358277</v>
      </c>
      <c r="T75" s="59">
        <f t="shared" si="88"/>
        <v>421.63096176860864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26.538058368542718</v>
      </c>
      <c r="AA75" s="21">
        <f>EXP(-LN(2)/25)*AA74+(1-EXP(-LN(2)/25))/(LN(2)/25)*Calculateur!V75*Calculateur!X75*VLOOKUP('Données projet'!$B$9,Paramètres!$A$1:$I$89,3,0)*0.475*44/12</f>
        <v>4.669030308198729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31.207088676741446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69</v>
      </c>
      <c r="O76" s="13">
        <f>N76*VLOOKUP('Données projet'!$B$9,Paramètres!$A$1:$I$89,3,0)*VLOOKUP('Données projet'!$B$9,Paramètres!$A$1:$I$89,5,0)</f>
        <v>32.830199999999998</v>
      </c>
      <c r="P76" s="13">
        <f t="shared" si="87"/>
        <v>10.077002228349212</v>
      </c>
      <c r="Q76" s="20">
        <f t="shared" si="54"/>
        <v>74.730043881041539</v>
      </c>
      <c r="R76" s="59">
        <f t="shared" si="55"/>
        <v>368.06337721437484</v>
      </c>
      <c r="S76" s="59">
        <f ca="1">AVERAGE(OFFSET($R$3,0,0,'Données projet'!$E$9+1,1))-AVERAGE(OFFSET($H$3,0,0,'Données projet'!$E$9+1,1))</f>
        <v>87.176473494358277</v>
      </c>
      <c r="T76" s="59">
        <f t="shared" si="88"/>
        <v>421.63096176860864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26.017663230552905</v>
      </c>
      <c r="AA76" s="21">
        <f>EXP(-LN(2)/25)*AA75+(1-EXP(-LN(2)/25))/(LN(2)/25)*Calculateur!V76*Calculateur!X76*VLOOKUP('Données projet'!$B$9,Paramètres!$A$1:$I$89,3,0)*0.475*44/12</f>
        <v>4.5413554288874023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30.559018659440309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69</v>
      </c>
      <c r="O77" s="13">
        <f>N77*VLOOKUP('Données projet'!$B$9,Paramètres!$A$1:$I$89,3,0)*VLOOKUP('Données projet'!$B$9,Paramètres!$A$1:$I$89,5,0)</f>
        <v>32.830199999999998</v>
      </c>
      <c r="P77" s="13">
        <f t="shared" si="87"/>
        <v>10.077002228349212</v>
      </c>
      <c r="Q77" s="20">
        <f t="shared" si="54"/>
        <v>74.730043881041539</v>
      </c>
      <c r="R77" s="59">
        <f t="shared" si="55"/>
        <v>368.06337721437484</v>
      </c>
      <c r="S77" s="59">
        <f ca="1">AVERAGE(OFFSET($R$3,0,0,'Données projet'!$E$9+1,1))-AVERAGE(OFFSET($H$3,0,0,'Données projet'!$E$9+1,1))</f>
        <v>87.176473494358277</v>
      </c>
      <c r="T77" s="59">
        <f t="shared" si="88"/>
        <v>421.63096176860864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25.507472723809379</v>
      </c>
      <c r="AA77" s="21">
        <f>EXP(-LN(2)/25)*AA76+(1-EXP(-LN(2)/25))/(LN(2)/25)*Calculateur!V77*Calculateur!X77*VLOOKUP('Données projet'!$B$9,Paramètres!$A$1:$I$89,3,0)*0.475*44/12</f>
        <v>4.4171718258649735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29.924644549674351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69</v>
      </c>
      <c r="O78" s="13">
        <f>N78*VLOOKUP('Données projet'!$B$9,Paramètres!$A$1:$I$89,3,0)*VLOOKUP('Données projet'!$B$9,Paramètres!$A$1:$I$89,5,0)</f>
        <v>32.830199999999998</v>
      </c>
      <c r="P78" s="13">
        <f t="shared" si="87"/>
        <v>10.077002228349212</v>
      </c>
      <c r="Q78" s="20">
        <f t="shared" si="54"/>
        <v>74.730043881041539</v>
      </c>
      <c r="R78" s="59">
        <f t="shared" si="55"/>
        <v>368.06337721437484</v>
      </c>
      <c r="S78" s="59">
        <f ca="1">AVERAGE(OFFSET($R$3,0,0,'Données projet'!$E$9+1,1))-AVERAGE(OFFSET($H$3,0,0,'Données projet'!$E$9+1,1))</f>
        <v>87.176473494358277</v>
      </c>
      <c r="T78" s="59">
        <f t="shared" si="88"/>
        <v>421.63096176860864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25.007286741717611</v>
      </c>
      <c r="AA78" s="21">
        <f>EXP(-LN(2)/25)*AA77+(1-EXP(-LN(2)/25))/(LN(2)/25)*Calculateur!V78*Calculateur!X78*VLOOKUP('Données projet'!$B$9,Paramètres!$A$1:$I$89,3,0)*0.475*44/12</f>
        <v>4.296384029997725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29.303670771715336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69</v>
      </c>
      <c r="O79" s="13">
        <f>N79*VLOOKUP('Données projet'!$B$9,Paramètres!$A$1:$I$89,3,0)*VLOOKUP('Données projet'!$B$9,Paramètres!$A$1:$I$89,5,0)</f>
        <v>32.830199999999998</v>
      </c>
      <c r="P79" s="13">
        <f t="shared" si="87"/>
        <v>10.077002228349212</v>
      </c>
      <c r="Q79" s="20">
        <f t="shared" si="54"/>
        <v>74.730043881041539</v>
      </c>
      <c r="R79" s="59">
        <f t="shared" si="55"/>
        <v>368.06337721437484</v>
      </c>
      <c r="S79" s="59">
        <f ca="1">AVERAGE(OFFSET($R$3,0,0,'Données projet'!$E$9+1,1))-AVERAGE(OFFSET($H$3,0,0,'Données projet'!$E$9+1,1))</f>
        <v>87.176473494358277</v>
      </c>
      <c r="T79" s="59">
        <f t="shared" si="88"/>
        <v>421.63096176860864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24.516909101651336</v>
      </c>
      <c r="AA79" s="21">
        <f>EXP(-LN(2)/25)*AA78+(1-EXP(-LN(2)/25))/(LN(2)/25)*Calculateur!V79*Calculateur!X79*VLOOKUP('Données projet'!$B$9,Paramètres!$A$1:$I$89,3,0)*0.475*44/12</f>
        <v>4.1788991827604205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28.695808284411758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69</v>
      </c>
      <c r="O80" s="13">
        <f>N80*VLOOKUP('Données projet'!$B$9,Paramètres!$A$1:$I$89,3,0)*VLOOKUP('Données projet'!$B$9,Paramètres!$A$1:$I$89,5,0)</f>
        <v>32.830199999999998</v>
      </c>
      <c r="P80" s="13">
        <f t="shared" si="87"/>
        <v>10.077002228349212</v>
      </c>
      <c r="Q80" s="20">
        <f t="shared" si="54"/>
        <v>74.730043881041539</v>
      </c>
      <c r="R80" s="59">
        <f t="shared" si="55"/>
        <v>368.06337721437484</v>
      </c>
      <c r="S80" s="59">
        <f ca="1">AVERAGE(OFFSET($R$3,0,0,'Données projet'!$E$9+1,1))-AVERAGE(OFFSET($H$3,0,0,'Données projet'!$E$9+1,1))</f>
        <v>87.176473494358277</v>
      </c>
      <c r="T80" s="59">
        <f t="shared" si="88"/>
        <v>421.63096176860864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24.036147468005936</v>
      </c>
      <c r="AA80" s="21">
        <f>EXP(-LN(2)/25)*AA79+(1-EXP(-LN(2)/25))/(LN(2)/25)*Calculateur!V80*Calculateur!X80*VLOOKUP('Données projet'!$B$9,Paramètres!$A$1:$I$89,3,0)*0.475*44/12</f>
        <v>4.0646269648490794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28.100774432855015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69</v>
      </c>
      <c r="O81" s="13">
        <f>N81*VLOOKUP('Données projet'!$B$9,Paramètres!$A$1:$I$89,3,0)*VLOOKUP('Données projet'!$B$9,Paramètres!$A$1:$I$89,5,0)</f>
        <v>32.830199999999998</v>
      </c>
      <c r="P81" s="13">
        <f t="shared" si="87"/>
        <v>10.077002228349212</v>
      </c>
      <c r="Q81" s="20">
        <f t="shared" si="54"/>
        <v>74.730043881041539</v>
      </c>
      <c r="R81" s="59">
        <f t="shared" si="55"/>
        <v>368.06337721437484</v>
      </c>
      <c r="S81" s="59">
        <f ca="1">AVERAGE(OFFSET($R$3,0,0,'Données projet'!$E$9+1,1))-AVERAGE(OFFSET($H$3,0,0,'Données projet'!$E$9+1,1))</f>
        <v>87.176473494358277</v>
      </c>
      <c r="T81" s="59">
        <f t="shared" si="88"/>
        <v>421.63096176860864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23.564813276760681</v>
      </c>
      <c r="AA81" s="21">
        <f>EXP(-LN(2)/25)*AA80+(1-EXP(-LN(2)/25))/(LN(2)/25)*Calculateur!V81*Calculateur!X81*VLOOKUP('Données projet'!$B$9,Paramètres!$A$1:$I$89,3,0)*0.475*44/12</f>
        <v>3.9534795267458391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27.518292803506519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69</v>
      </c>
      <c r="O82" s="13">
        <f>N82*VLOOKUP('Données projet'!$B$9,Paramètres!$A$1:$I$89,3,0)*VLOOKUP('Données projet'!$B$9,Paramètres!$A$1:$I$89,5,0)</f>
        <v>32.830199999999998</v>
      </c>
      <c r="P82" s="13">
        <f t="shared" si="87"/>
        <v>10.077002228349212</v>
      </c>
      <c r="Q82" s="20">
        <f t="shared" si="54"/>
        <v>74.730043881041539</v>
      </c>
      <c r="R82" s="59">
        <f t="shared" si="55"/>
        <v>368.06337721437484</v>
      </c>
      <c r="S82" s="59">
        <f ca="1">AVERAGE(OFFSET($R$3,0,0,'Données projet'!$E$9+1,1))-AVERAGE(OFFSET($H$3,0,0,'Données projet'!$E$9+1,1))</f>
        <v>87.176473494358277</v>
      </c>
      <c r="T82" s="59">
        <f t="shared" si="88"/>
        <v>421.63096176860864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23.102721661520274</v>
      </c>
      <c r="AA82" s="21">
        <f>EXP(-LN(2)/25)*AA81+(1-EXP(-LN(2)/25))/(LN(2)/25)*Calculateur!V82*Calculateur!X82*VLOOKUP('Données projet'!$B$9,Paramètres!$A$1:$I$89,3,0)*0.475*44/12</f>
        <v>3.8453714211825218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26.948093082702798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69</v>
      </c>
      <c r="O83" s="13">
        <f>N83*VLOOKUP('Données projet'!$B$9,Paramètres!$A$1:$I$89,3,0)*VLOOKUP('Données projet'!$B$9,Paramètres!$A$1:$I$89,5,0)</f>
        <v>32.830199999999998</v>
      </c>
      <c r="P83" s="13">
        <f t="shared" si="87"/>
        <v>10.077002228349212</v>
      </c>
      <c r="Q83" s="20">
        <f t="shared" si="54"/>
        <v>74.730043881041539</v>
      </c>
      <c r="R83" s="59">
        <f t="shared" si="55"/>
        <v>368.06337721437484</v>
      </c>
      <c r="S83" s="59">
        <f ca="1">AVERAGE(OFFSET($R$3,0,0,'Données projet'!$E$9+1,1))-AVERAGE(OFFSET($H$3,0,0,'Données projet'!$E$9+1,1))</f>
        <v>87.176473494358277</v>
      </c>
      <c r="T83" s="59">
        <f t="shared" si="88"/>
        <v>421.63096176860864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22.649691381006679</v>
      </c>
      <c r="AA83" s="21">
        <f>EXP(-LN(2)/25)*AA82+(1-EXP(-LN(2)/25))/(LN(2)/25)*Calculateur!V83*Calculateur!X83*VLOOKUP('Données projet'!$B$9,Paramètres!$A$1:$I$89,3,0)*0.475*44/12</f>
        <v>3.7402195374509914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26.389910918457669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69</v>
      </c>
      <c r="O84" s="13">
        <f>N84*VLOOKUP('Données projet'!$B$9,Paramètres!$A$1:$I$89,3,0)*VLOOKUP('Données projet'!$B$9,Paramètres!$A$1:$I$89,5,0)</f>
        <v>32.830199999999998</v>
      </c>
      <c r="P84" s="13">
        <f t="shared" si="87"/>
        <v>10.077002228349212</v>
      </c>
      <c r="Q84" s="20">
        <f t="shared" si="54"/>
        <v>74.730043881041539</v>
      </c>
      <c r="R84" s="59">
        <f t="shared" si="55"/>
        <v>368.06337721437484</v>
      </c>
      <c r="S84" s="59">
        <f ca="1">AVERAGE(OFFSET($R$3,0,0,'Données projet'!$E$9+1,1))-AVERAGE(OFFSET($H$3,0,0,'Données projet'!$E$9+1,1))</f>
        <v>87.176473494358277</v>
      </c>
      <c r="T84" s="59">
        <f t="shared" si="88"/>
        <v>421.63096176860864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22.20554474797277</v>
      </c>
      <c r="AA84" s="21">
        <f>EXP(-LN(2)/25)*AA83+(1-EXP(-LN(2)/25))/(LN(2)/25)*Calculateur!V84*Calculateur!X84*VLOOKUP('Données projet'!$B$9,Paramètres!$A$1:$I$89,3,0)*0.475*44/12</f>
        <v>3.637943037509797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25.843487785482566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69</v>
      </c>
      <c r="O85" s="13">
        <f>N85*VLOOKUP('Données projet'!$B$9,Paramètres!$A$1:$I$89,3,0)*VLOOKUP('Données projet'!$B$9,Paramètres!$A$1:$I$89,5,0)</f>
        <v>32.830199999999998</v>
      </c>
      <c r="P85" s="13">
        <f t="shared" si="87"/>
        <v>10.077002228349212</v>
      </c>
      <c r="Q85" s="20">
        <f t="shared" si="54"/>
        <v>74.730043881041539</v>
      </c>
      <c r="R85" s="59">
        <f t="shared" si="55"/>
        <v>368.06337721437484</v>
      </c>
      <c r="S85" s="59">
        <f ca="1">AVERAGE(OFFSET($R$3,0,0,'Données projet'!$E$9+1,1))-AVERAGE(OFFSET($H$3,0,0,'Données projet'!$E$9+1,1))</f>
        <v>87.176473494358277</v>
      </c>
      <c r="T85" s="59">
        <f t="shared" si="88"/>
        <v>421.63096176860864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21.770107559509956</v>
      </c>
      <c r="AA85" s="21">
        <f>EXP(-LN(2)/25)*AA84+(1-EXP(-LN(2)/25))/(LN(2)/25)*Calculateur!V85*Calculateur!X85*VLOOKUP('Données projet'!$B$9,Paramètres!$A$1:$I$89,3,0)*0.475*44/12</f>
        <v>3.5384632938379821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25.308570853347938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69</v>
      </c>
      <c r="O86" s="13">
        <f>N86*VLOOKUP('Données projet'!$B$9,Paramètres!$A$1:$I$89,3,0)*VLOOKUP('Données projet'!$B$9,Paramètres!$A$1:$I$89,5,0)</f>
        <v>32.830199999999998</v>
      </c>
      <c r="P86" s="13">
        <f t="shared" si="87"/>
        <v>10.077002228349212</v>
      </c>
      <c r="Q86" s="20">
        <f t="shared" si="54"/>
        <v>74.730043881041539</v>
      </c>
      <c r="R86" s="59">
        <f t="shared" si="55"/>
        <v>368.06337721437484</v>
      </c>
      <c r="S86" s="59">
        <f ca="1">AVERAGE(OFFSET($R$3,0,0,'Données projet'!$E$9+1,1))-AVERAGE(OFFSET($H$3,0,0,'Données projet'!$E$9+1,1))</f>
        <v>87.176473494358277</v>
      </c>
      <c r="T86" s="59">
        <f t="shared" si="88"/>
        <v>421.63096176860864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21.343209028722438</v>
      </c>
      <c r="AA86" s="21">
        <f>EXP(-LN(2)/25)*AA85+(1-EXP(-LN(2)/25))/(LN(2)/25)*Calculateur!V86*Calculateur!X86*VLOOKUP('Données projet'!$B$9,Paramètres!$A$1:$I$89,3,0)*0.475*44/12</f>
        <v>3.4417038289882851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24.784912857710722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69</v>
      </c>
      <c r="O87" s="13">
        <f>N87*VLOOKUP('Données projet'!$B$9,Paramètres!$A$1:$I$89,3,0)*VLOOKUP('Données projet'!$B$9,Paramètres!$A$1:$I$89,5,0)</f>
        <v>32.830199999999998</v>
      </c>
      <c r="P87" s="13">
        <f t="shared" si="87"/>
        <v>10.077002228349212</v>
      </c>
      <c r="Q87" s="20">
        <f t="shared" si="54"/>
        <v>74.730043881041539</v>
      </c>
      <c r="R87" s="59">
        <f t="shared" si="55"/>
        <v>368.06337721437484</v>
      </c>
      <c r="S87" s="59">
        <f ca="1">AVERAGE(OFFSET($R$3,0,0,'Données projet'!$E$9+1,1))-AVERAGE(OFFSET($H$3,0,0,'Données projet'!$E$9+1,1))</f>
        <v>87.176473494358277</v>
      </c>
      <c r="T87" s="59">
        <f t="shared" si="88"/>
        <v>421.63096176860864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20.924681717741269</v>
      </c>
      <c r="AA87" s="21">
        <f>EXP(-LN(2)/25)*AA86+(1-EXP(-LN(2)/25))/(LN(2)/25)*Calculateur!V87*Calculateur!X87*VLOOKUP('Données projet'!$B$9,Paramètres!$A$1:$I$89,3,0)*0.475*44/12</f>
        <v>3.3475902567932621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24.272271974534529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69</v>
      </c>
      <c r="O88" s="13">
        <f>N88*VLOOKUP('Données projet'!$B$9,Paramètres!$A$1:$I$89,3,0)*VLOOKUP('Données projet'!$B$9,Paramètres!$A$1:$I$89,5,0)</f>
        <v>32.830199999999998</v>
      </c>
      <c r="P88" s="13">
        <f t="shared" si="87"/>
        <v>10.077002228349212</v>
      </c>
      <c r="Q88" s="20">
        <f t="shared" si="54"/>
        <v>74.730043881041539</v>
      </c>
      <c r="R88" s="59">
        <f t="shared" si="55"/>
        <v>368.06337721437484</v>
      </c>
      <c r="S88" s="59">
        <f ca="1">AVERAGE(OFFSET($R$3,0,0,'Données projet'!$E$9+1,1))-AVERAGE(OFFSET($H$3,0,0,'Données projet'!$E$9+1,1))</f>
        <v>87.176473494358277</v>
      </c>
      <c r="T88" s="59">
        <f t="shared" si="88"/>
        <v>421.63096176860864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20.514361472051988</v>
      </c>
      <c r="AA88" s="21">
        <f>EXP(-LN(2)/25)*AA87+(1-EXP(-LN(2)/25))/(LN(2)/25)*Calculateur!V88*Calculateur!X88*VLOOKUP('Données projet'!$B$9,Paramètres!$A$1:$I$89,3,0)*0.475*44/12</f>
        <v>3.2560502251791297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23.770411697231118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69</v>
      </c>
      <c r="O89" s="13">
        <f>N89*VLOOKUP('Données projet'!$B$9,Paramètres!$A$1:$I$89,3,0)*VLOOKUP('Données projet'!$B$9,Paramètres!$A$1:$I$89,5,0)</f>
        <v>32.830199999999998</v>
      </c>
      <c r="P89" s="13">
        <f t="shared" si="87"/>
        <v>10.077002228349212</v>
      </c>
      <c r="Q89" s="20">
        <f t="shared" si="54"/>
        <v>74.730043881041539</v>
      </c>
      <c r="R89" s="59">
        <f t="shared" si="55"/>
        <v>368.06337721437484</v>
      </c>
      <c r="S89" s="59">
        <f ca="1">AVERAGE(OFFSET($R$3,0,0,'Données projet'!$E$9+1,1))-AVERAGE(OFFSET($H$3,0,0,'Données projet'!$E$9+1,1))</f>
        <v>87.176473494358277</v>
      </c>
      <c r="T89" s="59">
        <f t="shared" si="88"/>
        <v>421.63096176860864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20.112087356110038</v>
      </c>
      <c r="AA89" s="21">
        <f>EXP(-LN(2)/25)*AA88+(1-EXP(-LN(2)/25))/(LN(2)/25)*Calculateur!V89*Calculateur!X89*VLOOKUP('Données projet'!$B$9,Paramètres!$A$1:$I$89,3,0)*0.475*44/12</f>
        <v>3.167013360543367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23.279100716653407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69</v>
      </c>
      <c r="O90" s="13">
        <f>N90*VLOOKUP('Données projet'!$B$9,Paramètres!$A$1:$I$89,3,0)*VLOOKUP('Données projet'!$B$9,Paramètres!$A$1:$I$89,5,0)</f>
        <v>32.830199999999998</v>
      </c>
      <c r="P90" s="13">
        <f t="shared" si="87"/>
        <v>10.077002228349212</v>
      </c>
      <c r="Q90" s="20">
        <f t="shared" si="54"/>
        <v>74.730043881041539</v>
      </c>
      <c r="R90" s="59">
        <f t="shared" si="55"/>
        <v>368.06337721437484</v>
      </c>
      <c r="S90" s="59">
        <f ca="1">AVERAGE(OFFSET($R$3,0,0,'Données projet'!$E$9+1,1))-AVERAGE(OFFSET($H$3,0,0,'Données projet'!$E$9+1,1))</f>
        <v>87.176473494358277</v>
      </c>
      <c r="T90" s="59">
        <f t="shared" si="88"/>
        <v>421.63096176860864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19.717701590218727</v>
      </c>
      <c r="AA90" s="21">
        <f>EXP(-LN(2)/25)*AA89+(1-EXP(-LN(2)/25))/(LN(2)/25)*Calculateur!V90*Calculateur!X90*VLOOKUP('Données projet'!$B$9,Paramètres!$A$1:$I$89,3,0)*0.475*44/12</f>
        <v>3.0804112136533144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22.798112803872041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69</v>
      </c>
      <c r="O91" s="13">
        <f>N91*VLOOKUP('Données projet'!$B$9,Paramètres!$A$1:$I$89,3,0)*VLOOKUP('Données projet'!$B$9,Paramètres!$A$1:$I$89,5,0)</f>
        <v>32.830199999999998</v>
      </c>
      <c r="P91" s="13">
        <f t="shared" si="87"/>
        <v>10.077002228349212</v>
      </c>
      <c r="Q91" s="20">
        <f t="shared" si="54"/>
        <v>74.730043881041539</v>
      </c>
      <c r="R91" s="59">
        <f t="shared" si="55"/>
        <v>368.06337721437484</v>
      </c>
      <c r="S91" s="59">
        <f ca="1">AVERAGE(OFFSET($R$3,0,0,'Données projet'!$E$9+1,1))-AVERAGE(OFFSET($H$3,0,0,'Données projet'!$E$9+1,1))</f>
        <v>87.176473494358277</v>
      </c>
      <c r="T91" s="59">
        <f t="shared" si="88"/>
        <v>421.63096176860864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19.331049488644979</v>
      </c>
      <c r="AA91" s="21">
        <f>EXP(-LN(2)/25)*AA90+(1-EXP(-LN(2)/25))/(LN(2)/25)*Calculateur!V91*Calculateur!X91*VLOOKUP('Données projet'!$B$9,Paramètres!$A$1:$I$89,3,0)*0.475*44/12</f>
        <v>2.996177207024179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22.327226695669157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69</v>
      </c>
      <c r="O92" s="13">
        <f>N92*VLOOKUP('Données projet'!$B$9,Paramètres!$A$1:$I$89,3,0)*VLOOKUP('Données projet'!$B$9,Paramètres!$A$1:$I$89,5,0)</f>
        <v>32.830199999999998</v>
      </c>
      <c r="P92" s="13">
        <f t="shared" si="87"/>
        <v>10.077002228349212</v>
      </c>
      <c r="Q92" s="20">
        <f t="shared" si="54"/>
        <v>74.730043881041539</v>
      </c>
      <c r="R92" s="59">
        <f t="shared" si="55"/>
        <v>368.06337721437484</v>
      </c>
      <c r="S92" s="59">
        <f ca="1">AVERAGE(OFFSET($R$3,0,0,'Données projet'!$E$9+1,1))-AVERAGE(OFFSET($H$3,0,0,'Données projet'!$E$9+1,1))</f>
        <v>87.176473494358277</v>
      </c>
      <c r="T92" s="59">
        <f t="shared" si="88"/>
        <v>421.63096176860864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18.951979398948595</v>
      </c>
      <c r="AA92" s="21">
        <f>EXP(-LN(2)/25)*AA91+(1-EXP(-LN(2)/25))/(LN(2)/25)*Calculateur!V92*Calculateur!X92*VLOOKUP('Données projet'!$B$9,Paramètres!$A$1:$I$89,3,0)*0.475*44/12</f>
        <v>2.9142465837359914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21.866225982684586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69</v>
      </c>
      <c r="O93" s="13">
        <f>N93*VLOOKUP('Données projet'!$B$9,Paramètres!$A$1:$I$89,3,0)*VLOOKUP('Données projet'!$B$9,Paramètres!$A$1:$I$89,5,0)</f>
        <v>32.830199999999998</v>
      </c>
      <c r="P93" s="13">
        <f t="shared" si="87"/>
        <v>10.077002228349212</v>
      </c>
      <c r="Q93" s="20">
        <f t="shared" si="54"/>
        <v>74.730043881041539</v>
      </c>
      <c r="R93" s="59">
        <f t="shared" si="55"/>
        <v>368.06337721437484</v>
      </c>
      <c r="S93" s="59">
        <f ca="1">AVERAGE(OFFSET($R$3,0,0,'Données projet'!$E$9+1,1))-AVERAGE(OFFSET($H$3,0,0,'Données projet'!$E$9+1,1))</f>
        <v>87.176473494358277</v>
      </c>
      <c r="T93" s="59">
        <f t="shared" si="88"/>
        <v>421.63096176860864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18.580342642501233</v>
      </c>
      <c r="AA93" s="21">
        <f>EXP(-LN(2)/25)*AA92+(1-EXP(-LN(2)/25))/(LN(2)/25)*Calculateur!V93*Calculateur!X93*VLOOKUP('Données projet'!$B$9,Paramètres!$A$1:$I$89,3,0)*0.475*44/12</f>
        <v>2.8345563576501633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21.414899000151397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69</v>
      </c>
      <c r="O94" s="13">
        <f>N94*VLOOKUP('Données projet'!$B$9,Paramètres!$A$1:$I$89,3,0)*VLOOKUP('Données projet'!$B$9,Paramètres!$A$1:$I$89,5,0)</f>
        <v>32.830199999999998</v>
      </c>
      <c r="P94" s="13">
        <f t="shared" si="87"/>
        <v>10.077002228349212</v>
      </c>
      <c r="Q94" s="20">
        <f t="shared" si="54"/>
        <v>74.730043881041539</v>
      </c>
      <c r="R94" s="59">
        <f t="shared" si="55"/>
        <v>368.06337721437484</v>
      </c>
      <c r="S94" s="59">
        <f ca="1">AVERAGE(OFFSET($R$3,0,0,'Données projet'!$E$9+1,1))-AVERAGE(OFFSET($H$3,0,0,'Données projet'!$E$9+1,1))</f>
        <v>87.176473494358277</v>
      </c>
      <c r="T94" s="59">
        <f t="shared" si="88"/>
        <v>421.63096176860864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18.215993456171766</v>
      </c>
      <c r="AA94" s="21">
        <f>EXP(-LN(2)/25)*AA93+(1-EXP(-LN(2)/25))/(LN(2)/25)*Calculateur!V94*Calculateur!X94*VLOOKUP('Données projet'!$B$9,Paramètres!$A$1:$I$89,3,0)*0.475*44/12</f>
        <v>2.7570452649873793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20.973038721159146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69</v>
      </c>
      <c r="O95" s="13">
        <f>N95*VLOOKUP('Données projet'!$B$9,Paramètres!$A$1:$I$89,3,0)*VLOOKUP('Données projet'!$B$9,Paramètres!$A$1:$I$89,5,0)</f>
        <v>32.830199999999998</v>
      </c>
      <c r="P95" s="13">
        <f t="shared" si="87"/>
        <v>10.077002228349212</v>
      </c>
      <c r="Q95" s="20">
        <f t="shared" si="54"/>
        <v>74.730043881041539</v>
      </c>
      <c r="R95" s="59">
        <f t="shared" si="55"/>
        <v>368.06337721437484</v>
      </c>
      <c r="S95" s="59">
        <f ca="1">AVERAGE(OFFSET($R$3,0,0,'Données projet'!$E$9+1,1))-AVERAGE(OFFSET($H$3,0,0,'Données projet'!$E$9+1,1))</f>
        <v>87.176473494358277</v>
      </c>
      <c r="T95" s="59">
        <f t="shared" si="88"/>
        <v>421.63096176860864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17.858788935155161</v>
      </c>
      <c r="AA95" s="21">
        <f>EXP(-LN(2)/25)*AA94+(1-EXP(-LN(2)/25))/(LN(2)/25)*Calculateur!V95*Calculateur!X95*VLOOKUP('Données projet'!$B$9,Paramètres!$A$1:$I$89,3,0)*0.475*44/12</f>
        <v>2.6816537172295902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20.540442652384751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69</v>
      </c>
      <c r="O96" s="13">
        <f>N96*VLOOKUP('Données projet'!$B$9,Paramètres!$A$1:$I$89,3,0)*VLOOKUP('Données projet'!$B$9,Paramètres!$A$1:$I$89,5,0)</f>
        <v>32.830199999999998</v>
      </c>
      <c r="P96" s="13">
        <f t="shared" si="87"/>
        <v>10.077002228349212</v>
      </c>
      <c r="Q96" s="20">
        <f t="shared" si="54"/>
        <v>74.730043881041539</v>
      </c>
      <c r="R96" s="59">
        <f t="shared" si="55"/>
        <v>368.06337721437484</v>
      </c>
      <c r="S96" s="59">
        <f ca="1">AVERAGE(OFFSET($R$3,0,0,'Données projet'!$E$9+1,1))-AVERAGE(OFFSET($H$3,0,0,'Données projet'!$E$9+1,1))</f>
        <v>87.176473494358277</v>
      </c>
      <c r="T96" s="59">
        <f t="shared" si="88"/>
        <v>421.63096176860864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17.508588976922447</v>
      </c>
      <c r="AA96" s="21">
        <f>EXP(-LN(2)/25)*AA95+(1-EXP(-LN(2)/25))/(LN(2)/25)*Calculateur!V96*Calculateur!X96*VLOOKUP('Données projet'!$B$9,Paramètres!$A$1:$I$89,3,0)*0.475*44/12</f>
        <v>2.608323755309907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20.116912732232354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69</v>
      </c>
      <c r="O97" s="13">
        <f>N97*VLOOKUP('Données projet'!$B$9,Paramètres!$A$1:$I$89,3,0)*VLOOKUP('Données projet'!$B$9,Paramètres!$A$1:$I$89,5,0)</f>
        <v>32.830199999999998</v>
      </c>
      <c r="P97" s="13">
        <f t="shared" si="87"/>
        <v>10.077002228349212</v>
      </c>
      <c r="Q97" s="20">
        <f t="shared" si="54"/>
        <v>74.730043881041539</v>
      </c>
      <c r="R97" s="59">
        <f t="shared" si="55"/>
        <v>368.06337721437484</v>
      </c>
      <c r="S97" s="59">
        <f ca="1">AVERAGE(OFFSET($R$3,0,0,'Données projet'!$E$9+1,1))-AVERAGE(OFFSET($H$3,0,0,'Données projet'!$E$9+1,1))</f>
        <v>87.176473494358277</v>
      </c>
      <c r="T97" s="59">
        <f t="shared" si="88"/>
        <v>421.63096176860864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17.16525622626979</v>
      </c>
      <c r="AA97" s="21">
        <f>EXP(-LN(2)/25)*AA96+(1-EXP(-LN(2)/25))/(LN(2)/25)*Calculateur!V97*Calculateur!X97*VLOOKUP('Données projet'!$B$9,Paramètres!$A$1:$I$89,3,0)*0.475*44/12</f>
        <v>2.5369990050551725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19.702255231324962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69</v>
      </c>
      <c r="O98" s="13">
        <f>N98*VLOOKUP('Données projet'!$B$9,Paramètres!$A$1:$I$89,3,0)*VLOOKUP('Données projet'!$B$9,Paramètres!$A$1:$I$89,5,0)</f>
        <v>32.830199999999998</v>
      </c>
      <c r="P98" s="13">
        <f t="shared" si="87"/>
        <v>10.077002228349212</v>
      </c>
      <c r="Q98" s="20">
        <f t="shared" si="54"/>
        <v>74.730043881041539</v>
      </c>
      <c r="R98" s="59">
        <f t="shared" si="55"/>
        <v>368.06337721437484</v>
      </c>
      <c r="S98" s="59">
        <f ca="1">AVERAGE(OFFSET($R$3,0,0,'Données projet'!$E$9+1,1))-AVERAGE(OFFSET($H$3,0,0,'Données projet'!$E$9+1,1))</f>
        <v>87.176473494358277</v>
      </c>
      <c r="T98" s="59">
        <f t="shared" si="88"/>
        <v>421.63096176860864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16.828656021445134</v>
      </c>
      <c r="AA98" s="21">
        <f>EXP(-LN(2)/25)*AA97+(1-EXP(-LN(2)/25))/(LN(2)/25)*Calculateur!V98*Calculateur!X98*VLOOKUP('Données projet'!$B$9,Paramètres!$A$1:$I$89,3,0)*0.475*44/12</f>
        <v>2.4676246338469596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19.296280655292094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69</v>
      </c>
      <c r="O99" s="13">
        <f>N99*VLOOKUP('Données projet'!$B$9,Paramètres!$A$1:$I$89,3,0)*VLOOKUP('Données projet'!$B$9,Paramètres!$A$1:$I$89,5,0)</f>
        <v>32.830199999999998</v>
      </c>
      <c r="P99" s="13">
        <f t="shared" si="87"/>
        <v>10.077002228349212</v>
      </c>
      <c r="Q99" s="20">
        <f t="shared" ref="Q99:Q130" si="107">(O99+P99)*0.475*44/12</f>
        <v>74.730043881041539</v>
      </c>
      <c r="R99" s="59">
        <f t="shared" si="55"/>
        <v>368.06337721437484</v>
      </c>
      <c r="S99" s="59">
        <f ca="1">AVERAGE(OFFSET($R$3,0,0,'Données projet'!$E$9+1,1))-AVERAGE(OFFSET($H$3,0,0,'Données projet'!$E$9+1,1))</f>
        <v>87.176473494358277</v>
      </c>
      <c r="T99" s="59">
        <f t="shared" si="88"/>
        <v>421.63096176860864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16.498656341331237</v>
      </c>
      <c r="AA99" s="21">
        <f>EXP(-LN(2)/25)*AA98+(1-EXP(-LN(2)/25))/(LN(2)/25)*Calculateur!V99*Calculateur!X99*VLOOKUP('Données projet'!$B$9,Paramètres!$A$1:$I$89,3,0)*0.475*44/12</f>
        <v>2.400147308467675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18.898803649798914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69</v>
      </c>
      <c r="O100" s="13">
        <f>N100*VLOOKUP('Données projet'!$B$9,Paramètres!$A$1:$I$89,3,0)*VLOOKUP('Données projet'!$B$9,Paramètres!$A$1:$I$89,5,0)</f>
        <v>32.830199999999998</v>
      </c>
      <c r="P100" s="13">
        <f t="shared" si="87"/>
        <v>10.077002228349212</v>
      </c>
      <c r="Q100" s="20">
        <f t="shared" si="107"/>
        <v>74.730043881041539</v>
      </c>
      <c r="R100" s="59">
        <f t="shared" si="55"/>
        <v>368.06337721437484</v>
      </c>
      <c r="S100" s="59">
        <f ca="1">AVERAGE(OFFSET($R$3,0,0,'Données projet'!$E$9+1,1))-AVERAGE(OFFSET($H$3,0,0,'Données projet'!$E$9+1,1))</f>
        <v>87.176473494358277</v>
      </c>
      <c r="T100" s="59">
        <f t="shared" si="88"/>
        <v>421.63096176860864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16.175127753664444</v>
      </c>
      <c r="AA100" s="21">
        <f>EXP(-LN(2)/25)*AA99+(1-EXP(-LN(2)/25))/(LN(2)/25)*Calculateur!V100*Calculateur!X100*VLOOKUP('Données projet'!$B$9,Paramètres!$A$1:$I$89,3,0)*0.475*44/12</f>
        <v>2.3345151540993649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18.509642907763808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69</v>
      </c>
      <c r="O101" s="13">
        <f>N101*VLOOKUP('Données projet'!$B$9,Paramètres!$A$1:$I$89,3,0)*VLOOKUP('Données projet'!$B$9,Paramètres!$A$1:$I$89,5,0)</f>
        <v>32.830199999999998</v>
      </c>
      <c r="P101" s="13">
        <f t="shared" si="87"/>
        <v>10.077002228349212</v>
      </c>
      <c r="Q101" s="20">
        <f t="shared" si="107"/>
        <v>74.730043881041539</v>
      </c>
      <c r="R101" s="59">
        <f t="shared" si="55"/>
        <v>368.06337721437484</v>
      </c>
      <c r="S101" s="59">
        <f ca="1">AVERAGE(OFFSET($R$3,0,0,'Données projet'!$E$9+1,1))-AVERAGE(OFFSET($H$3,0,0,'Données projet'!$E$9+1,1))</f>
        <v>87.176473494358277</v>
      </c>
      <c r="T101" s="59">
        <f t="shared" si="88"/>
        <v>421.63096176860864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15.857943364268841</v>
      </c>
      <c r="AA101" s="21">
        <f>EXP(-LN(2)/25)*AA100+(1-EXP(-LN(2)/25))/(LN(2)/25)*Calculateur!V101*Calculateur!X101*VLOOKUP('Données projet'!$B$9,Paramètres!$A$1:$I$89,3,0)*0.475*44/12</f>
        <v>2.2706777144437016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18.128621078712541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69</v>
      </c>
      <c r="O102" s="13">
        <f>N102*VLOOKUP('Données projet'!$B$9,Paramètres!$A$1:$I$89,3,0)*VLOOKUP('Données projet'!$B$9,Paramètres!$A$1:$I$89,5,0)</f>
        <v>32.830199999999998</v>
      </c>
      <c r="P102" s="13">
        <f t="shared" si="87"/>
        <v>10.077002228349212</v>
      </c>
      <c r="Q102" s="20">
        <f t="shared" si="107"/>
        <v>74.730043881041539</v>
      </c>
      <c r="R102" s="59">
        <f t="shared" si="55"/>
        <v>368.06337721437484</v>
      </c>
      <c r="S102" s="59">
        <f ca="1">AVERAGE(OFFSET($R$3,0,0,'Données projet'!$E$9+1,1))-AVERAGE(OFFSET($H$3,0,0,'Données projet'!$E$9+1,1))</f>
        <v>87.176473494358277</v>
      </c>
      <c r="T102" s="59">
        <f t="shared" si="88"/>
        <v>421.63096176860864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15.546978767285912</v>
      </c>
      <c r="AA102" s="21">
        <f>EXP(-LN(2)/25)*AA101+(1-EXP(-LN(2)/25))/(LN(2)/25)*Calculateur!V102*Calculateur!X102*VLOOKUP('Données projet'!$B$9,Paramètres!$A$1:$I$89,3,0)*0.475*44/12</f>
        <v>2.2085859129324872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17.755564680218399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69</v>
      </c>
      <c r="O103" s="13">
        <f>N103*VLOOKUP('Données projet'!$B$9,Paramètres!$A$1:$I$89,3,0)*VLOOKUP('Données projet'!$B$9,Paramètres!$A$1:$I$89,5,0)</f>
        <v>32.830199999999998</v>
      </c>
      <c r="P103" s="13">
        <f t="shared" si="87"/>
        <v>10.077002228349212</v>
      </c>
      <c r="Q103" s="20">
        <f t="shared" si="107"/>
        <v>74.730043881041539</v>
      </c>
      <c r="R103" s="59">
        <f t="shared" si="55"/>
        <v>368.06337721437484</v>
      </c>
      <c r="S103" s="59">
        <f ca="1">AVERAGE(OFFSET($R$3,0,0,'Données projet'!$E$9+1,1))-AVERAGE(OFFSET($H$3,0,0,'Données projet'!$E$9+1,1))</f>
        <v>87.176473494358277</v>
      </c>
      <c r="T103" s="59">
        <f t="shared" si="88"/>
        <v>421.63096176860864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15.242111996380142</v>
      </c>
      <c r="AA103" s="21">
        <f>EXP(-LN(2)/25)*AA102+(1-EXP(-LN(2)/25))/(LN(2)/25)*Calculateur!V103*Calculateur!X103*VLOOKUP('Données projet'!$B$9,Paramètres!$A$1:$I$89,3,0)*0.475*44/12</f>
        <v>2.1481920149988629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17.390304011379005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69</v>
      </c>
      <c r="O104" s="13">
        <f>N104*VLOOKUP('Données projet'!$B$9,Paramètres!$A$1:$I$89,3,0)*VLOOKUP('Données projet'!$B$9,Paramètres!$A$1:$I$89,5,0)</f>
        <v>32.830199999999998</v>
      </c>
      <c r="P104" s="13">
        <f t="shared" si="87"/>
        <v>10.077002228349212</v>
      </c>
      <c r="Q104" s="20">
        <f t="shared" si="107"/>
        <v>74.730043881041539</v>
      </c>
      <c r="R104" s="59">
        <f t="shared" si="55"/>
        <v>368.06337721437484</v>
      </c>
      <c r="S104" s="59">
        <f ca="1">AVERAGE(OFFSET($R$3,0,0,'Données projet'!$E$9+1,1))-AVERAGE(OFFSET($H$3,0,0,'Données projet'!$E$9+1,1))</f>
        <v>87.176473494358277</v>
      </c>
      <c r="T104" s="59">
        <f t="shared" si="88"/>
        <v>421.63096176860864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14.943223476901466</v>
      </c>
      <c r="AA104" s="21">
        <f>EXP(-LN(2)/25)*AA103+(1-EXP(-LN(2)/25))/(LN(2)/25)*Calculateur!V104*Calculateur!X104*VLOOKUP('Données projet'!$B$9,Paramètres!$A$1:$I$89,3,0)*0.475*44/12</f>
        <v>2.0894495913802107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17.032673068281674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69</v>
      </c>
      <c r="O105" s="13">
        <f>N105*VLOOKUP('Données projet'!$B$9,Paramètres!$A$1:$I$89,3,0)*VLOOKUP('Données projet'!$B$9,Paramètres!$A$1:$I$89,5,0)</f>
        <v>32.830199999999998</v>
      </c>
      <c r="P105" s="13">
        <f t="shared" si="87"/>
        <v>10.077002228349212</v>
      </c>
      <c r="Q105" s="20">
        <f t="shared" si="107"/>
        <v>74.730043881041539</v>
      </c>
      <c r="R105" s="59">
        <f t="shared" si="55"/>
        <v>368.06337721437484</v>
      </c>
      <c r="S105" s="59">
        <f ca="1">AVERAGE(OFFSET($R$3,0,0,'Données projet'!$E$9+1,1))-AVERAGE(OFFSET($H$3,0,0,'Données projet'!$E$9+1,1))</f>
        <v>87.176473494358277</v>
      </c>
      <c r="T105" s="59">
        <f t="shared" si="88"/>
        <v>421.63096176860864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14.650195978985771</v>
      </c>
      <c r="AA105" s="21">
        <f>EXP(-LN(2)/25)*AA104+(1-EXP(-LN(2)/25))/(LN(2)/25)*Calculateur!V105*Calculateur!X105*VLOOKUP('Données projet'!$B$9,Paramètres!$A$1:$I$89,3,0)*0.475*44/12</f>
        <v>2.0323134824245401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16.682509461410312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69</v>
      </c>
      <c r="O106" s="13">
        <f>N106*VLOOKUP('Données projet'!$B$9,Paramètres!$A$1:$I$89,3,0)*VLOOKUP('Données projet'!$B$9,Paramètres!$A$1:$I$89,5,0)</f>
        <v>32.830199999999998</v>
      </c>
      <c r="P106" s="13">
        <f t="shared" si="87"/>
        <v>10.077002228349212</v>
      </c>
      <c r="Q106" s="20">
        <f t="shared" si="107"/>
        <v>74.730043881041539</v>
      </c>
      <c r="R106" s="59">
        <f t="shared" si="55"/>
        <v>368.06337721437484</v>
      </c>
      <c r="S106" s="59">
        <f ca="1">AVERAGE(OFFSET($R$3,0,0,'Données projet'!$E$9+1,1))-AVERAGE(OFFSET($H$3,0,0,'Données projet'!$E$9+1,1))</f>
        <v>87.176473494358277</v>
      </c>
      <c r="T106" s="59">
        <f t="shared" si="88"/>
        <v>421.63096176860864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14.362914571575077</v>
      </c>
      <c r="AA106" s="21">
        <f>EXP(-LN(2)/25)*AA105+(1-EXP(-LN(2)/25))/(LN(2)/25)*Calculateur!V106*Calculateur!X106*VLOOKUP('Données projet'!$B$9,Paramètres!$A$1:$I$89,3,0)*0.475*44/12</f>
        <v>1.97673976337292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16.339654334947998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69</v>
      </c>
      <c r="O107" s="13">
        <f>N107*VLOOKUP('Données projet'!$B$9,Paramètres!$A$1:$I$89,3,0)*VLOOKUP('Données projet'!$B$9,Paramètres!$A$1:$I$89,5,0)</f>
        <v>32.830199999999998</v>
      </c>
      <c r="P107" s="13">
        <f t="shared" si="87"/>
        <v>10.077002228349212</v>
      </c>
      <c r="Q107" s="20">
        <f t="shared" si="107"/>
        <v>74.730043881041539</v>
      </c>
      <c r="R107" s="59">
        <f t="shared" si="55"/>
        <v>368.06337721437484</v>
      </c>
      <c r="S107" s="59">
        <f ca="1">AVERAGE(OFFSET($R$3,0,0,'Données projet'!$E$9+1,1))-AVERAGE(OFFSET($H$3,0,0,'Données projet'!$E$9+1,1))</f>
        <v>87.176473494358277</v>
      </c>
      <c r="T107" s="59">
        <f t="shared" si="88"/>
        <v>421.63096176860864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14.081266577339349</v>
      </c>
      <c r="AA107" s="21">
        <f>EXP(-LN(2)/25)*AA106+(1-EXP(-LN(2)/25))/(LN(2)/25)*Calculateur!V107*Calculateur!X107*VLOOKUP('Données projet'!$B$9,Paramètres!$A$1:$I$89,3,0)*0.475*44/12</f>
        <v>1.9226857105912614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16.003952287930609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69</v>
      </c>
      <c r="O108" s="13">
        <f>N108*VLOOKUP('Données projet'!$B$9,Paramètres!$A$1:$I$89,3,0)*VLOOKUP('Données projet'!$B$9,Paramètres!$A$1:$I$89,5,0)</f>
        <v>32.830199999999998</v>
      </c>
      <c r="P108" s="13">
        <f t="shared" si="87"/>
        <v>10.077002228349212</v>
      </c>
      <c r="Q108" s="20">
        <f t="shared" si="107"/>
        <v>74.730043881041539</v>
      </c>
      <c r="R108" s="59">
        <f t="shared" si="55"/>
        <v>368.06337721437484</v>
      </c>
      <c r="S108" s="59">
        <f ca="1">AVERAGE(OFFSET($R$3,0,0,'Données projet'!$E$9+1,1))-AVERAGE(OFFSET($H$3,0,0,'Données projet'!$E$9+1,1))</f>
        <v>87.176473494358277</v>
      </c>
      <c r="T108" s="59">
        <f t="shared" si="88"/>
        <v>421.63096176860864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13.80514152848227</v>
      </c>
      <c r="AA108" s="21">
        <f>EXP(-LN(2)/25)*AA107+(1-EXP(-LN(2)/25))/(LN(2)/25)*Calculateur!V108*Calculateur!X108*VLOOKUP('Données projet'!$B$9,Paramètres!$A$1:$I$89,3,0)*0.475*44/12</f>
        <v>1.8701097687254962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15.675251297207767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69</v>
      </c>
      <c r="O109" s="13">
        <f>N109*VLOOKUP('Données projet'!$B$9,Paramètres!$A$1:$I$89,3,0)*VLOOKUP('Données projet'!$B$9,Paramètres!$A$1:$I$89,5,0)</f>
        <v>32.830199999999998</v>
      </c>
      <c r="P109" s="13">
        <f t="shared" si="87"/>
        <v>10.077002228349212</v>
      </c>
      <c r="Q109" s="20">
        <f t="shared" si="107"/>
        <v>74.730043881041539</v>
      </c>
      <c r="R109" s="59">
        <f t="shared" si="55"/>
        <v>368.06337721437484</v>
      </c>
      <c r="S109" s="59">
        <f ca="1">AVERAGE(OFFSET($R$3,0,0,'Données projet'!$E$9+1,1))-AVERAGE(OFFSET($H$3,0,0,'Données projet'!$E$9+1,1))</f>
        <v>87.176473494358277</v>
      </c>
      <c r="T109" s="59">
        <f t="shared" si="88"/>
        <v>421.63096176860864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13.534431123413629</v>
      </c>
      <c r="AA109" s="21">
        <f>EXP(-LN(2)/25)*AA108+(1-EXP(-LN(2)/25))/(LN(2)/25)*Calculateur!V109*Calculateur!X109*VLOOKUP('Données projet'!$B$9,Paramètres!$A$1:$I$89,3,0)*0.475*44/12</f>
        <v>1.8189715187548989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15.353402642168529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69</v>
      </c>
      <c r="O110" s="13">
        <f>N110*VLOOKUP('Données projet'!$B$9,Paramètres!$A$1:$I$89,3,0)*VLOOKUP('Données projet'!$B$9,Paramètres!$A$1:$I$89,5,0)</f>
        <v>32.830199999999998</v>
      </c>
      <c r="P110" s="13">
        <f t="shared" si="87"/>
        <v>10.077002228349212</v>
      </c>
      <c r="Q110" s="20">
        <f t="shared" si="107"/>
        <v>74.730043881041539</v>
      </c>
      <c r="R110" s="59">
        <f t="shared" si="55"/>
        <v>368.06337721437484</v>
      </c>
      <c r="S110" s="59">
        <f ca="1">AVERAGE(OFFSET($R$3,0,0,'Données projet'!$E$9+1,1))-AVERAGE(OFFSET($H$3,0,0,'Données projet'!$E$9+1,1))</f>
        <v>87.176473494358277</v>
      </c>
      <c r="T110" s="59">
        <f t="shared" si="88"/>
        <v>421.63096176860864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13.269029184271341</v>
      </c>
      <c r="AA110" s="21">
        <f>EXP(-LN(2)/25)*AA109+(1-EXP(-LN(2)/25))/(LN(2)/25)*Calculateur!V110*Calculateur!X110*VLOOKUP('Données projet'!$B$9,Paramètres!$A$1:$I$89,3,0)*0.475*44/12</f>
        <v>1.7692316469189913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15.038260831190332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69</v>
      </c>
      <c r="O111" s="13">
        <f>N111*VLOOKUP('Données projet'!$B$9,Paramètres!$A$1:$I$89,3,0)*VLOOKUP('Données projet'!$B$9,Paramètres!$A$1:$I$89,5,0)</f>
        <v>32.830199999999998</v>
      </c>
      <c r="P111" s="13">
        <f t="shared" si="87"/>
        <v>10.077002228349212</v>
      </c>
      <c r="Q111" s="20">
        <f t="shared" si="107"/>
        <v>74.730043881041539</v>
      </c>
      <c r="R111" s="59">
        <f t="shared" si="55"/>
        <v>368.06337721437484</v>
      </c>
      <c r="S111" s="59">
        <f ca="1">AVERAGE(OFFSET($R$3,0,0,'Données projet'!$E$9+1,1))-AVERAGE(OFFSET($H$3,0,0,'Données projet'!$E$9+1,1))</f>
        <v>87.176473494358277</v>
      </c>
      <c r="T111" s="59">
        <f t="shared" si="88"/>
        <v>421.63096176860864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13.008831615276435</v>
      </c>
      <c r="AA111" s="21">
        <f>EXP(-LN(2)/25)*AA110+(1-EXP(-LN(2)/25))/(LN(2)/25)*Calculateur!V111*Calculateur!X111*VLOOKUP('Données projet'!$B$9,Paramètres!$A$1:$I$89,3,0)*0.475*44/12</f>
        <v>1.7208519144941428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14.729683529770577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69</v>
      </c>
      <c r="O112" s="13">
        <f>N112*VLOOKUP('Données projet'!$B$9,Paramètres!$A$1:$I$89,3,0)*VLOOKUP('Données projet'!$B$9,Paramètres!$A$1:$I$89,5,0)</f>
        <v>32.830199999999998</v>
      </c>
      <c r="P112" s="13">
        <f t="shared" si="87"/>
        <v>10.077002228349212</v>
      </c>
      <c r="Q112" s="20">
        <f t="shared" si="107"/>
        <v>74.730043881041539</v>
      </c>
      <c r="R112" s="59">
        <f t="shared" si="55"/>
        <v>368.06337721437484</v>
      </c>
      <c r="S112" s="59">
        <f ca="1">AVERAGE(OFFSET($R$3,0,0,'Données projet'!$E$9+1,1))-AVERAGE(OFFSET($H$3,0,0,'Données projet'!$E$9+1,1))</f>
        <v>87.176473494358277</v>
      </c>
      <c r="T112" s="59">
        <f t="shared" si="88"/>
        <v>421.63096176860864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12.753736361904672</v>
      </c>
      <c r="AA112" s="21">
        <f>EXP(-LN(2)/25)*AA111+(1-EXP(-LN(2)/25))/(LN(2)/25)*Calculateur!V112*Calculateur!X112*VLOOKUP('Données projet'!$B$9,Paramètres!$A$1:$I$89,3,0)*0.475*44/12</f>
        <v>1.6737951283966312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14.427531490301302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69</v>
      </c>
      <c r="O113" s="13">
        <f>N113*VLOOKUP('Données projet'!$B$9,Paramètres!$A$1:$I$89,3,0)*VLOOKUP('Données projet'!$B$9,Paramètres!$A$1:$I$89,5,0)</f>
        <v>32.830199999999998</v>
      </c>
      <c r="P113" s="13">
        <f t="shared" si="87"/>
        <v>10.077002228349212</v>
      </c>
      <c r="Q113" s="20">
        <f t="shared" si="107"/>
        <v>74.730043881041539</v>
      </c>
      <c r="R113" s="59">
        <f t="shared" si="55"/>
        <v>368.06337721437484</v>
      </c>
      <c r="S113" s="59">
        <f ca="1">AVERAGE(OFFSET($R$3,0,0,'Données projet'!$E$9+1,1))-AVERAGE(OFFSET($H$3,0,0,'Données projet'!$E$9+1,1))</f>
        <v>87.176473494358277</v>
      </c>
      <c r="T113" s="59">
        <f t="shared" si="88"/>
        <v>421.63096176860864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12.503643370858788</v>
      </c>
      <c r="AA113" s="21">
        <f>EXP(-LN(2)/25)*AA112+(1-EXP(-LN(2)/25))/(LN(2)/25)*Calculateur!V113*Calculateur!X113*VLOOKUP('Données projet'!$B$9,Paramètres!$A$1:$I$89,3,0)*0.475*44/12</f>
        <v>1.6280251125895651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14.131668483448353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69</v>
      </c>
      <c r="O114" s="13">
        <f>N114*VLOOKUP('Données projet'!$B$9,Paramètres!$A$1:$I$89,3,0)*VLOOKUP('Données projet'!$B$9,Paramètres!$A$1:$I$89,5,0)</f>
        <v>32.830199999999998</v>
      </c>
      <c r="P114" s="13">
        <f t="shared" si="87"/>
        <v>10.077002228349212</v>
      </c>
      <c r="Q114" s="20">
        <f t="shared" si="107"/>
        <v>74.730043881041539</v>
      </c>
      <c r="R114" s="59">
        <f t="shared" si="55"/>
        <v>368.06337721437484</v>
      </c>
      <c r="S114" s="59">
        <f ca="1">AVERAGE(OFFSET($R$3,0,0,'Données projet'!$E$9+1,1))-AVERAGE(OFFSET($H$3,0,0,'Données projet'!$E$9+1,1))</f>
        <v>87.176473494358277</v>
      </c>
      <c r="T114" s="59">
        <f t="shared" si="88"/>
        <v>421.63096176860864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12.258454550825652</v>
      </c>
      <c r="AA114" s="21">
        <f>EXP(-LN(2)/25)*AA113+(1-EXP(-LN(2)/25))/(LN(2)/25)*Calculateur!V114*Calculateur!X114*VLOOKUP('Données projet'!$B$9,Paramètres!$A$1:$I$89,3,0)*0.475*44/12</f>
        <v>1.5835066802716837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13.841961231097336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69</v>
      </c>
      <c r="O115" s="13">
        <f>N115*VLOOKUP('Données projet'!$B$9,Paramètres!$A$1:$I$89,3,0)*VLOOKUP('Données projet'!$B$9,Paramètres!$A$1:$I$89,5,0)</f>
        <v>32.830199999999998</v>
      </c>
      <c r="P115" s="13">
        <f t="shared" si="87"/>
        <v>10.077002228349212</v>
      </c>
      <c r="Q115" s="20">
        <f t="shared" si="107"/>
        <v>74.730043881041539</v>
      </c>
      <c r="R115" s="59">
        <f t="shared" si="55"/>
        <v>368.06337721437484</v>
      </c>
      <c r="S115" s="59">
        <f ca="1">AVERAGE(OFFSET($R$3,0,0,'Données projet'!$E$9+1,1))-AVERAGE(OFFSET($H$3,0,0,'Données projet'!$E$9+1,1))</f>
        <v>87.176473494358277</v>
      </c>
      <c r="T115" s="59">
        <f t="shared" si="88"/>
        <v>421.63096176860864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12.018073734002952</v>
      </c>
      <c r="AA115" s="21">
        <f>EXP(-LN(2)/25)*AA114+(1-EXP(-LN(2)/25))/(LN(2)/25)*Calculateur!V115*Calculateur!X115*VLOOKUP('Données projet'!$B$9,Paramètres!$A$1:$I$89,3,0)*0.475*44/12</f>
        <v>1.5402056068266574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13.558279340829609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69</v>
      </c>
      <c r="O116" s="13">
        <f>N116*VLOOKUP('Données projet'!$B$9,Paramètres!$A$1:$I$89,3,0)*VLOOKUP('Données projet'!$B$9,Paramètres!$A$1:$I$89,5,0)</f>
        <v>32.830199999999998</v>
      </c>
      <c r="P116" s="13">
        <f t="shared" si="87"/>
        <v>10.077002228349212</v>
      </c>
      <c r="Q116" s="20">
        <f t="shared" si="107"/>
        <v>74.730043881041539</v>
      </c>
      <c r="R116" s="59">
        <f t="shared" si="55"/>
        <v>368.06337721437484</v>
      </c>
      <c r="S116" s="59">
        <f ca="1">AVERAGE(OFFSET($R$3,0,0,'Données projet'!$E$9+1,1))-AVERAGE(OFFSET($H$3,0,0,'Données projet'!$E$9+1,1))</f>
        <v>87.176473494358277</v>
      </c>
      <c r="T116" s="59">
        <f t="shared" si="88"/>
        <v>421.63096176860864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11.782406638380325</v>
      </c>
      <c r="AA116" s="21">
        <f>EXP(-LN(2)/25)*AA115+(1-EXP(-LN(2)/25))/(LN(2)/25)*Calculateur!V116*Calculateur!X116*VLOOKUP('Données projet'!$B$9,Paramètres!$A$1:$I$89,3,0)*0.475*44/12</f>
        <v>1.4980886035120897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13.280495241892414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69</v>
      </c>
      <c r="O117" s="13">
        <f>N117*VLOOKUP('Données projet'!$B$9,Paramètres!$A$1:$I$89,3,0)*VLOOKUP('Données projet'!$B$9,Paramètres!$A$1:$I$89,5,0)</f>
        <v>32.830199999999998</v>
      </c>
      <c r="P117" s="13">
        <f t="shared" si="87"/>
        <v>10.077002228349212</v>
      </c>
      <c r="Q117" s="20">
        <f t="shared" si="107"/>
        <v>74.730043881041539</v>
      </c>
      <c r="R117" s="59">
        <f t="shared" si="55"/>
        <v>368.06337721437484</v>
      </c>
      <c r="S117" s="59">
        <f ca="1">AVERAGE(OFFSET($R$3,0,0,'Données projet'!$E$9+1,1))-AVERAGE(OFFSET($H$3,0,0,'Données projet'!$E$9+1,1))</f>
        <v>87.176473494358277</v>
      </c>
      <c r="T117" s="59">
        <f t="shared" si="88"/>
        <v>421.63096176860864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11.551360830760123</v>
      </c>
      <c r="AA117" s="21">
        <f>EXP(-LN(2)/25)*AA116+(1-EXP(-LN(2)/25))/(LN(2)/25)*Calculateur!V117*Calculateur!X117*VLOOKUP('Données projet'!$B$9,Paramètres!$A$1:$I$89,3,0)*0.475*44/12</f>
        <v>1.4571232918679959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13.008484122628118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69</v>
      </c>
      <c r="O118" s="13">
        <f>N118*VLOOKUP('Données projet'!$B$9,Paramètres!$A$1:$I$89,3,0)*VLOOKUP('Données projet'!$B$9,Paramètres!$A$1:$I$89,5,0)</f>
        <v>32.830199999999998</v>
      </c>
      <c r="P118" s="13">
        <f t="shared" si="87"/>
        <v>10.077002228349212</v>
      </c>
      <c r="Q118" s="20">
        <f t="shared" si="107"/>
        <v>74.730043881041539</v>
      </c>
      <c r="R118" s="59">
        <f t="shared" si="55"/>
        <v>368.06337721437484</v>
      </c>
      <c r="S118" s="59">
        <f ca="1">AVERAGE(OFFSET($R$3,0,0,'Données projet'!$E$9+1,1))-AVERAGE(OFFSET($H$3,0,0,'Données projet'!$E$9+1,1))</f>
        <v>87.176473494358277</v>
      </c>
      <c r="T118" s="59">
        <f t="shared" si="88"/>
        <v>421.63096176860864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11.324845690503325</v>
      </c>
      <c r="AA118" s="21">
        <f>EXP(-LN(2)/25)*AA117+(1-EXP(-LN(2)/25))/(LN(2)/25)*Calculateur!V118*Calculateur!X118*VLOOKUP('Données projet'!$B$9,Paramètres!$A$1:$I$89,3,0)*0.475*44/12</f>
        <v>1.4172781788250819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12.742123869328408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69</v>
      </c>
      <c r="O119" s="13">
        <f>N119*VLOOKUP('Données projet'!$B$9,Paramètres!$A$1:$I$89,3,0)*VLOOKUP('Données projet'!$B$9,Paramètres!$A$1:$I$89,5,0)</f>
        <v>32.830199999999998</v>
      </c>
      <c r="P119" s="13">
        <f t="shared" si="87"/>
        <v>10.077002228349212</v>
      </c>
      <c r="Q119" s="20">
        <f t="shared" si="107"/>
        <v>74.730043881041539</v>
      </c>
      <c r="R119" s="59">
        <f t="shared" si="55"/>
        <v>368.06337721437484</v>
      </c>
      <c r="S119" s="59">
        <f ca="1">AVERAGE(OFFSET($R$3,0,0,'Données projet'!$E$9+1,1))-AVERAGE(OFFSET($H$3,0,0,'Données projet'!$E$9+1,1))</f>
        <v>87.176473494358277</v>
      </c>
      <c r="T119" s="59">
        <f t="shared" si="88"/>
        <v>421.63096176860864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11.102772373986371</v>
      </c>
      <c r="AA119" s="21">
        <f>EXP(-LN(2)/25)*AA118+(1-EXP(-LN(2)/25))/(LN(2)/25)*Calculateur!V119*Calculateur!X119*VLOOKUP('Données projet'!$B$9,Paramètres!$A$1:$I$89,3,0)*0.475*44/12</f>
        <v>1.3785226324936899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12.48129500648006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69</v>
      </c>
      <c r="O120" s="13">
        <f>N120*VLOOKUP('Données projet'!$B$9,Paramètres!$A$1:$I$89,3,0)*VLOOKUP('Données projet'!$B$9,Paramètres!$A$1:$I$89,5,0)</f>
        <v>32.830199999999998</v>
      </c>
      <c r="P120" s="13">
        <f t="shared" si="87"/>
        <v>10.077002228349212</v>
      </c>
      <c r="Q120" s="20">
        <f t="shared" si="107"/>
        <v>74.730043881041539</v>
      </c>
      <c r="R120" s="59">
        <f t="shared" si="55"/>
        <v>368.06337721437484</v>
      </c>
      <c r="S120" s="59">
        <f ca="1">AVERAGE(OFFSET($R$3,0,0,'Données projet'!$E$9+1,1))-AVERAGE(OFFSET($H$3,0,0,'Données projet'!$E$9+1,1))</f>
        <v>87.176473494358277</v>
      </c>
      <c r="T120" s="59">
        <f t="shared" si="88"/>
        <v>421.63096176860864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10.885053779754964</v>
      </c>
      <c r="AA120" s="21">
        <f>EXP(-LN(2)/25)*AA119+(1-EXP(-LN(2)/25))/(LN(2)/25)*Calculateur!V120*Calculateur!X120*VLOOKUP('Données projet'!$B$9,Paramètres!$A$1:$I$89,3,0)*0.475*44/12</f>
        <v>1.3408268586147953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12.225880638369759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69</v>
      </c>
      <c r="O121" s="13">
        <f>N121*VLOOKUP('Données projet'!$B$9,Paramètres!$A$1:$I$89,3,0)*VLOOKUP('Données projet'!$B$9,Paramètres!$A$1:$I$89,5,0)</f>
        <v>32.830199999999998</v>
      </c>
      <c r="P121" s="13">
        <f t="shared" si="87"/>
        <v>10.077002228349212</v>
      </c>
      <c r="Q121" s="20">
        <f t="shared" si="107"/>
        <v>74.730043881041539</v>
      </c>
      <c r="R121" s="59">
        <f t="shared" si="55"/>
        <v>368.06337721437484</v>
      </c>
      <c r="S121" s="59">
        <f ca="1">AVERAGE(OFFSET($R$3,0,0,'Données projet'!$E$9+1,1))-AVERAGE(OFFSET($H$3,0,0,'Données projet'!$E$9+1,1))</f>
        <v>87.176473494358277</v>
      </c>
      <c r="T121" s="59">
        <f t="shared" si="88"/>
        <v>421.63096176860864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10.671604514361205</v>
      </c>
      <c r="AA121" s="21">
        <f>EXP(-LN(2)/25)*AA120+(1-EXP(-LN(2)/25))/(LN(2)/25)*Calculateur!V121*Calculateur!X121*VLOOKUP('Données projet'!$B$9,Paramètres!$A$1:$I$89,3,0)*0.475*44/12</f>
        <v>1.3041618776549537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11.975766392016158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69</v>
      </c>
      <c r="O122" s="13">
        <f>N122*VLOOKUP('Données projet'!$B$9,Paramètres!$A$1:$I$89,3,0)*VLOOKUP('Données projet'!$B$9,Paramètres!$A$1:$I$89,5,0)</f>
        <v>32.830199999999998</v>
      </c>
      <c r="P122" s="13">
        <f t="shared" si="87"/>
        <v>10.077002228349212</v>
      </c>
      <c r="Q122" s="20">
        <f t="shared" si="107"/>
        <v>74.730043881041539</v>
      </c>
      <c r="R122" s="59">
        <f t="shared" si="55"/>
        <v>368.06337721437484</v>
      </c>
      <c r="S122" s="59">
        <f ca="1">AVERAGE(OFFSET($R$3,0,0,'Données projet'!$E$9+1,1))-AVERAGE(OFFSET($H$3,0,0,'Données projet'!$E$9+1,1))</f>
        <v>87.176473494358277</v>
      </c>
      <c r="T122" s="59">
        <f t="shared" si="88"/>
        <v>421.63096176860864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10.462340858870622</v>
      </c>
      <c r="AA122" s="21">
        <f>EXP(-LN(2)/25)*AA121+(1-EXP(-LN(2)/25))/(LN(2)/25)*Calculateur!V122*Calculateur!X122*VLOOKUP('Données projet'!$B$9,Paramètres!$A$1:$I$89,3,0)*0.475*44/12</f>
        <v>1.2684995025275865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11.730840361398208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69</v>
      </c>
      <c r="O123" s="13">
        <f>N123*VLOOKUP('Données projet'!$B$9,Paramètres!$A$1:$I$89,3,0)*VLOOKUP('Données projet'!$B$9,Paramètres!$A$1:$I$89,5,0)</f>
        <v>32.830199999999998</v>
      </c>
      <c r="P123" s="13">
        <f t="shared" si="87"/>
        <v>10.077002228349212</v>
      </c>
      <c r="Q123" s="20">
        <f t="shared" si="107"/>
        <v>74.730043881041539</v>
      </c>
      <c r="R123" s="59">
        <f t="shared" si="55"/>
        <v>368.06337721437484</v>
      </c>
      <c r="S123" s="59">
        <f ca="1">AVERAGE(OFFSET($R$3,0,0,'Données projet'!$E$9+1,1))-AVERAGE(OFFSET($H$3,0,0,'Données projet'!$E$9+1,1))</f>
        <v>87.176473494358277</v>
      </c>
      <c r="T123" s="59">
        <f t="shared" si="88"/>
        <v>421.63096176860864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10.257180736025981</v>
      </c>
      <c r="AA123" s="21">
        <f>EXP(-LN(2)/25)*AA122+(1-EXP(-LN(2)/25))/(LN(2)/25)*Calculateur!V123*Calculateur!X123*VLOOKUP('Données projet'!$B$9,Paramètres!$A$1:$I$89,3,0)*0.475*44/12</f>
        <v>1.23381231692348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11.490993052949461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69</v>
      </c>
      <c r="O124" s="13">
        <f>N124*VLOOKUP('Données projet'!$B$9,Paramètres!$A$1:$I$89,3,0)*VLOOKUP('Données projet'!$B$9,Paramètres!$A$1:$I$89,5,0)</f>
        <v>32.830199999999998</v>
      </c>
      <c r="P124" s="13">
        <f t="shared" si="87"/>
        <v>10.077002228349212</v>
      </c>
      <c r="Q124" s="20">
        <f t="shared" si="107"/>
        <v>74.730043881041539</v>
      </c>
      <c r="R124" s="59">
        <f t="shared" si="55"/>
        <v>368.06337721437484</v>
      </c>
      <c r="S124" s="59">
        <f ca="1">AVERAGE(OFFSET($R$3,0,0,'Données projet'!$E$9+1,1))-AVERAGE(OFFSET($H$3,0,0,'Données projet'!$E$9+1,1))</f>
        <v>87.176473494358277</v>
      </c>
      <c r="T124" s="59">
        <f t="shared" si="88"/>
        <v>421.63096176860864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10.056043678055007</v>
      </c>
      <c r="AA124" s="21">
        <f>EXP(-LN(2)/25)*AA123+(1-EXP(-LN(2)/25))/(LN(2)/25)*Calculateur!V124*Calculateur!X124*VLOOKUP('Données projet'!$B$9,Paramètres!$A$1:$I$89,3,0)*0.475*44/12</f>
        <v>1.2000736542338377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11.256117332288845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69</v>
      </c>
      <c r="O125" s="13">
        <f>N125*VLOOKUP('Données projet'!$B$9,Paramètres!$A$1:$I$89,3,0)*VLOOKUP('Données projet'!$B$9,Paramètres!$A$1:$I$89,5,0)</f>
        <v>32.830199999999998</v>
      </c>
      <c r="P125" s="13">
        <f t="shared" si="87"/>
        <v>10.077002228349212</v>
      </c>
      <c r="Q125" s="20">
        <f t="shared" si="107"/>
        <v>74.730043881041539</v>
      </c>
      <c r="R125" s="59">
        <f t="shared" si="55"/>
        <v>368.06337721437484</v>
      </c>
      <c r="S125" s="59">
        <f ca="1">AVERAGE(OFFSET($R$3,0,0,'Données projet'!$E$9+1,1))-AVERAGE(OFFSET($H$3,0,0,'Données projet'!$E$9+1,1))</f>
        <v>87.176473494358277</v>
      </c>
      <c r="T125" s="59">
        <f t="shared" si="88"/>
        <v>421.63096176860864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9.8588507951093511</v>
      </c>
      <c r="AA125" s="21">
        <f>EXP(-LN(2)/25)*AA124+(1-EXP(-LN(2)/25))/(LN(2)/25)*Calculateur!V125*Calculateur!X125*VLOOKUP('Données projet'!$B$9,Paramètres!$A$1:$I$89,3,0)*0.475*44/12</f>
        <v>1.1672575770496827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11.026108372159033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69</v>
      </c>
      <c r="O126" s="13">
        <f>N126*VLOOKUP('Données projet'!$B$9,Paramètres!$A$1:$I$89,3,0)*VLOOKUP('Données projet'!$B$9,Paramètres!$A$1:$I$89,5,0)</f>
        <v>32.830199999999998</v>
      </c>
      <c r="P126" s="13">
        <f t="shared" si="87"/>
        <v>10.077002228349212</v>
      </c>
      <c r="Q126" s="20">
        <f t="shared" si="107"/>
        <v>74.730043881041539</v>
      </c>
      <c r="R126" s="59">
        <f t="shared" si="55"/>
        <v>368.06337721437484</v>
      </c>
      <c r="S126" s="59">
        <f ca="1">AVERAGE(OFFSET($R$3,0,0,'Données projet'!$E$9+1,1))-AVERAGE(OFFSET($H$3,0,0,'Données projet'!$E$9+1,1))</f>
        <v>87.176473494358277</v>
      </c>
      <c r="T126" s="59">
        <f t="shared" si="88"/>
        <v>421.63096176860864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9.665524744322477</v>
      </c>
      <c r="AA126" s="21">
        <f>EXP(-LN(2)/25)*AA125+(1-EXP(-LN(2)/25))/(LN(2)/25)*Calculateur!V126*Calculateur!X126*VLOOKUP('Données projet'!$B$9,Paramètres!$A$1:$I$89,3,0)*0.475*44/12</f>
        <v>1.135338857221851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10.800863601544329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69</v>
      </c>
      <c r="O127" s="13">
        <f>N127*VLOOKUP('Données projet'!$B$9,Paramètres!$A$1:$I$89,3,0)*VLOOKUP('Données projet'!$B$9,Paramètres!$A$1:$I$89,5,0)</f>
        <v>32.830199999999998</v>
      </c>
      <c r="P127" s="13">
        <f t="shared" si="87"/>
        <v>10.077002228349212</v>
      </c>
      <c r="Q127" s="20">
        <f t="shared" si="107"/>
        <v>74.730043881041539</v>
      </c>
      <c r="R127" s="59">
        <f t="shared" si="55"/>
        <v>368.06337721437484</v>
      </c>
      <c r="S127" s="59">
        <f ca="1">AVERAGE(OFFSET($R$3,0,0,'Données projet'!$E$9+1,1))-AVERAGE(OFFSET($H$3,0,0,'Données projet'!$E$9+1,1))</f>
        <v>87.176473494358277</v>
      </c>
      <c r="T127" s="59">
        <f t="shared" si="88"/>
        <v>421.63096176860864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9.4759896994742867</v>
      </c>
      <c r="AA127" s="21">
        <f>EXP(-LN(2)/25)*AA126+(1-EXP(-LN(2)/25))/(LN(2)/25)*Calculateur!V127*Calculateur!X127*VLOOKUP('Données projet'!$B$9,Paramètres!$A$1:$I$89,3,0)*0.475*44/12</f>
        <v>1.1042929564662438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10.580282655940531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69</v>
      </c>
      <c r="O128" s="13">
        <f>N128*VLOOKUP('Données projet'!$B$9,Paramètres!$A$1:$I$89,3,0)*VLOOKUP('Données projet'!$B$9,Paramètres!$A$1:$I$89,5,0)</f>
        <v>32.830199999999998</v>
      </c>
      <c r="P128" s="13">
        <f t="shared" si="87"/>
        <v>10.077002228349212</v>
      </c>
      <c r="Q128" s="20">
        <f t="shared" si="107"/>
        <v>74.730043881041539</v>
      </c>
      <c r="R128" s="59">
        <f t="shared" si="55"/>
        <v>368.06337721437484</v>
      </c>
      <c r="S128" s="59">
        <f ca="1">AVERAGE(OFFSET($R$3,0,0,'Données projet'!$E$9+1,1))-AVERAGE(OFFSET($H$3,0,0,'Données projet'!$E$9+1,1))</f>
        <v>87.176473494358277</v>
      </c>
      <c r="T128" s="59">
        <f t="shared" si="88"/>
        <v>421.63096176860864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9.2901713212506056</v>
      </c>
      <c r="AA128" s="21">
        <f>EXP(-LN(2)/25)*AA127+(1-EXP(-LN(2)/25))/(LN(2)/25)*Calculateur!V128*Calculateur!X128*VLOOKUP('Données projet'!$B$9,Paramètres!$A$1:$I$89,3,0)*0.475*44/12</f>
        <v>1.0740960074994317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10.364267328750037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69</v>
      </c>
      <c r="O129" s="13">
        <f>N129*VLOOKUP('Données projet'!$B$9,Paramètres!$A$1:$I$89,3,0)*VLOOKUP('Données projet'!$B$9,Paramètres!$A$1:$I$89,5,0)</f>
        <v>32.830199999999998</v>
      </c>
      <c r="P129" s="13">
        <f t="shared" si="87"/>
        <v>10.077002228349212</v>
      </c>
      <c r="Q129" s="20">
        <f t="shared" si="107"/>
        <v>74.730043881041539</v>
      </c>
      <c r="R129" s="59">
        <f t="shared" si="55"/>
        <v>368.06337721437484</v>
      </c>
      <c r="S129" s="59">
        <f ca="1">AVERAGE(OFFSET($R$3,0,0,'Données projet'!$E$9+1,1))-AVERAGE(OFFSET($H$3,0,0,'Données projet'!$E$9+1,1))</f>
        <v>87.176473494358277</v>
      </c>
      <c r="T129" s="59">
        <f t="shared" si="88"/>
        <v>421.63096176860864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9.1079967280858725</v>
      </c>
      <c r="AA129" s="21">
        <f>EXP(-LN(2)/25)*AA128+(1-EXP(-LN(2)/25))/(LN(2)/25)*Calculateur!V129*Calculateur!X129*VLOOKUP('Données projet'!$B$9,Paramètres!$A$1:$I$89,3,0)*0.475*44/12</f>
        <v>1.0447247956901056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10.152721523775979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69</v>
      </c>
      <c r="O130" s="13">
        <f>N130*VLOOKUP('Données projet'!$B$9,Paramètres!$A$1:$I$89,3,0)*VLOOKUP('Données projet'!$B$9,Paramètres!$A$1:$I$89,5,0)</f>
        <v>32.830199999999998</v>
      </c>
      <c r="P130" s="13">
        <f t="shared" si="87"/>
        <v>10.077002228349212</v>
      </c>
      <c r="Q130" s="20">
        <f t="shared" si="107"/>
        <v>74.730043881041539</v>
      </c>
      <c r="R130" s="59">
        <f t="shared" si="55"/>
        <v>368.06337721437484</v>
      </c>
      <c r="S130" s="59">
        <f ca="1">AVERAGE(OFFSET($R$3,0,0,'Données projet'!$E$9+1,1))-AVERAGE(OFFSET($H$3,0,0,'Données projet'!$E$9+1,1))</f>
        <v>87.176473494358277</v>
      </c>
      <c r="T130" s="59">
        <f t="shared" si="88"/>
        <v>421.63096176860864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8.9293944675775698</v>
      </c>
      <c r="AA130" s="21">
        <f>EXP(-LN(2)/25)*AA129+(1-EXP(-LN(2)/25))/(LN(2)/25)*Calculateur!V130*Calculateur!X130*VLOOKUP('Données projet'!$B$9,Paramètres!$A$1:$I$89,3,0)*0.475*44/12</f>
        <v>1.0161567412122703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9.9455512087898406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69</v>
      </c>
      <c r="O131" s="13">
        <f>N131*VLOOKUP('Données projet'!$B$9,Paramètres!$A$1:$I$89,3,0)*VLOOKUP('Données projet'!$B$9,Paramètres!$A$1:$I$89,5,0)</f>
        <v>32.830199999999998</v>
      </c>
      <c r="P131" s="13">
        <f t="shared" si="87"/>
        <v>10.077002228349212</v>
      </c>
      <c r="Q131" s="20">
        <f t="shared" ref="Q131:Q153" si="108">(O131+P131)*0.475*44/12</f>
        <v>74.730043881041539</v>
      </c>
      <c r="R131" s="59">
        <f t="shared" ref="R131:R194" si="109">Q131+(I131+J131)*44/12</f>
        <v>368.06337721437484</v>
      </c>
      <c r="S131" s="59">
        <f ca="1">AVERAGE(OFFSET($R$3,0,0,'Données projet'!$E$9+1,1))-AVERAGE(OFFSET($H$3,0,0,'Données projet'!$E$9+1,1))</f>
        <v>87.176473494358277</v>
      </c>
      <c r="T131" s="59">
        <f t="shared" si="88"/>
        <v>421.63096176860864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8.7542944884612126</v>
      </c>
      <c r="AA131" s="21">
        <f>EXP(-LN(2)/25)*AA130+(1-EXP(-LN(2)/25))/(LN(2)/25)*Calculateur!V131*Calculateur!X131*VLOOKUP('Données projet'!$B$9,Paramètres!$A$1:$I$89,3,0)*0.475*44/12</f>
        <v>0.98836988168646023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9.7426643701476721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69</v>
      </c>
      <c r="O132" s="13">
        <f>N132*VLOOKUP('Données projet'!$B$9,Paramètres!$A$1:$I$89,3,0)*VLOOKUP('Données projet'!$B$9,Paramètres!$A$1:$I$89,5,0)</f>
        <v>32.830199999999998</v>
      </c>
      <c r="P132" s="13">
        <f t="shared" si="87"/>
        <v>10.077002228349212</v>
      </c>
      <c r="Q132" s="20">
        <f t="shared" si="108"/>
        <v>74.730043881041539</v>
      </c>
      <c r="R132" s="59">
        <f t="shared" si="109"/>
        <v>368.06337721437484</v>
      </c>
      <c r="S132" s="59">
        <f ca="1">AVERAGE(OFFSET($R$3,0,0,'Données projet'!$E$9+1,1))-AVERAGE(OFFSET($H$3,0,0,'Données projet'!$E$9+1,1))</f>
        <v>87.176473494358277</v>
      </c>
      <c r="T132" s="59">
        <f t="shared" si="88"/>
        <v>421.63096176860864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8.582628113134886</v>
      </c>
      <c r="AA132" s="21">
        <f>EXP(-LN(2)/25)*AA131+(1-EXP(-LN(2)/25))/(LN(2)/25)*Calculateur!V132*Calculateur!X132*VLOOKUP('Données projet'!$B$9,Paramètres!$A$1:$I$89,3,0)*0.475*44/12</f>
        <v>0.96134285529563079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9.5439709684305161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69</v>
      </c>
      <c r="O133" s="13">
        <f>N133*VLOOKUP('Données projet'!$B$9,Paramètres!$A$1:$I$89,3,0)*VLOOKUP('Données projet'!$B$9,Paramètres!$A$1:$I$89,5,0)</f>
        <v>32.830199999999998</v>
      </c>
      <c r="P133" s="13">
        <f t="shared" ref="P133:P196" si="141">EXP(-1.0587+0.8836*LN(O133)+0.284)</f>
        <v>10.077002228349212</v>
      </c>
      <c r="Q133" s="20">
        <f t="shared" si="108"/>
        <v>74.730043881041539</v>
      </c>
      <c r="R133" s="59">
        <f t="shared" si="109"/>
        <v>368.06337721437484</v>
      </c>
      <c r="S133" s="59">
        <f ca="1">AVERAGE(OFFSET($R$3,0,0,'Données projet'!$E$9+1,1))-AVERAGE(OFFSET($H$3,0,0,'Données projet'!$E$9+1,1))</f>
        <v>87.176473494358277</v>
      </c>
      <c r="T133" s="59">
        <f t="shared" ref="T133:T196" si="142">$T$3</f>
        <v>421.63096176860864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8.4143280107225582</v>
      </c>
      <c r="AA133" s="21">
        <f>EXP(-LN(2)/25)*AA132+(1-EXP(-LN(2)/25))/(LN(2)/25)*Calculateur!V133*Calculateur!X133*VLOOKUP('Données projet'!$B$9,Paramètres!$A$1:$I$89,3,0)*0.475*44/12</f>
        <v>0.9350548843627482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9.3493828950853057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69</v>
      </c>
      <c r="O134" s="13">
        <f>N134*VLOOKUP('Données projet'!$B$9,Paramètres!$A$1:$I$89,3,0)*VLOOKUP('Données projet'!$B$9,Paramètres!$A$1:$I$89,5,0)</f>
        <v>32.830199999999998</v>
      </c>
      <c r="P134" s="13">
        <f t="shared" si="141"/>
        <v>10.077002228349212</v>
      </c>
      <c r="Q134" s="20">
        <f t="shared" si="108"/>
        <v>74.730043881041539</v>
      </c>
      <c r="R134" s="59">
        <f t="shared" si="109"/>
        <v>368.06337721437484</v>
      </c>
      <c r="S134" s="59">
        <f ca="1">AVERAGE(OFFSET($R$3,0,0,'Données projet'!$E$9+1,1))-AVERAGE(OFFSET($H$3,0,0,'Données projet'!$E$9+1,1))</f>
        <v>87.176473494358277</v>
      </c>
      <c r="T134" s="59">
        <f t="shared" si="142"/>
        <v>421.63096176860864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8.2493281706656099</v>
      </c>
      <c r="AA134" s="21">
        <f>EXP(-LN(2)/25)*AA133+(1-EXP(-LN(2)/25))/(LN(2)/25)*Calculateur!V134*Calculateur!X134*VLOOKUP('Données projet'!$B$9,Paramètres!$A$1:$I$89,3,0)*0.475*44/12</f>
        <v>0.90948575937744958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9.1588139300430598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69</v>
      </c>
      <c r="O135" s="13">
        <f>N135*VLOOKUP('Données projet'!$B$9,Paramètres!$A$1:$I$89,3,0)*VLOOKUP('Données projet'!$B$9,Paramètres!$A$1:$I$89,5,0)</f>
        <v>32.830199999999998</v>
      </c>
      <c r="P135" s="13">
        <f t="shared" si="141"/>
        <v>10.077002228349212</v>
      </c>
      <c r="Q135" s="20">
        <f t="shared" si="108"/>
        <v>74.730043881041539</v>
      </c>
      <c r="R135" s="59">
        <f t="shared" si="109"/>
        <v>368.06337721437484</v>
      </c>
      <c r="S135" s="59">
        <f ca="1">AVERAGE(OFFSET($R$3,0,0,'Données projet'!$E$9+1,1))-AVERAGE(OFFSET($H$3,0,0,'Données projet'!$E$9+1,1))</f>
        <v>87.176473494358277</v>
      </c>
      <c r="T135" s="59">
        <f t="shared" si="142"/>
        <v>421.63096176860864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8.0875638768322133</v>
      </c>
      <c r="AA135" s="21">
        <f>EXP(-LN(2)/25)*AA134+(1-EXP(-LN(2)/25))/(LN(2)/25)*Calculateur!V135*Calculateur!X135*VLOOKUP('Données projet'!$B$9,Paramètres!$A$1:$I$89,3,0)*0.475*44/12</f>
        <v>0.88461582345949574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8.9721797002917096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69</v>
      </c>
      <c r="O136" s="13">
        <f>N136*VLOOKUP('Données projet'!$B$9,Paramètres!$A$1:$I$89,3,0)*VLOOKUP('Données projet'!$B$9,Paramètres!$A$1:$I$89,5,0)</f>
        <v>32.830199999999998</v>
      </c>
      <c r="P136" s="13">
        <f t="shared" si="141"/>
        <v>10.077002228349212</v>
      </c>
      <c r="Q136" s="20">
        <f t="shared" si="108"/>
        <v>74.730043881041539</v>
      </c>
      <c r="R136" s="59">
        <f t="shared" si="109"/>
        <v>368.06337721437484</v>
      </c>
      <c r="S136" s="59">
        <f ca="1">AVERAGE(OFFSET($R$3,0,0,'Données projet'!$E$9+1,1))-AVERAGE(OFFSET($H$3,0,0,'Données projet'!$E$9+1,1))</f>
        <v>87.176473494358277</v>
      </c>
      <c r="T136" s="59">
        <f t="shared" si="142"/>
        <v>421.63096176860864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7.9289716821344127</v>
      </c>
      <c r="AA136" s="21">
        <f>EXP(-LN(2)/25)*AA135+(1-EXP(-LN(2)/25))/(LN(2)/25)*Calculateur!V136*Calculateur!X136*VLOOKUP('Données projet'!$B$9,Paramètres!$A$1:$I$89,3,0)*0.475*44/12</f>
        <v>0.86042595724707149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8.7893976393814839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69</v>
      </c>
      <c r="O137" s="13">
        <f>N137*VLOOKUP('Données projet'!$B$9,Paramètres!$A$1:$I$89,3,0)*VLOOKUP('Données projet'!$B$9,Paramètres!$A$1:$I$89,5,0)</f>
        <v>32.830199999999998</v>
      </c>
      <c r="P137" s="13">
        <f t="shared" si="141"/>
        <v>10.077002228349212</v>
      </c>
      <c r="Q137" s="20">
        <f t="shared" si="108"/>
        <v>74.730043881041539</v>
      </c>
      <c r="R137" s="59">
        <f t="shared" si="109"/>
        <v>368.06337721437484</v>
      </c>
      <c r="S137" s="59">
        <f ca="1">AVERAGE(OFFSET($R$3,0,0,'Données projet'!$E$9+1,1))-AVERAGE(OFFSET($H$3,0,0,'Données projet'!$E$9+1,1))</f>
        <v>87.176473494358277</v>
      </c>
      <c r="T137" s="59">
        <f t="shared" si="142"/>
        <v>421.63096176860864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7.7734893836429482</v>
      </c>
      <c r="AA137" s="21">
        <f>EXP(-LN(2)/25)*AA136+(1-EXP(-LN(2)/25))/(LN(2)/25)*Calculateur!V137*Calculateur!X137*VLOOKUP('Données projet'!$B$9,Paramètres!$A$1:$I$89,3,0)*0.475*44/12</f>
        <v>0.83689756419831574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8.6103869478412633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69</v>
      </c>
      <c r="O138" s="13">
        <f>N138*VLOOKUP('Données projet'!$B$9,Paramètres!$A$1:$I$89,3,0)*VLOOKUP('Données projet'!$B$9,Paramètres!$A$1:$I$89,5,0)</f>
        <v>32.830199999999998</v>
      </c>
      <c r="P138" s="13">
        <f t="shared" si="141"/>
        <v>10.077002228349212</v>
      </c>
      <c r="Q138" s="20">
        <f t="shared" si="108"/>
        <v>74.730043881041539</v>
      </c>
      <c r="R138" s="59">
        <f t="shared" si="109"/>
        <v>368.06337721437484</v>
      </c>
      <c r="S138" s="59">
        <f ca="1">AVERAGE(OFFSET($R$3,0,0,'Données projet'!$E$9+1,1))-AVERAGE(OFFSET($H$3,0,0,'Données projet'!$E$9+1,1))</f>
        <v>87.176473494358277</v>
      </c>
      <c r="T138" s="59">
        <f t="shared" si="142"/>
        <v>421.63096176860864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7.6210559981900632</v>
      </c>
      <c r="AA138" s="21">
        <f>EXP(-LN(2)/25)*AA137+(1-EXP(-LN(2)/25))/(LN(2)/25)*Calculateur!V138*Calculateur!X138*VLOOKUP('Données projet'!$B$9,Paramètres!$A$1:$I$89,3,0)*0.475*44/12</f>
        <v>0.81401255629478264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8.4350685544848467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69</v>
      </c>
      <c r="O139" s="13">
        <f>N139*VLOOKUP('Données projet'!$B$9,Paramètres!$A$1:$I$89,3,0)*VLOOKUP('Données projet'!$B$9,Paramètres!$A$1:$I$89,5,0)</f>
        <v>32.830199999999998</v>
      </c>
      <c r="P139" s="13">
        <f t="shared" si="141"/>
        <v>10.077002228349212</v>
      </c>
      <c r="Q139" s="20">
        <f t="shared" si="108"/>
        <v>74.730043881041539</v>
      </c>
      <c r="R139" s="59">
        <f t="shared" si="109"/>
        <v>368.06337721437484</v>
      </c>
      <c r="S139" s="59">
        <f ca="1">AVERAGE(OFFSET($R$3,0,0,'Données projet'!$E$9+1,1))-AVERAGE(OFFSET($H$3,0,0,'Données projet'!$E$9+1,1))</f>
        <v>87.176473494358277</v>
      </c>
      <c r="T139" s="59">
        <f t="shared" si="142"/>
        <v>421.63096176860864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7.4716117384507248</v>
      </c>
      <c r="AA139" s="21">
        <f>EXP(-LN(2)/25)*AA138+(1-EXP(-LN(2)/25))/(LN(2)/25)*Calculateur!V139*Calculateur!X139*VLOOKUP('Données projet'!$B$9,Paramètres!$A$1:$I$89,3,0)*0.475*44/12</f>
        <v>0.79175334013584198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8.2633650785865669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69</v>
      </c>
      <c r="O140" s="13">
        <f>N140*VLOOKUP('Données projet'!$B$9,Paramètres!$A$1:$I$89,3,0)*VLOOKUP('Données projet'!$B$9,Paramètres!$A$1:$I$89,5,0)</f>
        <v>32.830199999999998</v>
      </c>
      <c r="P140" s="13">
        <f t="shared" si="141"/>
        <v>10.077002228349212</v>
      </c>
      <c r="Q140" s="20">
        <f t="shared" si="108"/>
        <v>74.730043881041539</v>
      </c>
      <c r="R140" s="59">
        <f t="shared" si="109"/>
        <v>368.06337721437484</v>
      </c>
      <c r="S140" s="59">
        <f ca="1">AVERAGE(OFFSET($R$3,0,0,'Données projet'!$E$9+1,1))-AVERAGE(OFFSET($H$3,0,0,'Données projet'!$E$9+1,1))</f>
        <v>87.176473494358277</v>
      </c>
      <c r="T140" s="59">
        <f t="shared" si="142"/>
        <v>421.63096176860864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7.3250979894928774</v>
      </c>
      <c r="AA140" s="21">
        <f>EXP(-LN(2)/25)*AA139+(1-EXP(-LN(2)/25))/(LN(2)/25)*Calculateur!V140*Calculateur!X140*VLOOKUP('Données projet'!$B$9,Paramètres!$A$1:$I$89,3,0)*0.475*44/12</f>
        <v>0.77010280341332882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8.0952007929062066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69</v>
      </c>
      <c r="O141" s="13">
        <f>N141*VLOOKUP('Données projet'!$B$9,Paramètres!$A$1:$I$89,3,0)*VLOOKUP('Données projet'!$B$9,Paramètres!$A$1:$I$89,5,0)</f>
        <v>32.830199999999998</v>
      </c>
      <c r="P141" s="13">
        <f t="shared" si="141"/>
        <v>10.077002228349212</v>
      </c>
      <c r="Q141" s="20">
        <f t="shared" si="108"/>
        <v>74.730043881041539</v>
      </c>
      <c r="R141" s="59">
        <f t="shared" si="109"/>
        <v>368.06337721437484</v>
      </c>
      <c r="S141" s="59">
        <f ca="1">AVERAGE(OFFSET($R$3,0,0,'Données projet'!$E$9+1,1))-AVERAGE(OFFSET($H$3,0,0,'Données projet'!$E$9+1,1))</f>
        <v>87.176473494358277</v>
      </c>
      <c r="T141" s="59">
        <f t="shared" si="142"/>
        <v>421.63096176860864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7.1814572857875305</v>
      </c>
      <c r="AA141" s="21">
        <f>EXP(-LN(2)/25)*AA140+(1-EXP(-LN(2)/25))/(LN(2)/25)*Calculateur!V141*Calculateur!X141*VLOOKUP('Données projet'!$B$9,Paramètres!$A$1:$I$89,3,0)*0.475*44/12</f>
        <v>0.74904430175604497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7.9305015875435751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69</v>
      </c>
      <c r="O142" s="13">
        <f>N142*VLOOKUP('Données projet'!$B$9,Paramètres!$A$1:$I$89,3,0)*VLOOKUP('Données projet'!$B$9,Paramètres!$A$1:$I$89,5,0)</f>
        <v>32.830199999999998</v>
      </c>
      <c r="P142" s="13">
        <f t="shared" si="141"/>
        <v>10.077002228349212</v>
      </c>
      <c r="Q142" s="20">
        <f t="shared" si="108"/>
        <v>74.730043881041539</v>
      </c>
      <c r="R142" s="59">
        <f t="shared" si="109"/>
        <v>368.06337721437484</v>
      </c>
      <c r="S142" s="59">
        <f ca="1">AVERAGE(OFFSET($R$3,0,0,'Données projet'!$E$9+1,1))-AVERAGE(OFFSET($H$3,0,0,'Données projet'!$E$9+1,1))</f>
        <v>87.176473494358277</v>
      </c>
      <c r="T142" s="59">
        <f t="shared" si="142"/>
        <v>421.63096176860864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7.0406332886696665</v>
      </c>
      <c r="AA142" s="21">
        <f>EXP(-LN(2)/25)*AA141+(1-EXP(-LN(2)/25))/(LN(2)/25)*Calculateur!V142*Calculateur!X142*VLOOKUP('Données projet'!$B$9,Paramètres!$A$1:$I$89,3,0)*0.475*44/12</f>
        <v>0.72856164593399808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7.7691949346036644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69</v>
      </c>
      <c r="O143" s="13">
        <f>N143*VLOOKUP('Données projet'!$B$9,Paramètres!$A$1:$I$89,3,0)*VLOOKUP('Données projet'!$B$9,Paramètres!$A$1:$I$89,5,0)</f>
        <v>32.830199999999998</v>
      </c>
      <c r="P143" s="13">
        <f t="shared" si="141"/>
        <v>10.077002228349212</v>
      </c>
      <c r="Q143" s="20">
        <f t="shared" si="108"/>
        <v>74.730043881041539</v>
      </c>
      <c r="R143" s="59">
        <f t="shared" si="109"/>
        <v>368.06337721437484</v>
      </c>
      <c r="S143" s="59">
        <f ca="1">AVERAGE(OFFSET($R$3,0,0,'Données projet'!$E$9+1,1))-AVERAGE(OFFSET($H$3,0,0,'Données projet'!$E$9+1,1))</f>
        <v>87.176473494358277</v>
      </c>
      <c r="T143" s="59">
        <f t="shared" si="142"/>
        <v>421.63096176860864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6.9025707642411271</v>
      </c>
      <c r="AA143" s="21">
        <f>EXP(-LN(2)/25)*AA142+(1-EXP(-LN(2)/25))/(LN(2)/25)*Calculateur!V143*Calculateur!X143*VLOOKUP('Données projet'!$B$9,Paramètres!$A$1:$I$89,3,0)*0.475*44/12</f>
        <v>0.70863908941254106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7.6112098536536683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69</v>
      </c>
      <c r="O144" s="13">
        <f>N144*VLOOKUP('Données projet'!$B$9,Paramètres!$A$1:$I$89,3,0)*VLOOKUP('Données projet'!$B$9,Paramètres!$A$1:$I$89,5,0)</f>
        <v>32.830199999999998</v>
      </c>
      <c r="P144" s="13">
        <f t="shared" si="141"/>
        <v>10.077002228349212</v>
      </c>
      <c r="Q144" s="20">
        <f t="shared" si="108"/>
        <v>74.730043881041539</v>
      </c>
      <c r="R144" s="59">
        <f t="shared" si="109"/>
        <v>368.06337721437484</v>
      </c>
      <c r="S144" s="59">
        <f ca="1">AVERAGE(OFFSET($R$3,0,0,'Données projet'!$E$9+1,1))-AVERAGE(OFFSET($H$3,0,0,'Données projet'!$E$9+1,1))</f>
        <v>87.176473494358277</v>
      </c>
      <c r="T144" s="59">
        <f t="shared" si="142"/>
        <v>421.63096176860864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6.7672155617068066</v>
      </c>
      <c r="AA144" s="21">
        <f>EXP(-LN(2)/25)*AA143+(1-EXP(-LN(2)/25))/(LN(2)/25)*Calculateur!V144*Calculateur!X144*VLOOKUP('Données projet'!$B$9,Paramètres!$A$1:$I$89,3,0)*0.475*44/12</f>
        <v>0.68926131624684506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7.4564768779536514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69</v>
      </c>
      <c r="O145" s="13">
        <f>N145*VLOOKUP('Données projet'!$B$9,Paramètres!$A$1:$I$89,3,0)*VLOOKUP('Données projet'!$B$9,Paramètres!$A$1:$I$89,5,0)</f>
        <v>32.830199999999998</v>
      </c>
      <c r="P145" s="13">
        <f t="shared" si="141"/>
        <v>10.077002228349212</v>
      </c>
      <c r="Q145" s="20">
        <f t="shared" si="108"/>
        <v>74.730043881041539</v>
      </c>
      <c r="R145" s="59">
        <f t="shared" si="109"/>
        <v>368.06337721437484</v>
      </c>
      <c r="S145" s="59">
        <f ca="1">AVERAGE(OFFSET($R$3,0,0,'Données projet'!$E$9+1,1))-AVERAGE(OFFSET($H$3,0,0,'Données projet'!$E$9+1,1))</f>
        <v>87.176473494358277</v>
      </c>
      <c r="T145" s="59">
        <f t="shared" si="142"/>
        <v>421.63096176860864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6.6345145921356625</v>
      </c>
      <c r="AA145" s="21">
        <f>EXP(-LN(2)/25)*AA144+(1-EXP(-LN(2)/25))/(LN(2)/25)*Calculateur!V145*Calculateur!X145*VLOOKUP('Données projet'!$B$9,Paramètres!$A$1:$I$89,3,0)*0.475*44/12</f>
        <v>0.67041342930739778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7.3049280214430601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69</v>
      </c>
      <c r="O146" s="13">
        <f>N146*VLOOKUP('Données projet'!$B$9,Paramètres!$A$1:$I$89,3,0)*VLOOKUP('Données projet'!$B$9,Paramètres!$A$1:$I$89,5,0)</f>
        <v>32.830199999999998</v>
      </c>
      <c r="P146" s="13">
        <f t="shared" si="141"/>
        <v>10.077002228349212</v>
      </c>
      <c r="Q146" s="20">
        <f t="shared" si="108"/>
        <v>74.730043881041539</v>
      </c>
      <c r="R146" s="59">
        <f t="shared" si="109"/>
        <v>368.06337721437484</v>
      </c>
      <c r="S146" s="59">
        <f ca="1">AVERAGE(OFFSET($R$3,0,0,'Données projet'!$E$9+1,1))-AVERAGE(OFFSET($H$3,0,0,'Données projet'!$E$9+1,1))</f>
        <v>87.176473494358277</v>
      </c>
      <c r="T146" s="59">
        <f t="shared" si="142"/>
        <v>421.63096176860864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6.5044158076382095</v>
      </c>
      <c r="AA146" s="21">
        <f>EXP(-LN(2)/25)*AA145+(1-EXP(-LN(2)/25))/(LN(2)/25)*Calculateur!V146*Calculateur!X146*VLOOKUP('Données projet'!$B$9,Paramètres!$A$1:$I$89,3,0)*0.475*44/12</f>
        <v>0.65208093882747697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7.1564967464656863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69</v>
      </c>
      <c r="O147" s="13">
        <f>N147*VLOOKUP('Données projet'!$B$9,Paramètres!$A$1:$I$89,3,0)*VLOOKUP('Données projet'!$B$9,Paramètres!$A$1:$I$89,5,0)</f>
        <v>32.830199999999998</v>
      </c>
      <c r="P147" s="13">
        <f t="shared" si="141"/>
        <v>10.077002228349212</v>
      </c>
      <c r="Q147" s="20">
        <f t="shared" si="108"/>
        <v>74.730043881041539</v>
      </c>
      <c r="R147" s="59">
        <f t="shared" si="109"/>
        <v>368.06337721437484</v>
      </c>
      <c r="S147" s="59">
        <f ca="1">AVERAGE(OFFSET($R$3,0,0,'Données projet'!$E$9+1,1))-AVERAGE(OFFSET($H$3,0,0,'Données projet'!$E$9+1,1))</f>
        <v>87.176473494358277</v>
      </c>
      <c r="T147" s="59">
        <f t="shared" si="142"/>
        <v>421.63096176860864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6.3768681809523287</v>
      </c>
      <c r="AA147" s="21">
        <f>EXP(-LN(2)/25)*AA146+(1-EXP(-LN(2)/25))/(LN(2)/25)*Calculateur!V147*Calculateur!X147*VLOOKUP('Données projet'!$B$9,Paramètres!$A$1:$I$89,3,0)*0.475*44/12</f>
        <v>0.63424975126379335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7.0111179322161217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69</v>
      </c>
      <c r="O148" s="13">
        <f>N148*VLOOKUP('Données projet'!$B$9,Paramètres!$A$1:$I$89,3,0)*VLOOKUP('Données projet'!$B$9,Paramètres!$A$1:$I$89,5,0)</f>
        <v>32.830199999999998</v>
      </c>
      <c r="P148" s="13">
        <f t="shared" si="141"/>
        <v>10.077002228349212</v>
      </c>
      <c r="Q148" s="20">
        <f t="shared" si="108"/>
        <v>74.730043881041539</v>
      </c>
      <c r="R148" s="59">
        <f t="shared" si="109"/>
        <v>368.06337721437484</v>
      </c>
      <c r="S148" s="59">
        <f ca="1">AVERAGE(OFFSET($R$3,0,0,'Données projet'!$E$9+1,1))-AVERAGE(OFFSET($H$3,0,0,'Données projet'!$E$9+1,1))</f>
        <v>87.176473494358277</v>
      </c>
      <c r="T148" s="59">
        <f t="shared" si="142"/>
        <v>421.63096176860864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6.2518216854293875</v>
      </c>
      <c r="AA148" s="21">
        <f>EXP(-LN(2)/25)*AA147+(1-EXP(-LN(2)/25))/(LN(2)/25)*Calculateur!V148*Calculateur!X148*VLOOKUP('Données projet'!$B$9,Paramètres!$A$1:$I$89,3,0)*0.475*44/12</f>
        <v>0.61690615846174013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6.8687278438911274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69</v>
      </c>
      <c r="O149" s="13">
        <f>N149*VLOOKUP('Données projet'!$B$9,Paramètres!$A$1:$I$89,3,0)*VLOOKUP('Données projet'!$B$9,Paramètres!$A$1:$I$89,5,0)</f>
        <v>32.830199999999998</v>
      </c>
      <c r="P149" s="13">
        <f t="shared" si="141"/>
        <v>10.077002228349212</v>
      </c>
      <c r="Q149" s="20">
        <f t="shared" si="108"/>
        <v>74.730043881041539</v>
      </c>
      <c r="R149" s="59">
        <f t="shared" si="109"/>
        <v>368.06337721437484</v>
      </c>
      <c r="S149" s="59">
        <f ca="1">AVERAGE(OFFSET($R$3,0,0,'Données projet'!$E$9+1,1))-AVERAGE(OFFSET($H$3,0,0,'Données projet'!$E$9+1,1))</f>
        <v>87.176473494358277</v>
      </c>
      <c r="T149" s="59">
        <f t="shared" si="142"/>
        <v>421.63096176860864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6.1292272754128199</v>
      </c>
      <c r="AA149" s="21">
        <f>EXP(-LN(2)/25)*AA148+(1-EXP(-LN(2)/25))/(LN(2)/25)*Calculateur!V149*Calculateur!X149*VLOOKUP('Données projet'!$B$9,Paramètres!$A$1:$I$89,3,0)*0.475*44/12</f>
        <v>0.60003682711691897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6.7292641025297391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69</v>
      </c>
      <c r="O150" s="13">
        <f>N150*VLOOKUP('Données projet'!$B$9,Paramètres!$A$1:$I$89,3,0)*VLOOKUP('Données projet'!$B$9,Paramètres!$A$1:$I$89,5,0)</f>
        <v>32.830199999999998</v>
      </c>
      <c r="P150" s="13">
        <f t="shared" si="141"/>
        <v>10.077002228349212</v>
      </c>
      <c r="Q150" s="20">
        <f t="shared" si="108"/>
        <v>74.730043881041539</v>
      </c>
      <c r="R150" s="59">
        <f t="shared" si="109"/>
        <v>368.06337721437484</v>
      </c>
      <c r="S150" s="59">
        <f ca="1">AVERAGE(OFFSET($R$3,0,0,'Données projet'!$E$9+1,1))-AVERAGE(OFFSET($H$3,0,0,'Données projet'!$E$9+1,1))</f>
        <v>87.176473494358277</v>
      </c>
      <c r="T150" s="59">
        <f t="shared" si="142"/>
        <v>421.63096176860864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6.0090368670014707</v>
      </c>
      <c r="AA150" s="21">
        <f>EXP(-LN(2)/25)*AA149+(1-EXP(-LN(2)/25))/(LN(2)/25)*Calculateur!V150*Calculateur!X150*VLOOKUP('Données projet'!$B$9,Paramètres!$A$1:$I$89,3,0)*0.475*44/12</f>
        <v>0.58362878852484146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6.5926656555263126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69</v>
      </c>
      <c r="O151" s="13">
        <f>N151*VLOOKUP('Données projet'!$B$9,Paramètres!$A$1:$I$89,3,0)*VLOOKUP('Données projet'!$B$9,Paramètres!$A$1:$I$89,5,0)</f>
        <v>32.830199999999998</v>
      </c>
      <c r="P151" s="13">
        <f t="shared" si="141"/>
        <v>10.077002228349212</v>
      </c>
      <c r="Q151" s="20">
        <f t="shared" si="108"/>
        <v>74.730043881041539</v>
      </c>
      <c r="R151" s="59">
        <f t="shared" si="109"/>
        <v>368.06337721437484</v>
      </c>
      <c r="S151" s="59">
        <f ca="1">AVERAGE(OFFSET($R$3,0,0,'Données projet'!$E$9+1,1))-AVERAGE(OFFSET($H$3,0,0,'Données projet'!$E$9+1,1))</f>
        <v>87.176473494358277</v>
      </c>
      <c r="T151" s="59">
        <f t="shared" si="142"/>
        <v>421.63096176860864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5.8912033191901569</v>
      </c>
      <c r="AA151" s="21">
        <f>EXP(-LN(2)/25)*AA150+(1-EXP(-LN(2)/25))/(LN(2)/25)*Calculateur!V151*Calculateur!X151*VLOOKUP('Données projet'!$B$9,Paramètres!$A$1:$I$89,3,0)*0.475*44/12</f>
        <v>0.56766942861092562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6.4588727478010828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69</v>
      </c>
      <c r="O152" s="13">
        <f>N152*VLOOKUP('Données projet'!$B$9,Paramètres!$A$1:$I$89,3,0)*VLOOKUP('Données projet'!$B$9,Paramètres!$A$1:$I$89,5,0)</f>
        <v>32.830199999999998</v>
      </c>
      <c r="P152" s="13">
        <f t="shared" si="141"/>
        <v>10.077002228349212</v>
      </c>
      <c r="Q152" s="20">
        <f t="shared" si="108"/>
        <v>74.730043881041539</v>
      </c>
      <c r="R152" s="59">
        <f t="shared" si="109"/>
        <v>368.06337721437484</v>
      </c>
      <c r="S152" s="59">
        <f ca="1">AVERAGE(OFFSET($R$3,0,0,'Données projet'!$E$9+1,1))-AVERAGE(OFFSET($H$3,0,0,'Données projet'!$E$9+1,1))</f>
        <v>87.176473494358277</v>
      </c>
      <c r="T152" s="59">
        <f t="shared" si="142"/>
        <v>421.63096176860864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5.7756804153800561</v>
      </c>
      <c r="AA152" s="21">
        <f>EXP(-LN(2)/25)*AA151+(1-EXP(-LN(2)/25))/(LN(2)/25)*Calculateur!V152*Calculateur!X152*VLOOKUP('Données projet'!$B$9,Paramètres!$A$1:$I$89,3,0)*0.475*44/12</f>
        <v>0.55214647823312202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6.3278268936131781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69</v>
      </c>
      <c r="O153" s="13">
        <f>N153*VLOOKUP('Données projet'!$B$9,Paramètres!$A$1:$I$89,3,0)*VLOOKUP('Données projet'!$B$9,Paramètres!$A$1:$I$89,5,0)</f>
        <v>32.830199999999998</v>
      </c>
      <c r="P153" s="13">
        <f t="shared" si="141"/>
        <v>10.077002228349212</v>
      </c>
      <c r="Q153" s="20">
        <f t="shared" si="108"/>
        <v>74.730043881041539</v>
      </c>
      <c r="R153" s="59">
        <f t="shared" si="109"/>
        <v>368.06337721437484</v>
      </c>
      <c r="S153" s="59">
        <f ca="1">AVERAGE(OFFSET($R$3,0,0,'Données projet'!$E$9+1,1))-AVERAGE(OFFSET($H$3,0,0,'Données projet'!$E$9+1,1))</f>
        <v>87.176473494358277</v>
      </c>
      <c r="T153" s="59">
        <f t="shared" si="142"/>
        <v>421.63096176860864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5.6624228452516574</v>
      </c>
      <c r="AA153" s="21">
        <f>EXP(-LN(2)/25)*AA152+(1-EXP(-LN(2)/25))/(LN(2)/25)*Calculateur!V153*Calculateur!X153*VLOOKUP('Données projet'!$B$9,Paramètres!$A$1:$I$89,3,0)*0.475*44/12</f>
        <v>0.53704800374971595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6.199470849001373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69</v>
      </c>
      <c r="O154" s="13">
        <f>N154*VLOOKUP('Données projet'!$B$9,Paramètres!$A$1:$I$89,3,0)*VLOOKUP('Données projet'!$B$9,Paramètres!$A$1:$I$89,5,0)</f>
        <v>32.830199999999998</v>
      </c>
      <c r="P154" s="13">
        <f t="shared" si="141"/>
        <v>10.077002228349212</v>
      </c>
      <c r="Q154" s="20">
        <f t="shared" ref="Q154:Q203" si="162">(O154+P154)*0.475*44/12</f>
        <v>74.730043881041539</v>
      </c>
      <c r="R154" s="59">
        <f t="shared" si="109"/>
        <v>368.06337721437484</v>
      </c>
      <c r="S154" s="59">
        <f ca="1">AVERAGE(OFFSET($R$3,0,0,'Données projet'!$E$9+1,1))-AVERAGE(OFFSET($H$3,0,0,'Données projet'!$E$9+1,1))</f>
        <v>87.176473494358277</v>
      </c>
      <c r="T154" s="59">
        <f t="shared" si="142"/>
        <v>421.63096176860864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5.55138618699318</v>
      </c>
      <c r="AA154" s="21">
        <f>EXP(-LN(2)/25)*AA153+(1-EXP(-LN(2)/25))/(LN(2)/25)*Calculateur!V154*Calculateur!X154*VLOOKUP('Données projet'!$B$9,Paramètres!$A$1:$I$89,3,0)*0.475*44/12</f>
        <v>0.52236239784505289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6.0737485848382331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69</v>
      </c>
      <c r="O155" s="13">
        <f>N155*VLOOKUP('Données projet'!$B$9,Paramètres!$A$1:$I$89,3,0)*VLOOKUP('Données projet'!$B$9,Paramètres!$A$1:$I$89,5,0)</f>
        <v>32.830199999999998</v>
      </c>
      <c r="P155" s="13">
        <f t="shared" si="141"/>
        <v>10.077002228349212</v>
      </c>
      <c r="Q155" s="20">
        <f t="shared" si="162"/>
        <v>74.730043881041539</v>
      </c>
      <c r="R155" s="59">
        <f t="shared" si="109"/>
        <v>368.06337721437484</v>
      </c>
      <c r="S155" s="59">
        <f ca="1">AVERAGE(OFFSET($R$3,0,0,'Données projet'!$E$9+1,1))-AVERAGE(OFFSET($H$3,0,0,'Données projet'!$E$9+1,1))</f>
        <v>87.176473494358277</v>
      </c>
      <c r="T155" s="59">
        <f t="shared" si="142"/>
        <v>421.63096176860864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5.4425268898774766</v>
      </c>
      <c r="AA155" s="21">
        <f>EXP(-LN(2)/25)*AA154+(1-EXP(-LN(2)/25))/(LN(2)/25)*Calculateur!V155*Calculateur!X155*VLOOKUP('Données projet'!$B$9,Paramètres!$A$1:$I$89,3,0)*0.475*44/12</f>
        <v>0.50807837060613525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5.9506052604836119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69</v>
      </c>
      <c r="O156" s="13">
        <f>N156*VLOOKUP('Données projet'!$B$9,Paramètres!$A$1:$I$89,3,0)*VLOOKUP('Données projet'!$B$9,Paramètres!$A$1:$I$89,5,0)</f>
        <v>32.830199999999998</v>
      </c>
      <c r="P156" s="13">
        <f t="shared" si="141"/>
        <v>10.077002228349212</v>
      </c>
      <c r="Q156" s="20">
        <f t="shared" si="162"/>
        <v>74.730043881041539</v>
      </c>
      <c r="R156" s="59">
        <f t="shared" si="109"/>
        <v>368.06337721437484</v>
      </c>
      <c r="S156" s="59">
        <f ca="1">AVERAGE(OFFSET($R$3,0,0,'Données projet'!$E$9+1,1))-AVERAGE(OFFSET($H$3,0,0,'Données projet'!$E$9+1,1))</f>
        <v>87.176473494358277</v>
      </c>
      <c r="T156" s="59">
        <f t="shared" si="142"/>
        <v>421.63096176860864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5.3358022571805979</v>
      </c>
      <c r="AA156" s="21">
        <f>EXP(-LN(2)/25)*AA155+(1-EXP(-LN(2)/25))/(LN(2)/25)*Calculateur!V156*Calculateur!X156*VLOOKUP('Données projet'!$B$9,Paramètres!$A$1:$I$89,3,0)*0.475*44/12</f>
        <v>0.49418494084323022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5.8299871980238285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69</v>
      </c>
      <c r="O157" s="13">
        <f>N157*VLOOKUP('Données projet'!$B$9,Paramètres!$A$1:$I$89,3,0)*VLOOKUP('Données projet'!$B$9,Paramètres!$A$1:$I$89,5,0)</f>
        <v>32.830199999999998</v>
      </c>
      <c r="P157" s="13">
        <f t="shared" si="141"/>
        <v>10.077002228349212</v>
      </c>
      <c r="Q157" s="20">
        <f t="shared" si="162"/>
        <v>74.730043881041539</v>
      </c>
      <c r="R157" s="59">
        <f t="shared" si="109"/>
        <v>368.06337721437484</v>
      </c>
      <c r="S157" s="59">
        <f ca="1">AVERAGE(OFFSET($R$3,0,0,'Données projet'!$E$9+1,1))-AVERAGE(OFFSET($H$3,0,0,'Données projet'!$E$9+1,1))</f>
        <v>87.176473494358277</v>
      </c>
      <c r="T157" s="59">
        <f t="shared" si="142"/>
        <v>421.63096176860864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5.2311704294353065</v>
      </c>
      <c r="AA157" s="21">
        <f>EXP(-LN(2)/25)*AA156+(1-EXP(-LN(2)/25))/(LN(2)/25)*Calculateur!V157*Calculateur!X157*VLOOKUP('Données projet'!$B$9,Paramètres!$A$1:$I$89,3,0)*0.475*44/12</f>
        <v>0.48067142764781551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5.7118418570831224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69</v>
      </c>
      <c r="O158" s="13">
        <f>N158*VLOOKUP('Données projet'!$B$9,Paramètres!$A$1:$I$89,3,0)*VLOOKUP('Données projet'!$B$9,Paramètres!$A$1:$I$89,5,0)</f>
        <v>32.830199999999998</v>
      </c>
      <c r="P158" s="13">
        <f t="shared" si="141"/>
        <v>10.077002228349212</v>
      </c>
      <c r="Q158" s="20">
        <f t="shared" si="162"/>
        <v>74.730043881041539</v>
      </c>
      <c r="R158" s="59">
        <f t="shared" si="109"/>
        <v>368.06337721437484</v>
      </c>
      <c r="S158" s="59">
        <f ca="1">AVERAGE(OFFSET($R$3,0,0,'Données projet'!$E$9+1,1))-AVERAGE(OFFSET($H$3,0,0,'Données projet'!$E$9+1,1))</f>
        <v>87.176473494358277</v>
      </c>
      <c r="T158" s="59">
        <f t="shared" si="142"/>
        <v>421.63096176860864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5.1285903680129872</v>
      </c>
      <c r="AA158" s="21">
        <f>EXP(-LN(2)/25)*AA157+(1-EXP(-LN(2)/25))/(LN(2)/25)*Calculateur!V158*Calculateur!X158*VLOOKUP('Données projet'!$B$9,Paramètres!$A$1:$I$89,3,0)*0.475*44/12</f>
        <v>0.46752744218137421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5.5961178101943609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69</v>
      </c>
      <c r="O159" s="13">
        <f>N159*VLOOKUP('Données projet'!$B$9,Paramètres!$A$1:$I$89,3,0)*VLOOKUP('Données projet'!$B$9,Paramètres!$A$1:$I$89,5,0)</f>
        <v>32.830199999999998</v>
      </c>
      <c r="P159" s="13">
        <f t="shared" si="141"/>
        <v>10.077002228349212</v>
      </c>
      <c r="Q159" s="20">
        <f t="shared" si="162"/>
        <v>74.730043881041539</v>
      </c>
      <c r="R159" s="59">
        <f t="shared" si="109"/>
        <v>368.06337721437484</v>
      </c>
      <c r="S159" s="59">
        <f ca="1">AVERAGE(OFFSET($R$3,0,0,'Données projet'!$E$9+1,1))-AVERAGE(OFFSET($H$3,0,0,'Données projet'!$E$9+1,1))</f>
        <v>87.176473494358277</v>
      </c>
      <c r="T159" s="59">
        <f t="shared" si="142"/>
        <v>421.63096176860864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5.0280218390274998</v>
      </c>
      <c r="AA159" s="21">
        <f>EXP(-LN(2)/25)*AA158+(1-EXP(-LN(2)/25))/(LN(2)/25)*Calculateur!V159*Calculateur!X159*VLOOKUP('Données projet'!$B$9,Paramètres!$A$1:$I$89,3,0)*0.475*44/12</f>
        <v>0.4547428796887249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5.4827647187162247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69</v>
      </c>
      <c r="O160" s="13">
        <f>N160*VLOOKUP('Données projet'!$B$9,Paramètres!$A$1:$I$89,3,0)*VLOOKUP('Données projet'!$B$9,Paramètres!$A$1:$I$89,5,0)</f>
        <v>32.830199999999998</v>
      </c>
      <c r="P160" s="13">
        <f t="shared" si="141"/>
        <v>10.077002228349212</v>
      </c>
      <c r="Q160" s="20">
        <f t="shared" si="162"/>
        <v>74.730043881041539</v>
      </c>
      <c r="R160" s="59">
        <f t="shared" si="109"/>
        <v>368.06337721437484</v>
      </c>
      <c r="S160" s="59">
        <f ca="1">AVERAGE(OFFSET($R$3,0,0,'Données projet'!$E$9+1,1))-AVERAGE(OFFSET($H$3,0,0,'Données projet'!$E$9+1,1))</f>
        <v>87.176473494358277</v>
      </c>
      <c r="T160" s="59">
        <f t="shared" si="142"/>
        <v>421.63096176860864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4.929425397554672</v>
      </c>
      <c r="AA160" s="21">
        <f>EXP(-LN(2)/25)*AA159+(1-EXP(-LN(2)/25))/(LN(2)/25)*Calculateur!V160*Calculateur!X160*VLOOKUP('Données projet'!$B$9,Paramètres!$A$1:$I$89,3,0)*0.475*44/12</f>
        <v>0.44230791172974798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5.3717333092844202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69</v>
      </c>
      <c r="O161" s="13">
        <f>N161*VLOOKUP('Données projet'!$B$9,Paramètres!$A$1:$I$89,3,0)*VLOOKUP('Données projet'!$B$9,Paramètres!$A$1:$I$89,5,0)</f>
        <v>32.830199999999998</v>
      </c>
      <c r="P161" s="13">
        <f t="shared" si="141"/>
        <v>10.077002228349212</v>
      </c>
      <c r="Q161" s="20">
        <f t="shared" si="162"/>
        <v>74.730043881041539</v>
      </c>
      <c r="R161" s="59">
        <f t="shared" si="109"/>
        <v>368.06337721437484</v>
      </c>
      <c r="S161" s="59">
        <f ca="1">AVERAGE(OFFSET($R$3,0,0,'Données projet'!$E$9+1,1))-AVERAGE(OFFSET($H$3,0,0,'Données projet'!$E$9+1,1))</f>
        <v>87.176473494358277</v>
      </c>
      <c r="T161" s="59">
        <f t="shared" si="142"/>
        <v>421.63096176860864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4.8327623721612349</v>
      </c>
      <c r="AA161" s="21">
        <f>EXP(-LN(2)/25)*AA160+(1-EXP(-LN(2)/25))/(LN(2)/25)*Calculateur!V161*Calculateur!X161*VLOOKUP('Données projet'!$B$9,Paramètres!$A$1:$I$89,3,0)*0.475*44/12</f>
        <v>0.43021297862353586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5.262975350784771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69</v>
      </c>
      <c r="O162" s="13">
        <f>N162*VLOOKUP('Données projet'!$B$9,Paramètres!$A$1:$I$89,3,0)*VLOOKUP('Données projet'!$B$9,Paramètres!$A$1:$I$89,5,0)</f>
        <v>32.830199999999998</v>
      </c>
      <c r="P162" s="13">
        <f t="shared" si="141"/>
        <v>10.077002228349212</v>
      </c>
      <c r="Q162" s="20">
        <f t="shared" si="162"/>
        <v>74.730043881041539</v>
      </c>
      <c r="R162" s="59">
        <f t="shared" si="109"/>
        <v>368.06337721437484</v>
      </c>
      <c r="S162" s="59">
        <f ca="1">AVERAGE(OFFSET($R$3,0,0,'Données projet'!$E$9+1,1))-AVERAGE(OFFSET($H$3,0,0,'Données projet'!$E$9+1,1))</f>
        <v>87.176473494358277</v>
      </c>
      <c r="T162" s="59">
        <f t="shared" si="142"/>
        <v>421.63096176860864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4.7379948497371398</v>
      </c>
      <c r="AA162" s="21">
        <f>EXP(-LN(2)/25)*AA161+(1-EXP(-LN(2)/25))/(LN(2)/25)*Calculateur!V162*Calculateur!X162*VLOOKUP('Données projet'!$B$9,Paramètres!$A$1:$I$89,3,0)*0.475*44/12</f>
        <v>0.41844878209915798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5.1564436318362974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69</v>
      </c>
      <c r="O163" s="13">
        <f>N163*VLOOKUP('Données projet'!$B$9,Paramètres!$A$1:$I$89,3,0)*VLOOKUP('Données projet'!$B$9,Paramètres!$A$1:$I$89,5,0)</f>
        <v>32.830199999999998</v>
      </c>
      <c r="P163" s="13">
        <f t="shared" si="141"/>
        <v>10.077002228349212</v>
      </c>
      <c r="Q163" s="20">
        <f t="shared" si="162"/>
        <v>74.730043881041539</v>
      </c>
      <c r="R163" s="59">
        <f t="shared" si="109"/>
        <v>368.06337721437484</v>
      </c>
      <c r="S163" s="59">
        <f ca="1">AVERAGE(OFFSET($R$3,0,0,'Données projet'!$E$9+1,1))-AVERAGE(OFFSET($H$3,0,0,'Données projet'!$E$9+1,1))</f>
        <v>87.176473494358277</v>
      </c>
      <c r="T163" s="59">
        <f t="shared" si="142"/>
        <v>421.63096176860864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4.6450856606253002</v>
      </c>
      <c r="AA163" s="21">
        <f>EXP(-LN(2)/25)*AA162+(1-EXP(-LN(2)/25))/(LN(2)/25)*Calculateur!V163*Calculateur!X163*VLOOKUP('Données projet'!$B$9,Paramètres!$A$1:$I$89,3,0)*0.475*44/12</f>
        <v>0.40700627814739143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5.0520919387726915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69</v>
      </c>
      <c r="O164" s="13">
        <f>N164*VLOOKUP('Données projet'!$B$9,Paramètres!$A$1:$I$89,3,0)*VLOOKUP('Données projet'!$B$9,Paramètres!$A$1:$I$89,5,0)</f>
        <v>32.830199999999998</v>
      </c>
      <c r="P164" s="13">
        <f t="shared" si="141"/>
        <v>10.077002228349212</v>
      </c>
      <c r="Q164" s="20">
        <f t="shared" si="162"/>
        <v>74.730043881041539</v>
      </c>
      <c r="R164" s="59">
        <f t="shared" si="109"/>
        <v>368.06337721437484</v>
      </c>
      <c r="S164" s="59">
        <f ca="1">AVERAGE(OFFSET($R$3,0,0,'Données projet'!$E$9+1,1))-AVERAGE(OFFSET($H$3,0,0,'Données projet'!$E$9+1,1))</f>
        <v>87.176473494358277</v>
      </c>
      <c r="T164" s="59">
        <f t="shared" si="142"/>
        <v>421.63096176860864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4.5539983640429336</v>
      </c>
      <c r="AA164" s="21">
        <f>EXP(-LN(2)/25)*AA163+(1-EXP(-LN(2)/25))/(LN(2)/25)*Calculateur!V164*Calculateur!X164*VLOOKUP('Données projet'!$B$9,Paramètres!$A$1:$I$89,3,0)*0.475*44/12</f>
        <v>0.39587667006792104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4.9498750341108551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69</v>
      </c>
      <c r="O165" s="13">
        <f>N165*VLOOKUP('Données projet'!$B$9,Paramètres!$A$1:$I$89,3,0)*VLOOKUP('Données projet'!$B$9,Paramètres!$A$1:$I$89,5,0)</f>
        <v>32.830199999999998</v>
      </c>
      <c r="P165" s="13">
        <f t="shared" si="141"/>
        <v>10.077002228349212</v>
      </c>
      <c r="Q165" s="20">
        <f t="shared" si="162"/>
        <v>74.730043881041539</v>
      </c>
      <c r="R165" s="59">
        <f t="shared" si="109"/>
        <v>368.06337721437484</v>
      </c>
      <c r="S165" s="59">
        <f ca="1">AVERAGE(OFFSET($R$3,0,0,'Données projet'!$E$9+1,1))-AVERAGE(OFFSET($H$3,0,0,'Données projet'!$E$9+1,1))</f>
        <v>87.176473494358277</v>
      </c>
      <c r="T165" s="59">
        <f t="shared" si="142"/>
        <v>421.63096176860864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4.4646972337887822</v>
      </c>
      <c r="AA165" s="21">
        <f>EXP(-LN(2)/25)*AA164+(1-EXP(-LN(2)/25))/(LN(2)/25)*Calculateur!V165*Calculateur!X165*VLOOKUP('Données projet'!$B$9,Paramètres!$A$1:$I$89,3,0)*0.475*44/12</f>
        <v>0.38505140170666446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4.8497486354954464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69</v>
      </c>
      <c r="O166" s="13">
        <f>N166*VLOOKUP('Données projet'!$B$9,Paramètres!$A$1:$I$89,3,0)*VLOOKUP('Données projet'!$B$9,Paramètres!$A$1:$I$89,5,0)</f>
        <v>32.830199999999998</v>
      </c>
      <c r="P166" s="13">
        <f t="shared" si="141"/>
        <v>10.077002228349212</v>
      </c>
      <c r="Q166" s="20">
        <f t="shared" si="162"/>
        <v>74.730043881041539</v>
      </c>
      <c r="R166" s="59">
        <f t="shared" si="109"/>
        <v>368.06337721437484</v>
      </c>
      <c r="S166" s="59">
        <f ca="1">AVERAGE(OFFSET($R$3,0,0,'Données projet'!$E$9+1,1))-AVERAGE(OFFSET($H$3,0,0,'Données projet'!$E$9+1,1))</f>
        <v>87.176473494358277</v>
      </c>
      <c r="T166" s="59">
        <f t="shared" si="142"/>
        <v>421.63096176860864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4.3771472442306036</v>
      </c>
      <c r="AA166" s="21">
        <f>EXP(-LN(2)/25)*AA165+(1-EXP(-LN(2)/25))/(LN(2)/25)*Calculateur!V166*Calculateur!X166*VLOOKUP('Données projet'!$B$9,Paramètres!$A$1:$I$89,3,0)*0.475*44/12</f>
        <v>0.37452215087802254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4.7516693951086264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69</v>
      </c>
      <c r="O167" s="13">
        <f>N167*VLOOKUP('Données projet'!$B$9,Paramètres!$A$1:$I$89,3,0)*VLOOKUP('Données projet'!$B$9,Paramètres!$A$1:$I$89,5,0)</f>
        <v>32.830199999999998</v>
      </c>
      <c r="P167" s="13">
        <f t="shared" si="141"/>
        <v>10.077002228349212</v>
      </c>
      <c r="Q167" s="20">
        <f t="shared" si="162"/>
        <v>74.730043881041539</v>
      </c>
      <c r="R167" s="59">
        <f t="shared" si="109"/>
        <v>368.06337721437484</v>
      </c>
      <c r="S167" s="59">
        <f ca="1">AVERAGE(OFFSET($R$3,0,0,'Données projet'!$E$9+1,1))-AVERAGE(OFFSET($H$3,0,0,'Données projet'!$E$9+1,1))</f>
        <v>87.176473494358277</v>
      </c>
      <c r="T167" s="59">
        <f t="shared" si="142"/>
        <v>421.63096176860864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4.2913140565674404</v>
      </c>
      <c r="AA167" s="21">
        <f>EXP(-LN(2)/25)*AA166+(1-EXP(-LN(2)/25))/(LN(2)/25)*Calculateur!V167*Calculateur!X167*VLOOKUP('Données projet'!$B$9,Paramètres!$A$1:$I$89,3,0)*0.475*44/12</f>
        <v>0.3642808229669991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4.6555948795344397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69</v>
      </c>
      <c r="O168" s="13">
        <f>N168*VLOOKUP('Données projet'!$B$9,Paramètres!$A$1:$I$89,3,0)*VLOOKUP('Données projet'!$B$9,Paramètres!$A$1:$I$89,5,0)</f>
        <v>32.830199999999998</v>
      </c>
      <c r="P168" s="13">
        <f t="shared" si="141"/>
        <v>10.077002228349212</v>
      </c>
      <c r="Q168" s="20">
        <f t="shared" si="162"/>
        <v>74.730043881041539</v>
      </c>
      <c r="R168" s="59">
        <f t="shared" si="109"/>
        <v>368.06337721437484</v>
      </c>
      <c r="S168" s="59">
        <f ca="1">AVERAGE(OFFSET($R$3,0,0,'Données projet'!$E$9+1,1))-AVERAGE(OFFSET($H$3,0,0,'Données projet'!$E$9+1,1))</f>
        <v>87.176473494358277</v>
      </c>
      <c r="T168" s="59">
        <f t="shared" si="142"/>
        <v>421.63096176860864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4.2071640053612764</v>
      </c>
      <c r="AA168" s="21">
        <f>EXP(-LN(2)/25)*AA167+(1-EXP(-LN(2)/25))/(LN(2)/25)*Calculateur!V168*Calculateur!X168*VLOOKUP('Données projet'!$B$9,Paramètres!$A$1:$I$89,3,0)*0.475*44/12</f>
        <v>0.35431954470627058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4.561483550067547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69</v>
      </c>
      <c r="O169" s="13">
        <f>N169*VLOOKUP('Données projet'!$B$9,Paramètres!$A$1:$I$89,3,0)*VLOOKUP('Données projet'!$B$9,Paramètres!$A$1:$I$89,5,0)</f>
        <v>32.830199999999998</v>
      </c>
      <c r="P169" s="13">
        <f t="shared" si="141"/>
        <v>10.077002228349212</v>
      </c>
      <c r="Q169" s="20">
        <f t="shared" si="162"/>
        <v>74.730043881041539</v>
      </c>
      <c r="R169" s="59">
        <f t="shared" si="109"/>
        <v>368.06337721437484</v>
      </c>
      <c r="S169" s="59">
        <f ca="1">AVERAGE(OFFSET($R$3,0,0,'Données projet'!$E$9+1,1))-AVERAGE(OFFSET($H$3,0,0,'Données projet'!$E$9+1,1))</f>
        <v>87.176473494358277</v>
      </c>
      <c r="T169" s="59">
        <f t="shared" si="142"/>
        <v>421.63096176860864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4.1246640853328023</v>
      </c>
      <c r="AA169" s="21">
        <f>EXP(-LN(2)/25)*AA168+(1-EXP(-LN(2)/25))/(LN(2)/25)*Calculateur!V169*Calculateur!X169*VLOOKUP('Données projet'!$B$9,Paramètres!$A$1:$I$89,3,0)*0.475*44/12</f>
        <v>0.34463065812342258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4.4692947434562251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69</v>
      </c>
      <c r="O170" s="13">
        <f>N170*VLOOKUP('Données projet'!$B$9,Paramètres!$A$1:$I$89,3,0)*VLOOKUP('Données projet'!$B$9,Paramètres!$A$1:$I$89,5,0)</f>
        <v>32.830199999999998</v>
      </c>
      <c r="P170" s="13">
        <f t="shared" si="141"/>
        <v>10.077002228349212</v>
      </c>
      <c r="Q170" s="20">
        <f t="shared" si="162"/>
        <v>74.730043881041539</v>
      </c>
      <c r="R170" s="59">
        <f t="shared" si="109"/>
        <v>368.06337721437484</v>
      </c>
      <c r="S170" s="59">
        <f ca="1">AVERAGE(OFFSET($R$3,0,0,'Données projet'!$E$9+1,1))-AVERAGE(OFFSET($H$3,0,0,'Données projet'!$E$9+1,1))</f>
        <v>87.176473494358277</v>
      </c>
      <c r="T170" s="59">
        <f t="shared" si="142"/>
        <v>421.63096176860864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4.043781938416104</v>
      </c>
      <c r="AA170" s="21">
        <f>EXP(-LN(2)/25)*AA169+(1-EXP(-LN(2)/25))/(LN(2)/25)*Calculateur!V170*Calculateur!X170*VLOOKUP('Données projet'!$B$9,Paramètres!$A$1:$I$89,3,0)*0.475*44/12</f>
        <v>0.33520671465369895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4.3789886530698032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69</v>
      </c>
      <c r="O171" s="13">
        <f>N171*VLOOKUP('Données projet'!$B$9,Paramètres!$A$1:$I$89,3,0)*VLOOKUP('Données projet'!$B$9,Paramètres!$A$1:$I$89,5,0)</f>
        <v>32.830199999999998</v>
      </c>
      <c r="P171" s="13">
        <f t="shared" si="141"/>
        <v>10.077002228349212</v>
      </c>
      <c r="Q171" s="20">
        <f t="shared" si="162"/>
        <v>74.730043881041539</v>
      </c>
      <c r="R171" s="59">
        <f t="shared" si="109"/>
        <v>368.06337721437484</v>
      </c>
      <c r="S171" s="59">
        <f ca="1">AVERAGE(OFFSET($R$3,0,0,'Données projet'!$E$9+1,1))-AVERAGE(OFFSET($H$3,0,0,'Données projet'!$E$9+1,1))</f>
        <v>87.176473494358277</v>
      </c>
      <c r="T171" s="59">
        <f t="shared" si="142"/>
        <v>421.63096176860864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3.9644858410672037</v>
      </c>
      <c r="AA171" s="21">
        <f>EXP(-LN(2)/25)*AA170+(1-EXP(-LN(2)/25))/(LN(2)/25)*Calculateur!V171*Calculateur!X171*VLOOKUP('Données projet'!$B$9,Paramètres!$A$1:$I$89,3,0)*0.475*44/12</f>
        <v>0.32604046941373854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4.2905263104809421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69</v>
      </c>
      <c r="O172" s="13">
        <f>N172*VLOOKUP('Données projet'!$B$9,Paramètres!$A$1:$I$89,3,0)*VLOOKUP('Données projet'!$B$9,Paramètres!$A$1:$I$89,5,0)</f>
        <v>32.830199999999998</v>
      </c>
      <c r="P172" s="13">
        <f t="shared" si="141"/>
        <v>10.077002228349212</v>
      </c>
      <c r="Q172" s="20">
        <f t="shared" si="162"/>
        <v>74.730043881041539</v>
      </c>
      <c r="R172" s="59">
        <f t="shared" si="109"/>
        <v>368.06337721437484</v>
      </c>
      <c r="S172" s="59">
        <f ca="1">AVERAGE(OFFSET($R$3,0,0,'Données projet'!$E$9+1,1))-AVERAGE(OFFSET($H$3,0,0,'Données projet'!$E$9+1,1))</f>
        <v>87.176473494358277</v>
      </c>
      <c r="T172" s="59">
        <f t="shared" si="142"/>
        <v>421.63096176860864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3.8867446918214714</v>
      </c>
      <c r="AA172" s="21">
        <f>EXP(-LN(2)/25)*AA171+(1-EXP(-LN(2)/25))/(LN(2)/25)*Calculateur!V172*Calculateur!X172*VLOOKUP('Données projet'!$B$9,Paramètres!$A$1:$I$89,3,0)*0.475*44/12</f>
        <v>0.31712487563189673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4.2038695674533679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69</v>
      </c>
      <c r="O173" s="13">
        <f>N173*VLOOKUP('Données projet'!$B$9,Paramètres!$A$1:$I$89,3,0)*VLOOKUP('Données projet'!$B$9,Paramètres!$A$1:$I$89,5,0)</f>
        <v>32.830199999999998</v>
      </c>
      <c r="P173" s="13">
        <f t="shared" si="141"/>
        <v>10.077002228349212</v>
      </c>
      <c r="Q173" s="20">
        <f t="shared" si="162"/>
        <v>74.730043881041539</v>
      </c>
      <c r="R173" s="59">
        <f t="shared" si="109"/>
        <v>368.06337721437484</v>
      </c>
      <c r="S173" s="59">
        <f ca="1">AVERAGE(OFFSET($R$3,0,0,'Données projet'!$E$9+1,1))-AVERAGE(OFFSET($H$3,0,0,'Données projet'!$E$9+1,1))</f>
        <v>87.176473494358277</v>
      </c>
      <c r="T173" s="59">
        <f t="shared" si="142"/>
        <v>421.63096176860864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3.8105279990950294</v>
      </c>
      <c r="AA173" s="21">
        <f>EXP(-LN(2)/25)*AA172+(1-EXP(-LN(2)/25))/(LN(2)/25)*Calculateur!V173*Calculateur!X173*VLOOKUP('Données projet'!$B$9,Paramètres!$A$1:$I$89,3,0)*0.475*44/12</f>
        <v>0.30845307923087012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4.1189810783258993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69</v>
      </c>
      <c r="O174" s="13">
        <f>N174*VLOOKUP('Données projet'!$B$9,Paramètres!$A$1:$I$89,3,0)*VLOOKUP('Données projet'!$B$9,Paramètres!$A$1:$I$89,5,0)</f>
        <v>32.830199999999998</v>
      </c>
      <c r="P174" s="13">
        <f t="shared" si="141"/>
        <v>10.077002228349212</v>
      </c>
      <c r="Q174" s="20">
        <f t="shared" si="162"/>
        <v>74.730043881041539</v>
      </c>
      <c r="R174" s="59">
        <f t="shared" si="109"/>
        <v>368.06337721437484</v>
      </c>
      <c r="S174" s="59">
        <f ca="1">AVERAGE(OFFSET($R$3,0,0,'Données projet'!$E$9+1,1))-AVERAGE(OFFSET($H$3,0,0,'Données projet'!$E$9+1,1))</f>
        <v>87.176473494358277</v>
      </c>
      <c r="T174" s="59">
        <f t="shared" si="142"/>
        <v>421.63096176860864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3.7358058692253602</v>
      </c>
      <c r="AA174" s="21">
        <f>EXP(-LN(2)/25)*AA173+(1-EXP(-LN(2)/25))/(LN(2)/25)*Calculateur!V174*Calculateur!X174*VLOOKUP('Données projet'!$B$9,Paramètres!$A$1:$I$89,3,0)*0.475*44/12</f>
        <v>0.30001841355845954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4.0358242827838193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69</v>
      </c>
      <c r="O175" s="13">
        <f>N175*VLOOKUP('Données projet'!$B$9,Paramètres!$A$1:$I$89,3,0)*VLOOKUP('Données projet'!$B$9,Paramètres!$A$1:$I$89,5,0)</f>
        <v>32.830199999999998</v>
      </c>
      <c r="P175" s="13">
        <f t="shared" si="141"/>
        <v>10.077002228349212</v>
      </c>
      <c r="Q175" s="20">
        <f t="shared" si="162"/>
        <v>74.730043881041539</v>
      </c>
      <c r="R175" s="59">
        <f t="shared" si="109"/>
        <v>368.06337721437484</v>
      </c>
      <c r="S175" s="59">
        <f ca="1">AVERAGE(OFFSET($R$3,0,0,'Données projet'!$E$9+1,1))-AVERAGE(OFFSET($H$3,0,0,'Données projet'!$E$9+1,1))</f>
        <v>87.176473494358277</v>
      </c>
      <c r="T175" s="59">
        <f t="shared" si="142"/>
        <v>421.63096176860864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3.6625489947464365</v>
      </c>
      <c r="AA175" s="21">
        <f>EXP(-LN(2)/25)*AA174+(1-EXP(-LN(2)/25))/(LN(2)/25)*Calculateur!V175*Calculateur!X175*VLOOKUP('Données projet'!$B$9,Paramètres!$A$1:$I$89,3,0)*0.475*44/12</f>
        <v>0.29181439426242078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3.9543633890088574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69</v>
      </c>
      <c r="O176" s="13">
        <f>N176*VLOOKUP('Données projet'!$B$9,Paramètres!$A$1:$I$89,3,0)*VLOOKUP('Données projet'!$B$9,Paramètres!$A$1:$I$89,5,0)</f>
        <v>32.830199999999998</v>
      </c>
      <c r="P176" s="13">
        <f t="shared" si="141"/>
        <v>10.077002228349212</v>
      </c>
      <c r="Q176" s="20">
        <f t="shared" si="162"/>
        <v>74.730043881041539</v>
      </c>
      <c r="R176" s="59">
        <f t="shared" si="109"/>
        <v>368.06337721437484</v>
      </c>
      <c r="S176" s="59">
        <f ca="1">AVERAGE(OFFSET($R$3,0,0,'Données projet'!$E$9+1,1))-AVERAGE(OFFSET($H$3,0,0,'Données projet'!$E$9+1,1))</f>
        <v>87.176473494358277</v>
      </c>
      <c r="T176" s="59">
        <f t="shared" si="142"/>
        <v>421.63096176860864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3.590728642893763</v>
      </c>
      <c r="AA176" s="21">
        <f>EXP(-LN(2)/25)*AA175+(1-EXP(-LN(2)/25))/(LN(2)/25)*Calculateur!V176*Calculateur!X176*VLOOKUP('Données projet'!$B$9,Paramètres!$A$1:$I$89,3,0)*0.475*44/12</f>
        <v>0.28383471430546287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3.874563357199226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69</v>
      </c>
      <c r="O177" s="13">
        <f>N177*VLOOKUP('Données projet'!$B$9,Paramètres!$A$1:$I$89,3,0)*VLOOKUP('Données projet'!$B$9,Paramètres!$A$1:$I$89,5,0)</f>
        <v>32.830199999999998</v>
      </c>
      <c r="P177" s="13">
        <f t="shared" si="141"/>
        <v>10.077002228349212</v>
      </c>
      <c r="Q177" s="20">
        <f t="shared" si="162"/>
        <v>74.730043881041539</v>
      </c>
      <c r="R177" s="59">
        <f t="shared" si="109"/>
        <v>368.06337721437484</v>
      </c>
      <c r="S177" s="59">
        <f ca="1">AVERAGE(OFFSET($R$3,0,0,'Données projet'!$E$9+1,1))-AVERAGE(OFFSET($H$3,0,0,'Données projet'!$E$9+1,1))</f>
        <v>87.176473494358277</v>
      </c>
      <c r="T177" s="59">
        <f t="shared" si="142"/>
        <v>421.63096176860864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3.5203166443348315</v>
      </c>
      <c r="AA177" s="21">
        <f>EXP(-LN(2)/25)*AA176+(1-EXP(-LN(2)/25))/(LN(2)/25)*Calculateur!V177*Calculateur!X177*VLOOKUP('Données projet'!$B$9,Paramètres!$A$1:$I$89,3,0)*0.475*44/12</f>
        <v>0.27607323911656106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3.7963898834513925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69</v>
      </c>
      <c r="O178" s="13">
        <f>N178*VLOOKUP('Données projet'!$B$9,Paramètres!$A$1:$I$89,3,0)*VLOOKUP('Données projet'!$B$9,Paramètres!$A$1:$I$89,5,0)</f>
        <v>32.830199999999998</v>
      </c>
      <c r="P178" s="13">
        <f t="shared" si="141"/>
        <v>10.077002228349212</v>
      </c>
      <c r="Q178" s="20">
        <f t="shared" si="162"/>
        <v>74.730043881041539</v>
      </c>
      <c r="R178" s="59">
        <f t="shared" si="109"/>
        <v>368.06337721437484</v>
      </c>
      <c r="S178" s="59">
        <f ca="1">AVERAGE(OFFSET($R$3,0,0,'Données projet'!$E$9+1,1))-AVERAGE(OFFSET($H$3,0,0,'Données projet'!$E$9+1,1))</f>
        <v>87.176473494358277</v>
      </c>
      <c r="T178" s="59">
        <f t="shared" si="142"/>
        <v>421.63096176860864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3.4512853821205618</v>
      </c>
      <c r="AA178" s="21">
        <f>EXP(-LN(2)/25)*AA177+(1-EXP(-LN(2)/25))/(LN(2)/25)*Calculateur!V178*Calculateur!X178*VLOOKUP('Données projet'!$B$9,Paramètres!$A$1:$I$89,3,0)*0.475*44/12</f>
        <v>0.26852400187485803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3.71980938399542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69</v>
      </c>
      <c r="O179" s="13">
        <f>N179*VLOOKUP('Données projet'!$B$9,Paramètres!$A$1:$I$89,3,0)*VLOOKUP('Données projet'!$B$9,Paramètres!$A$1:$I$89,5,0)</f>
        <v>32.830199999999998</v>
      </c>
      <c r="P179" s="13">
        <f t="shared" si="141"/>
        <v>10.077002228349212</v>
      </c>
      <c r="Q179" s="20">
        <f t="shared" si="162"/>
        <v>74.730043881041539</v>
      </c>
      <c r="R179" s="59">
        <f t="shared" si="109"/>
        <v>368.06337721437484</v>
      </c>
      <c r="S179" s="59">
        <f ca="1">AVERAGE(OFFSET($R$3,0,0,'Données projet'!$E$9+1,1))-AVERAGE(OFFSET($H$3,0,0,'Données projet'!$E$9+1,1))</f>
        <v>87.176473494358277</v>
      </c>
      <c r="T179" s="59">
        <f t="shared" si="142"/>
        <v>421.63096176860864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3.3836077808534015</v>
      </c>
      <c r="AA179" s="21">
        <f>EXP(-LN(2)/25)*AA178+(1-EXP(-LN(2)/25))/(LN(2)/25)*Calculateur!V179*Calculateur!X179*VLOOKUP('Données projet'!$B$9,Paramètres!$A$1:$I$89,3,0)*0.475*44/12</f>
        <v>0.2611811989225265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3.6447889797759281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69</v>
      </c>
      <c r="O180" s="13">
        <f>N180*VLOOKUP('Données projet'!$B$9,Paramètres!$A$1:$I$89,3,0)*VLOOKUP('Données projet'!$B$9,Paramètres!$A$1:$I$89,5,0)</f>
        <v>32.830199999999998</v>
      </c>
      <c r="P180" s="13">
        <f t="shared" si="141"/>
        <v>10.077002228349212</v>
      </c>
      <c r="Q180" s="20">
        <f t="shared" si="162"/>
        <v>74.730043881041539</v>
      </c>
      <c r="R180" s="59">
        <f t="shared" si="109"/>
        <v>368.06337721437484</v>
      </c>
      <c r="S180" s="59">
        <f ca="1">AVERAGE(OFFSET($R$3,0,0,'Données projet'!$E$9+1,1))-AVERAGE(OFFSET($H$3,0,0,'Données projet'!$E$9+1,1))</f>
        <v>87.176473494358277</v>
      </c>
      <c r="T180" s="59">
        <f t="shared" si="142"/>
        <v>421.63096176860864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3.3172572960678295</v>
      </c>
      <c r="AA180" s="21">
        <f>EXP(-LN(2)/25)*AA179+(1-EXP(-LN(2)/25))/(LN(2)/25)*Calculateur!V180*Calculateur!X180*VLOOKUP('Données projet'!$B$9,Paramètres!$A$1:$I$89,3,0)*0.475*44/12</f>
        <v>0.25403918530306768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3.5712964813708972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69</v>
      </c>
      <c r="O181" s="13">
        <f>N181*VLOOKUP('Données projet'!$B$9,Paramètres!$A$1:$I$89,3,0)*VLOOKUP('Données projet'!$B$9,Paramètres!$A$1:$I$89,5,0)</f>
        <v>32.830199999999998</v>
      </c>
      <c r="P181" s="13">
        <f t="shared" si="141"/>
        <v>10.077002228349212</v>
      </c>
      <c r="Q181" s="20">
        <f t="shared" si="162"/>
        <v>74.730043881041539</v>
      </c>
      <c r="R181" s="59">
        <f t="shared" si="109"/>
        <v>368.06337721437484</v>
      </c>
      <c r="S181" s="59">
        <f ca="1">AVERAGE(OFFSET($R$3,0,0,'Données projet'!$E$9+1,1))-AVERAGE(OFFSET($H$3,0,0,'Données projet'!$E$9+1,1))</f>
        <v>87.176473494358277</v>
      </c>
      <c r="T181" s="59">
        <f t="shared" si="142"/>
        <v>421.63096176860864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3.252207903819103</v>
      </c>
      <c r="AA181" s="21">
        <f>EXP(-LN(2)/25)*AA180+(1-EXP(-LN(2)/25))/(LN(2)/25)*Calculateur!V181*Calculateur!X181*VLOOKUP('Données projet'!$B$9,Paramètres!$A$1:$I$89,3,0)*0.475*44/12</f>
        <v>0.24709247042161517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3.4993003742407183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69</v>
      </c>
      <c r="O182" s="13">
        <f>N182*VLOOKUP('Données projet'!$B$9,Paramètres!$A$1:$I$89,3,0)*VLOOKUP('Données projet'!$B$9,Paramètres!$A$1:$I$89,5,0)</f>
        <v>32.830199999999998</v>
      </c>
      <c r="P182" s="13">
        <f t="shared" si="141"/>
        <v>10.077002228349212</v>
      </c>
      <c r="Q182" s="20">
        <f t="shared" si="162"/>
        <v>74.730043881041539</v>
      </c>
      <c r="R182" s="59">
        <f t="shared" si="109"/>
        <v>368.06337721437484</v>
      </c>
      <c r="S182" s="59">
        <f ca="1">AVERAGE(OFFSET($R$3,0,0,'Données projet'!$E$9+1,1))-AVERAGE(OFFSET($H$3,0,0,'Données projet'!$E$9+1,1))</f>
        <v>87.176473494358277</v>
      </c>
      <c r="T182" s="59">
        <f t="shared" si="142"/>
        <v>421.63096176860864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3.1884340904761626</v>
      </c>
      <c r="AA182" s="21">
        <f>EXP(-LN(2)/25)*AA181+(1-EXP(-LN(2)/25))/(LN(2)/25)*Calculateur!V182*Calculateur!X182*VLOOKUP('Données projet'!$B$9,Paramètres!$A$1:$I$89,3,0)*0.475*44/12</f>
        <v>0.24033571382390781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3.4287698043000705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69</v>
      </c>
      <c r="O183" s="13">
        <f>N183*VLOOKUP('Données projet'!$B$9,Paramètres!$A$1:$I$89,3,0)*VLOOKUP('Données projet'!$B$9,Paramètres!$A$1:$I$89,5,0)</f>
        <v>32.830199999999998</v>
      </c>
      <c r="P183" s="13">
        <f t="shared" si="141"/>
        <v>10.077002228349212</v>
      </c>
      <c r="Q183" s="20">
        <f t="shared" si="162"/>
        <v>74.730043881041539</v>
      </c>
      <c r="R183" s="59">
        <f t="shared" si="109"/>
        <v>368.06337721437484</v>
      </c>
      <c r="S183" s="59">
        <f ca="1">AVERAGE(OFFSET($R$3,0,0,'Données projet'!$E$9+1,1))-AVERAGE(OFFSET($H$3,0,0,'Données projet'!$E$9+1,1))</f>
        <v>87.176473494358277</v>
      </c>
      <c r="T183" s="59">
        <f t="shared" si="142"/>
        <v>421.63096176860864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3.125910842714692</v>
      </c>
      <c r="AA183" s="21">
        <f>EXP(-LN(2)/25)*AA182+(1-EXP(-LN(2)/25))/(LN(2)/25)*Calculateur!V183*Calculateur!X183*VLOOKUP('Données projet'!$B$9,Paramètres!$A$1:$I$89,3,0)*0.475*44/12</f>
        <v>0.23376372109068716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3.3596745638053793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69</v>
      </c>
      <c r="O184" s="13">
        <f>N184*VLOOKUP('Données projet'!$B$9,Paramètres!$A$1:$I$89,3,0)*VLOOKUP('Données projet'!$B$9,Paramètres!$A$1:$I$89,5,0)</f>
        <v>32.830199999999998</v>
      </c>
      <c r="P184" s="13">
        <f t="shared" si="141"/>
        <v>10.077002228349212</v>
      </c>
      <c r="Q184" s="20">
        <f t="shared" si="162"/>
        <v>74.730043881041539</v>
      </c>
      <c r="R184" s="59">
        <f t="shared" si="109"/>
        <v>368.06337721437484</v>
      </c>
      <c r="S184" s="59">
        <f ca="1">AVERAGE(OFFSET($R$3,0,0,'Données projet'!$E$9+1,1))-AVERAGE(OFFSET($H$3,0,0,'Données projet'!$E$9+1,1))</f>
        <v>87.176473494358277</v>
      </c>
      <c r="T184" s="59">
        <f t="shared" si="142"/>
        <v>421.63096176860864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3.0646136377064082</v>
      </c>
      <c r="AA184" s="21">
        <f>EXP(-LN(2)/25)*AA183+(1-EXP(-LN(2)/25))/(LN(2)/25)*Calculateur!V184*Calculateur!X184*VLOOKUP('Données projet'!$B$9,Paramètres!$A$1:$I$89,3,0)*0.475*44/12</f>
        <v>0.22737143984436251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3.2919850775507706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69</v>
      </c>
      <c r="O185" s="13">
        <f>N185*VLOOKUP('Données projet'!$B$9,Paramètres!$A$1:$I$89,3,0)*VLOOKUP('Données projet'!$B$9,Paramètres!$A$1:$I$89,5,0)</f>
        <v>32.830199999999998</v>
      </c>
      <c r="P185" s="13">
        <f t="shared" si="141"/>
        <v>10.077002228349212</v>
      </c>
      <c r="Q185" s="20">
        <f t="shared" si="162"/>
        <v>74.730043881041539</v>
      </c>
      <c r="R185" s="59">
        <f t="shared" si="109"/>
        <v>368.06337721437484</v>
      </c>
      <c r="S185" s="59">
        <f ca="1">AVERAGE(OFFSET($R$3,0,0,'Données projet'!$E$9+1,1))-AVERAGE(OFFSET($H$3,0,0,'Données projet'!$E$9+1,1))</f>
        <v>87.176473494358277</v>
      </c>
      <c r="T185" s="59">
        <f t="shared" si="142"/>
        <v>421.63096176860864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3.0045184335007336</v>
      </c>
      <c r="AA185" s="21">
        <f>EXP(-LN(2)/25)*AA184+(1-EXP(-LN(2)/25))/(LN(2)/25)*Calculateur!V185*Calculateur!X185*VLOOKUP('Données projet'!$B$9,Paramètres!$A$1:$I$89,3,0)*0.475*44/12</f>
        <v>0.22115395586487405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3.2256723893656076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69</v>
      </c>
      <c r="O186" s="13">
        <f>N186*VLOOKUP('Données projet'!$B$9,Paramètres!$A$1:$I$89,3,0)*VLOOKUP('Données projet'!$B$9,Paramètres!$A$1:$I$89,5,0)</f>
        <v>32.830199999999998</v>
      </c>
      <c r="P186" s="13">
        <f t="shared" si="141"/>
        <v>10.077002228349212</v>
      </c>
      <c r="Q186" s="20">
        <f t="shared" si="162"/>
        <v>74.730043881041539</v>
      </c>
      <c r="R186" s="59">
        <f t="shared" si="109"/>
        <v>368.06337721437484</v>
      </c>
      <c r="S186" s="59">
        <f ca="1">AVERAGE(OFFSET($R$3,0,0,'Données projet'!$E$9+1,1))-AVERAGE(OFFSET($H$3,0,0,'Données projet'!$E$9+1,1))</f>
        <v>87.176473494358277</v>
      </c>
      <c r="T186" s="59">
        <f t="shared" si="142"/>
        <v>421.63096176860864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2.9456016595950767</v>
      </c>
      <c r="AA186" s="21">
        <f>EXP(-LN(2)/25)*AA185+(1-EXP(-LN(2)/25))/(LN(2)/25)*Calculateur!V186*Calculateur!X186*VLOOKUP('Données projet'!$B$9,Paramètres!$A$1:$I$89,3,0)*0.475*44/12</f>
        <v>0.21510648931176798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3.1607081489068447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69</v>
      </c>
      <c r="O187" s="13">
        <f>N187*VLOOKUP('Données projet'!$B$9,Paramètres!$A$1:$I$89,3,0)*VLOOKUP('Données projet'!$B$9,Paramètres!$A$1:$I$89,5,0)</f>
        <v>32.830199999999998</v>
      </c>
      <c r="P187" s="13">
        <f t="shared" si="141"/>
        <v>10.077002228349212</v>
      </c>
      <c r="Q187" s="20">
        <f t="shared" si="162"/>
        <v>74.730043881041539</v>
      </c>
      <c r="R187" s="59">
        <f t="shared" si="109"/>
        <v>368.06337721437484</v>
      </c>
      <c r="S187" s="59">
        <f ca="1">AVERAGE(OFFSET($R$3,0,0,'Données projet'!$E$9+1,1))-AVERAGE(OFFSET($H$3,0,0,'Données projet'!$E$9+1,1))</f>
        <v>87.176473494358277</v>
      </c>
      <c r="T187" s="59">
        <f t="shared" si="142"/>
        <v>421.63096176860864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2.8878402076900263</v>
      </c>
      <c r="AA187" s="21">
        <f>EXP(-LN(2)/25)*AA186+(1-EXP(-LN(2)/25))/(LN(2)/25)*Calculateur!V187*Calculateur!X187*VLOOKUP('Données projet'!$B$9,Paramètres!$A$1:$I$89,3,0)*0.475*44/12</f>
        <v>0.20922439104957904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3.0970645987396055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69</v>
      </c>
      <c r="O188" s="13">
        <f>N188*VLOOKUP('Données projet'!$B$9,Paramètres!$A$1:$I$89,3,0)*VLOOKUP('Données projet'!$B$9,Paramètres!$A$1:$I$89,5,0)</f>
        <v>32.830199999999998</v>
      </c>
      <c r="P188" s="13">
        <f t="shared" si="141"/>
        <v>10.077002228349212</v>
      </c>
      <c r="Q188" s="20">
        <f t="shared" si="162"/>
        <v>74.730043881041539</v>
      </c>
      <c r="R188" s="59">
        <f t="shared" si="109"/>
        <v>368.06337721437484</v>
      </c>
      <c r="S188" s="59">
        <f ca="1">AVERAGE(OFFSET($R$3,0,0,'Données projet'!$E$9+1,1))-AVERAGE(OFFSET($H$3,0,0,'Données projet'!$E$9+1,1))</f>
        <v>87.176473494358277</v>
      </c>
      <c r="T188" s="59">
        <f t="shared" si="142"/>
        <v>421.63096176860864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2.8312114226258269</v>
      </c>
      <c r="AA188" s="21">
        <f>EXP(-LN(2)/25)*AA187+(1-EXP(-LN(2)/25))/(LN(2)/25)*Calculateur!V188*Calculateur!X188*VLOOKUP('Données projet'!$B$9,Paramètres!$A$1:$I$89,3,0)*0.475*44/12</f>
        <v>0.20350313907369577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3.0347145616995226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69</v>
      </c>
      <c r="O189" s="13">
        <f>N189*VLOOKUP('Données projet'!$B$9,Paramètres!$A$1:$I$89,3,0)*VLOOKUP('Données projet'!$B$9,Paramètres!$A$1:$I$89,5,0)</f>
        <v>32.830199999999998</v>
      </c>
      <c r="P189" s="13">
        <f t="shared" si="141"/>
        <v>10.077002228349212</v>
      </c>
      <c r="Q189" s="20">
        <f t="shared" si="162"/>
        <v>74.730043881041539</v>
      </c>
      <c r="R189" s="59">
        <f t="shared" si="109"/>
        <v>368.06337721437484</v>
      </c>
      <c r="S189" s="59">
        <f ca="1">AVERAGE(OFFSET($R$3,0,0,'Données projet'!$E$9+1,1))-AVERAGE(OFFSET($H$3,0,0,'Données projet'!$E$9+1,1))</f>
        <v>87.176473494358277</v>
      </c>
      <c r="T189" s="59">
        <f t="shared" si="142"/>
        <v>421.63096176860864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2.7756930934965882</v>
      </c>
      <c r="AA189" s="21">
        <f>EXP(-LN(2)/25)*AA188+(1-EXP(-LN(2)/25))/(LN(2)/25)*Calculateur!V189*Calculateur!X189*VLOOKUP('Données projet'!$B$9,Paramètres!$A$1:$I$89,3,0)*0.475*44/12</f>
        <v>0.19793833503396058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2.973631428530549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69</v>
      </c>
      <c r="O190" s="13">
        <f>N190*VLOOKUP('Données projet'!$B$9,Paramètres!$A$1:$I$89,3,0)*VLOOKUP('Données projet'!$B$9,Paramètres!$A$1:$I$89,5,0)</f>
        <v>32.830199999999998</v>
      </c>
      <c r="P190" s="13">
        <f t="shared" si="141"/>
        <v>10.077002228349212</v>
      </c>
      <c r="Q190" s="20">
        <f t="shared" si="162"/>
        <v>74.730043881041539</v>
      </c>
      <c r="R190" s="59">
        <f t="shared" si="109"/>
        <v>368.06337721437484</v>
      </c>
      <c r="S190" s="59">
        <f ca="1">AVERAGE(OFFSET($R$3,0,0,'Données projet'!$E$9+1,1))-AVERAGE(OFFSET($H$3,0,0,'Données projet'!$E$9+1,1))</f>
        <v>87.176473494358277</v>
      </c>
      <c r="T190" s="59">
        <f t="shared" si="142"/>
        <v>421.63096176860864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2.721263444938737</v>
      </c>
      <c r="AA190" s="21">
        <f>EXP(-LN(2)/25)*AA189+(1-EXP(-LN(2)/25))/(LN(2)/25)*Calculateur!V190*Calculateur!X190*VLOOKUP('Données projet'!$B$9,Paramètres!$A$1:$I$89,3,0)*0.475*44/12</f>
        <v>0.19252570085333229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2.913789145792069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69</v>
      </c>
      <c r="O191" s="13">
        <f>N191*VLOOKUP('Données projet'!$B$9,Paramètres!$A$1:$I$89,3,0)*VLOOKUP('Données projet'!$B$9,Paramètres!$A$1:$I$89,5,0)</f>
        <v>32.830199999999998</v>
      </c>
      <c r="P191" s="13">
        <f t="shared" si="141"/>
        <v>10.077002228349212</v>
      </c>
      <c r="Q191" s="20">
        <f t="shared" si="162"/>
        <v>74.730043881041539</v>
      </c>
      <c r="R191" s="59">
        <f t="shared" si="109"/>
        <v>368.06337721437484</v>
      </c>
      <c r="S191" s="59">
        <f ca="1">AVERAGE(OFFSET($R$3,0,0,'Données projet'!$E$9+1,1))-AVERAGE(OFFSET($H$3,0,0,'Données projet'!$E$9+1,1))</f>
        <v>87.176473494358277</v>
      </c>
      <c r="T191" s="59">
        <f t="shared" si="142"/>
        <v>421.63096176860864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2.6679011285902976</v>
      </c>
      <c r="AA191" s="21">
        <f>EXP(-LN(2)/25)*AA190+(1-EXP(-LN(2)/25))/(LN(2)/25)*Calculateur!V191*Calculateur!X191*VLOOKUP('Données projet'!$B$9,Paramètres!$A$1:$I$89,3,0)*0.475*44/12</f>
        <v>0.18726107543901133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2.855162204029309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69</v>
      </c>
      <c r="O192" s="13">
        <f>N192*VLOOKUP('Données projet'!$B$9,Paramètres!$A$1:$I$89,3,0)*VLOOKUP('Données projet'!$B$9,Paramètres!$A$1:$I$89,5,0)</f>
        <v>32.830199999999998</v>
      </c>
      <c r="P192" s="13">
        <f t="shared" si="141"/>
        <v>10.077002228349212</v>
      </c>
      <c r="Q192" s="20">
        <f t="shared" si="162"/>
        <v>74.730043881041539</v>
      </c>
      <c r="R192" s="59">
        <f t="shared" si="109"/>
        <v>368.06337721437484</v>
      </c>
      <c r="S192" s="59">
        <f ca="1">AVERAGE(OFFSET($R$3,0,0,'Données projet'!$E$9+1,1))-AVERAGE(OFFSET($H$3,0,0,'Données projet'!$E$9+1,1))</f>
        <v>87.176473494358277</v>
      </c>
      <c r="T192" s="59">
        <f t="shared" si="142"/>
        <v>421.63096176860864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2.6155852147176519</v>
      </c>
      <c r="AA192" s="21">
        <f>EXP(-LN(2)/25)*AA191+(1-EXP(-LN(2)/25))/(LN(2)/25)*Calculateur!V192*Calculateur!X192*VLOOKUP('Données projet'!$B$9,Paramètres!$A$1:$I$89,3,0)*0.475*44/12</f>
        <v>0.1821404114834996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2.7977256262011516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69</v>
      </c>
      <c r="O193" s="13">
        <f>N193*VLOOKUP('Données projet'!$B$9,Paramètres!$A$1:$I$89,3,0)*VLOOKUP('Données projet'!$B$9,Paramètres!$A$1:$I$89,5,0)</f>
        <v>32.830199999999998</v>
      </c>
      <c r="P193" s="13">
        <f t="shared" si="141"/>
        <v>10.077002228349212</v>
      </c>
      <c r="Q193" s="20">
        <f t="shared" si="162"/>
        <v>74.730043881041539</v>
      </c>
      <c r="R193" s="59">
        <f t="shared" si="109"/>
        <v>368.06337721437484</v>
      </c>
      <c r="S193" s="59">
        <f ca="1">AVERAGE(OFFSET($R$3,0,0,'Données projet'!$E$9+1,1))-AVERAGE(OFFSET($H$3,0,0,'Données projet'!$E$9+1,1))</f>
        <v>87.176473494358277</v>
      </c>
      <c r="T193" s="59">
        <f t="shared" si="142"/>
        <v>421.63096176860864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2.5642951840064923</v>
      </c>
      <c r="AA193" s="21">
        <f>EXP(-LN(2)/25)*AA192+(1-EXP(-LN(2)/25))/(LN(2)/25)*Calculateur!V193*Calculateur!X193*VLOOKUP('Données projet'!$B$9,Paramètres!$A$1:$I$89,3,0)*0.475*44/12</f>
        <v>0.17715977235313535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2.7414549563596275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69</v>
      </c>
      <c r="O194" s="13">
        <f>N194*VLOOKUP('Données projet'!$B$9,Paramètres!$A$1:$I$89,3,0)*VLOOKUP('Données projet'!$B$9,Paramètres!$A$1:$I$89,5,0)</f>
        <v>32.830199999999998</v>
      </c>
      <c r="P194" s="13">
        <f t="shared" si="141"/>
        <v>10.077002228349212</v>
      </c>
      <c r="Q194" s="20">
        <f t="shared" si="162"/>
        <v>74.730043881041539</v>
      </c>
      <c r="R194" s="59">
        <f t="shared" si="109"/>
        <v>368.06337721437484</v>
      </c>
      <c r="S194" s="59">
        <f ca="1">AVERAGE(OFFSET($R$3,0,0,'Données projet'!$E$9+1,1))-AVERAGE(OFFSET($H$3,0,0,'Données projet'!$E$9+1,1))</f>
        <v>87.176473494358277</v>
      </c>
      <c r="T194" s="59">
        <f t="shared" si="142"/>
        <v>421.63096176860864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2.5140109195137486</v>
      </c>
      <c r="AA194" s="21">
        <f>EXP(-LN(2)/25)*AA193+(1-EXP(-LN(2)/25))/(LN(2)/25)*Calculateur!V194*Calculateur!X194*VLOOKUP('Données projet'!$B$9,Paramètres!$A$1:$I$89,3,0)*0.475*44/12</f>
        <v>0.17231532906171135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2.68632624857546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69</v>
      </c>
      <c r="O195" s="13">
        <f>N195*VLOOKUP('Données projet'!$B$9,Paramètres!$A$1:$I$89,3,0)*VLOOKUP('Données projet'!$B$9,Paramètres!$A$1:$I$89,5,0)</f>
        <v>32.830199999999998</v>
      </c>
      <c r="P195" s="13">
        <f t="shared" si="141"/>
        <v>10.077002228349212</v>
      </c>
      <c r="Q195" s="20">
        <f t="shared" si="162"/>
        <v>74.730043881041539</v>
      </c>
      <c r="R195" s="59">
        <f t="shared" ref="R195:R203" si="191">Q195+(I195+J195)*44/12</f>
        <v>368.06337721437484</v>
      </c>
      <c r="S195" s="59">
        <f ca="1">AVERAGE(OFFSET($R$3,0,0,'Données projet'!$E$9+1,1))-AVERAGE(OFFSET($H$3,0,0,'Données projet'!$E$9+1,1))</f>
        <v>87.176473494358277</v>
      </c>
      <c r="T195" s="59">
        <f t="shared" si="142"/>
        <v>421.63096176860864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2.4647126987773347</v>
      </c>
      <c r="AA195" s="21">
        <f>EXP(-LN(2)/25)*AA194+(1-EXP(-LN(2)/25))/(LN(2)/25)*Calculateur!V195*Calculateur!X195*VLOOKUP('Données projet'!$B$9,Paramètres!$A$1:$I$89,3,0)*0.475*44/12</f>
        <v>0.16760335732684953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2.6323160561041843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69</v>
      </c>
      <c r="O196" s="13">
        <f>N196*VLOOKUP('Données projet'!$B$9,Paramètres!$A$1:$I$89,3,0)*VLOOKUP('Données projet'!$B$9,Paramètres!$A$1:$I$89,5,0)</f>
        <v>32.830199999999998</v>
      </c>
      <c r="P196" s="13">
        <f t="shared" si="141"/>
        <v>10.077002228349212</v>
      </c>
      <c r="Q196" s="20">
        <f t="shared" si="162"/>
        <v>74.730043881041539</v>
      </c>
      <c r="R196" s="59">
        <f t="shared" si="191"/>
        <v>368.06337721437484</v>
      </c>
      <c r="S196" s="59">
        <f ca="1">AVERAGE(OFFSET($R$3,0,0,'Données projet'!$E$9+1,1))-AVERAGE(OFFSET($H$3,0,0,'Données projet'!$E$9+1,1))</f>
        <v>87.176473494358277</v>
      </c>
      <c r="T196" s="59">
        <f t="shared" si="142"/>
        <v>421.63096176860864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2.4163811860806161</v>
      </c>
      <c r="AA196" s="21">
        <f>EXP(-LN(2)/25)*AA195+(1-EXP(-LN(2)/25))/(LN(2)/25)*Calculateur!V196*Calculateur!X196*VLOOKUP('Données projet'!$B$9,Paramètres!$A$1:$I$89,3,0)*0.475*44/12</f>
        <v>0.16302023470686933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2.5794014207874856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69</v>
      </c>
      <c r="O197" s="13">
        <f>N197*VLOOKUP('Données projet'!$B$9,Paramètres!$A$1:$I$89,3,0)*VLOOKUP('Données projet'!$B$9,Paramètres!$A$1:$I$89,5,0)</f>
        <v>32.830199999999998</v>
      </c>
      <c r="P197" s="13">
        <f t="shared" ref="P197:P203" si="203">EXP(-1.0587+0.8836*LN(O197)+0.284)</f>
        <v>10.077002228349212</v>
      </c>
      <c r="Q197" s="20">
        <f t="shared" si="162"/>
        <v>74.730043881041539</v>
      </c>
      <c r="R197" s="59">
        <f t="shared" si="191"/>
        <v>368.06337721437484</v>
      </c>
      <c r="S197" s="59">
        <f ca="1">AVERAGE(OFFSET($R$3,0,0,'Données projet'!$E$9+1,1))-AVERAGE(OFFSET($H$3,0,0,'Données projet'!$E$9+1,1))</f>
        <v>87.176473494358277</v>
      </c>
      <c r="T197" s="59">
        <f t="shared" ref="T197:T203" si="204">$T$3</f>
        <v>421.63096176860864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2.3689974248685686</v>
      </c>
      <c r="AA197" s="21">
        <f>EXP(-LN(2)/25)*AA196+(1-EXP(-LN(2)/25))/(LN(2)/25)*Calculateur!V197*Calculateur!X197*VLOOKUP('Données projet'!$B$9,Paramètres!$A$1:$I$89,3,0)*0.475*44/12</f>
        <v>0.15856243781594842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2.5275598626845168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69</v>
      </c>
      <c r="O198" s="13">
        <f>N198*VLOOKUP('Données projet'!$B$9,Paramètres!$A$1:$I$89,3,0)*VLOOKUP('Données projet'!$B$9,Paramètres!$A$1:$I$89,5,0)</f>
        <v>32.830199999999998</v>
      </c>
      <c r="P198" s="13">
        <f t="shared" si="203"/>
        <v>10.077002228349212</v>
      </c>
      <c r="Q198" s="20">
        <f t="shared" si="162"/>
        <v>74.730043881041539</v>
      </c>
      <c r="R198" s="59">
        <f t="shared" si="191"/>
        <v>368.06337721437484</v>
      </c>
      <c r="S198" s="59">
        <f ca="1">AVERAGE(OFFSET($R$3,0,0,'Données projet'!$E$9+1,1))-AVERAGE(OFFSET($H$3,0,0,'Données projet'!$E$9+1,1))</f>
        <v>87.176473494358277</v>
      </c>
      <c r="T198" s="59">
        <f t="shared" si="204"/>
        <v>421.63096176860864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2.3225428303126487</v>
      </c>
      <c r="AA198" s="21">
        <f>EXP(-LN(2)/25)*AA197+(1-EXP(-LN(2)/25))/(LN(2)/25)*Calculateur!V198*Calculateur!X198*VLOOKUP('Données projet'!$B$9,Paramètres!$A$1:$I$89,3,0)*0.475*44/12</f>
        <v>0.15422653961543512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2.4767693699280837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69</v>
      </c>
      <c r="O199" s="13">
        <f>N199*VLOOKUP('Données projet'!$B$9,Paramètres!$A$1:$I$89,3,0)*VLOOKUP('Données projet'!$B$9,Paramètres!$A$1:$I$89,5,0)</f>
        <v>32.830199999999998</v>
      </c>
      <c r="P199" s="13">
        <f t="shared" si="203"/>
        <v>10.077002228349212</v>
      </c>
      <c r="Q199" s="20">
        <f t="shared" si="162"/>
        <v>74.730043881041539</v>
      </c>
      <c r="R199" s="59">
        <f t="shared" si="191"/>
        <v>368.06337721437484</v>
      </c>
      <c r="S199" s="59">
        <f ca="1">AVERAGE(OFFSET($R$3,0,0,'Données projet'!$E$9+1,1))-AVERAGE(OFFSET($H$3,0,0,'Données projet'!$E$9+1,1))</f>
        <v>87.176473494358277</v>
      </c>
      <c r="T199" s="59">
        <f t="shared" si="204"/>
        <v>421.63096176860864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2.2769991820214655</v>
      </c>
      <c r="AA199" s="21">
        <f>EXP(-LN(2)/25)*AA198+(1-EXP(-LN(2)/25))/(LN(2)/25)*Calculateur!V199*Calculateur!X199*VLOOKUP('Données projet'!$B$9,Paramètres!$A$1:$I$89,3,0)*0.475*44/12</f>
        <v>0.15000920677922983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2.4270083888006955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69</v>
      </c>
      <c r="O200" s="13">
        <f>N200*VLOOKUP('Données projet'!$B$9,Paramètres!$A$1:$I$89,3,0)*VLOOKUP('Données projet'!$B$9,Paramètres!$A$1:$I$89,5,0)</f>
        <v>32.830199999999998</v>
      </c>
      <c r="P200" s="13">
        <f t="shared" si="203"/>
        <v>10.077002228349212</v>
      </c>
      <c r="Q200" s="20">
        <f t="shared" si="162"/>
        <v>74.730043881041539</v>
      </c>
      <c r="R200" s="59">
        <f t="shared" si="191"/>
        <v>368.06337721437484</v>
      </c>
      <c r="S200" s="59">
        <f ca="1">AVERAGE(OFFSET($R$3,0,0,'Données projet'!$E$9+1,1))-AVERAGE(OFFSET($H$3,0,0,'Données projet'!$E$9+1,1))</f>
        <v>87.176473494358277</v>
      </c>
      <c r="T200" s="59">
        <f t="shared" si="204"/>
        <v>421.63096176860864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2.2323486168943898</v>
      </c>
      <c r="AA200" s="21">
        <f>EXP(-LN(2)/25)*AA199+(1-EXP(-LN(2)/25))/(LN(2)/25)*Calculateur!V200*Calculateur!X200*VLOOKUP('Données projet'!$B$9,Paramètres!$A$1:$I$89,3,0)*0.475*44/12</f>
        <v>0.14590719713121045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2.3782558140256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69</v>
      </c>
      <c r="O201" s="13">
        <f>N201*VLOOKUP('Données projet'!$B$9,Paramètres!$A$1:$I$89,3,0)*VLOOKUP('Données projet'!$B$9,Paramètres!$A$1:$I$89,5,0)</f>
        <v>32.830199999999998</v>
      </c>
      <c r="P201" s="13">
        <f t="shared" si="203"/>
        <v>10.077002228349212</v>
      </c>
      <c r="Q201" s="20">
        <f t="shared" si="162"/>
        <v>74.730043881041539</v>
      </c>
      <c r="R201" s="59">
        <f t="shared" si="191"/>
        <v>368.06337721437484</v>
      </c>
      <c r="S201" s="59">
        <f ca="1">AVERAGE(OFFSET($R$3,0,0,'Données projet'!$E$9+1,1))-AVERAGE(OFFSET($H$3,0,0,'Données projet'!$E$9+1,1))</f>
        <v>87.176473494358277</v>
      </c>
      <c r="T201" s="59">
        <f t="shared" si="204"/>
        <v>421.63096176860864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2.1885736221153005</v>
      </c>
      <c r="AA201" s="21">
        <f>EXP(-LN(2)/25)*AA200+(1-EXP(-LN(2)/25))/(LN(2)/25)*Calculateur!V201*Calculateur!X201*VLOOKUP('Données projet'!$B$9,Paramètres!$A$1:$I$89,3,0)*0.475*44/12</f>
        <v>0.14191735715273149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2.3304909792680322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69</v>
      </c>
      <c r="O202" s="13">
        <f>N202*VLOOKUP('Données projet'!$B$9,Paramètres!$A$1:$I$89,3,0)*VLOOKUP('Données projet'!$B$9,Paramètres!$A$1:$I$89,5,0)</f>
        <v>32.830199999999998</v>
      </c>
      <c r="P202" s="13">
        <f t="shared" si="203"/>
        <v>10.077002228349212</v>
      </c>
      <c r="Q202" s="20">
        <f t="shared" si="162"/>
        <v>74.730043881041539</v>
      </c>
      <c r="R202" s="59">
        <f t="shared" si="191"/>
        <v>368.06337721437484</v>
      </c>
      <c r="S202" s="59">
        <f ca="1">AVERAGE(OFFSET($R$3,0,0,'Données projet'!$E$9+1,1))-AVERAGE(OFFSET($H$3,0,0,'Données projet'!$E$9+1,1))</f>
        <v>87.176473494358277</v>
      </c>
      <c r="T202" s="59">
        <f t="shared" si="204"/>
        <v>421.63096176860864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2.1456570282837188</v>
      </c>
      <c r="AA202" s="21">
        <f>EXP(-LN(2)/25)*AA201+(1-EXP(-LN(2)/25))/(LN(2)/25)*Calculateur!V202*Calculateur!X202*VLOOKUP('Données projet'!$B$9,Paramètres!$A$1:$I$89,3,0)*0.475*44/12</f>
        <v>0.13803661955828059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2.2836936478419996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69</v>
      </c>
      <c r="O203" s="13">
        <f>N203*VLOOKUP('Données projet'!$B$9,Paramètres!$A$1:$I$89,3,0)*VLOOKUP('Données projet'!$B$9,Paramètres!$A$1:$I$89,5,0)</f>
        <v>32.830199999999998</v>
      </c>
      <c r="P203" s="13">
        <f t="shared" si="203"/>
        <v>10.077002228349212</v>
      </c>
      <c r="Q203" s="20">
        <f t="shared" si="162"/>
        <v>74.730043881041539</v>
      </c>
      <c r="R203" s="59">
        <f t="shared" si="191"/>
        <v>368.06337721437484</v>
      </c>
      <c r="S203" s="59">
        <f ca="1">AVERAGE(OFFSET($R$3,0,0,'Données projet'!$E$9+1,1))-AVERAGE(OFFSET($H$3,0,0,'Données projet'!$E$9+1,1))</f>
        <v>87.176473494358277</v>
      </c>
      <c r="T203" s="59">
        <f t="shared" si="204"/>
        <v>421.63096176860864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2.1035820026806369</v>
      </c>
      <c r="AA203" s="21">
        <f>EXP(-LN(2)/25)*AA202+(1-EXP(-LN(2)/25))/(LN(2)/25)*Calculateur!V203*Calculateur!X203*VLOOKUP('Données projet'!$B$9,Paramètres!$A$1:$I$89,3,0)*0.475*44/12</f>
        <v>0.13426200093742907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2.2378440036180658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1.3463560886402173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K25" sqref="K25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Polargo</v>
      </c>
      <c r="B6" s="146">
        <f>'Données projet'!D9</f>
        <v>2.2400000000000002</v>
      </c>
      <c r="C6" s="147">
        <f ca="1">IF(OR('Données projet'!B9="",'Données projet'!C9="",'Données projet'!C9=0%),0,Calculateur!S3)</f>
        <v>87.176473494358277</v>
      </c>
      <c r="D6" s="147">
        <f>IF(OR('Données projet'!B9="",'Données projet'!C9="",'Données projet'!C9=0%),0,Calculateur!T3)</f>
        <v>421.63096176860864</v>
      </c>
      <c r="E6" s="147">
        <f ca="1">MIN(C6,D6)</f>
        <v>87.176473494358277</v>
      </c>
      <c r="F6" s="147">
        <f ca="1">E6*B6</f>
        <v>195.27530062736255</v>
      </c>
      <c r="G6" s="147">
        <f ca="1">F6*(100%-'Données projet'!$C$24)*(100%-'Données projet'!$C$25)*(100%-'Données projet'!$C$26)*(100%-'Données projet'!$C$27)</f>
        <v>166.96038203639498</v>
      </c>
      <c r="H6" s="148">
        <f>IF(OR('Données projet'!B9="",'Données projet'!C9="",'Données projet'!C9=0%),0,AVERAGE(Calculateur!$AC$3:$AC$33)*B6)</f>
        <v>67.321545750451421</v>
      </c>
      <c r="I6" s="149">
        <f>H6*(100%-'Données projet'!$C$24)*(100%-'Données projet'!$C$25)*(100%-'Données projet'!$C$26)*(100%-'Données projet'!$C$27)</f>
        <v>57.559921616635961</v>
      </c>
      <c r="J6" s="150">
        <f>IF(OR('Données projet'!B9="",'Données projet'!C9="",'Données projet'!C9=0%),0,SUM(Calculateur!$V$3:$V$33)*VLOOKUP('Données projet'!$B$9,Paramètres!$A$1:$I$89,9,0)*B6)</f>
        <v>724.46080000000006</v>
      </c>
      <c r="K6" s="151">
        <f>J6*(100%-'Données projet'!$C$24)*(100%-'Données projet'!$C$25)*(100%-'Données projet'!$C$26)*(100%-'Données projet'!$C$27)</f>
        <v>619.41398400000014</v>
      </c>
      <c r="L6" s="152">
        <f ca="1">G6+I6+K6</f>
        <v>843.93428765303111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195.27530062736255</v>
      </c>
      <c r="G16" s="166">
        <f t="shared" ca="1" si="3"/>
        <v>166.96038203639498</v>
      </c>
      <c r="H16" s="167">
        <f t="shared" si="3"/>
        <v>67.321545750451421</v>
      </c>
      <c r="I16" s="167">
        <f t="shared" si="3"/>
        <v>57.559921616635961</v>
      </c>
      <c r="J16" s="168">
        <f t="shared" si="3"/>
        <v>724.46080000000006</v>
      </c>
      <c r="K16" s="168">
        <f t="shared" si="3"/>
        <v>619.41398400000014</v>
      </c>
      <c r="L16" s="169">
        <f t="shared" ca="1" si="3"/>
        <v>843.93428765303111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Polargo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7" zoomScale="80" zoomScaleNormal="80" workbookViewId="0">
      <selection activeCell="S29" sqref="S29:U33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Polargo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116.45045207292515</v>
      </c>
      <c r="U10" s="178">
        <f>'Données projet'!D9</f>
        <v>2.2400000000000002</v>
      </c>
      <c r="V10" s="177">
        <f>U10*T10</f>
        <v>260.84901264335235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Polargo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(1410+1880+2444+470)/2.24</f>
        <v>2769.6428571428569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</f>
        <v>220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400+15%*E17</f>
        <v>815.44642857142844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</f>
        <v>220</v>
      </c>
      <c r="F20" s="230"/>
      <c r="G20" s="296"/>
      <c r="H20" s="190">
        <v>1</v>
      </c>
      <c r="I20" s="191">
        <f>20+(400/'Données projet'!C5+20)+(200/'Données projet'!C5+10)</f>
        <v>317.85714285714283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119.28571428571428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20</v>
      </c>
      <c r="B23" s="181">
        <f>'Données projet'!D36</f>
        <v>314</v>
      </c>
      <c r="C23" s="193">
        <v>31</v>
      </c>
      <c r="D23" s="182">
        <f>B23*C23</f>
        <v>9734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-1981.247593723974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342.00714285714287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-1981.247593723974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9016.2000000000007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1068.8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11585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2024-12-12T17:00:28Z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