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SUD-OUEST (CI)/2JEAN-124/Dossier octobre 2024/"/>
    </mc:Choice>
  </mc:AlternateContent>
  <xr:revisionPtr revIDLastSave="13" documentId="8_{62405F29-21C5-44FC-9DBD-18DACB069D88}" xr6:coauthVersionLast="47" xr6:coauthVersionMax="47" xr10:uidLastSave="{7FA6A7DE-3A92-440F-90EE-0B4731F8AFCC}"/>
  <bookViews>
    <workbookView xWindow="380" yWindow="380" windowWidth="19180" windowHeight="1123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31" i="6" l="1"/>
  <c r="U30" i="6"/>
  <c r="U33" i="6" s="1"/>
  <c r="E17" i="6"/>
  <c r="E19" i="6" s="1"/>
  <c r="E18" i="6"/>
  <c r="E20" i="6"/>
  <c r="I22" i="6"/>
  <c r="I2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V10" i="6" l="1"/>
  <c r="I24" i="6"/>
  <c r="P67" i="6"/>
  <c r="H19" i="2"/>
  <c r="D20" i="2"/>
  <c r="G20" i="2" s="1"/>
  <c r="P40" i="6"/>
  <c r="T23" i="6" l="1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62" i="2" a="1"/>
  <c r="AH62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D19" i="2" l="1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</commentList>
</comments>
</file>

<file path=xl/sharedStrings.xml><?xml version="1.0" encoding="utf-8"?>
<sst xmlns="http://schemas.openxmlformats.org/spreadsheetml/2006/main" count="1176" uniqueCount="329">
  <si>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</si>
  <si>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</si>
  <si>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</si>
  <si>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</si>
  <si>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</si>
  <si>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</si>
  <si>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</si>
  <si>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</si>
  <si>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</si>
  <si>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</si>
  <si>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</si>
  <si>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</si>
  <si>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</si>
  <si>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</si>
  <si>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</si>
  <si>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</si>
  <si>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</si>
  <si>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</si>
  <si>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</si>
  <si>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</si>
  <si>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</si>
  <si>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</si>
  <si>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</si>
  <si>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</si>
  <si>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</si>
  <si>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</si>
  <si>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</si>
  <si>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</si>
  <si>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</si>
  <si>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</si>
  <si>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</si>
  <si>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</si>
  <si>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</si>
  <si>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</si>
  <si>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</si>
  <si>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</si>
  <si>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</si>
  <si>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</si>
  <si>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</si>
  <si>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</si>
  <si>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</si>
  <si>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</si>
  <si>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</si>
  <si>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</si>
  <si>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</si>
  <si>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</si>
  <si>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</si>
  <si>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</si>
  <si>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</si>
  <si>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</si>
  <si>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</si>
  <si>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</si>
  <si>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</si>
  <si>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</si>
  <si>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</si>
  <si>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</si>
  <si>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</si>
  <si>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</si>
  <si>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</si>
  <si>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</si>
  <si>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</si>
  <si>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</si>
  <si>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</si>
  <si>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</si>
  <si>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</si>
  <si>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</si>
  <si>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</si>
  <si>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</si>
  <si>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</si>
  <si>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</si>
  <si>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</si>
  <si>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</si>
  <si>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</si>
  <si>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</si>
  <si>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</si>
  <si>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</si>
  <si>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</si>
  <si>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</si>
  <si>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</si>
  <si>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</si>
  <si>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</si>
  <si>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</si>
  <si>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</si>
  <si>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</si>
  <si>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</si>
  <si>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</si>
  <si>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</si>
  <si>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</si>
  <si>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</si>
  <si>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</si>
  <si>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</si>
  <si>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</si>
  <si>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</si>
  <si>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</si>
  <si>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</si>
  <si>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</si>
  <si>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</si>
  <si>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</si>
  <si>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</si>
  <si>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</si>
  <si>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</si>
  <si>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</si>
  <si>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</si>
  <si>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</si>
  <si>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</si>
  <si>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</si>
  <si>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</si>
  <si>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</si>
  <si>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</si>
  <si>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</si>
  <si>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</si>
  <si>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</si>
  <si>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</si>
  <si>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</si>
  <si>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</si>
  <si>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</si>
  <si>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</si>
  <si>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</si>
  <si>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</si>
  <si>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</si>
  <si>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</si>
  <si>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</si>
  <si>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</si>
  <si>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</si>
  <si>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</si>
  <si>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</si>
  <si>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</si>
  <si>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</si>
  <si>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</si>
  <si>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</si>
  <si>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</si>
  <si>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</si>
  <si>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</si>
  <si>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</si>
  <si>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</si>
  <si>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</si>
  <si>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</si>
  <si>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</si>
  <si>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</si>
  <si>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</si>
  <si>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</si>
  <si>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</si>
  <si>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</si>
  <si>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</si>
  <si>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</si>
  <si>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</si>
  <si>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</si>
  <si>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</si>
  <si>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</si>
  <si>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</si>
  <si>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</si>
  <si>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</si>
  <si>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</si>
  <si>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</si>
  <si>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</si>
  <si>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</si>
  <si>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</si>
  <si>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</si>
  <si>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</si>
  <si>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</si>
  <si>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</si>
  <si>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</si>
  <si>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</si>
  <si>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</si>
  <si>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</si>
  <si>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</si>
  <si>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</si>
  <si>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</si>
  <si>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</si>
  <si>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</si>
  <si>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</si>
  <si>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</si>
  <si>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</si>
  <si>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</si>
  <si>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</si>
  <si>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</si>
  <si>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</si>
  <si>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</si>
  <si>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</si>
  <si>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</si>
  <si>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</si>
  <si>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</si>
  <si>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</si>
  <si>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</si>
  <si>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</si>
  <si>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</si>
  <si>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</si>
  <si>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</si>
  <si>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</si>
  <si>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</si>
  <si>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</si>
  <si>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</si>
  <si>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</si>
  <si>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</si>
  <si>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</si>
  <si>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</si>
  <si>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</si>
  <si>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</si>
  <si>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</si>
  <si>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</si>
  <si>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</si>
  <si>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</si>
  <si>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</si>
  <si>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</si>
  <si>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</si>
  <si>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</si>
  <si>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</si>
  <si>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</si>
  <si>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</si>
  <si>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</si>
  <si>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</si>
  <si>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</si>
  <si>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</si>
  <si>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</si>
  <si>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</si>
  <si>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</si>
  <si>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</si>
  <si>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</si>
  <si>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</si>
  <si>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</si>
  <si>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</si>
  <si>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</si>
  <si>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</si>
  <si>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</si>
  <si>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</si>
  <si>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</si>
  <si>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</si>
  <si>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</si>
  <si>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</si>
  <si>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</si>
  <si>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</si>
  <si>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</si>
  <si>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</si>
  <si>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</si>
  <si>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</si>
  <si>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</si>
  <si>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</si>
  <si>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</si>
  <si>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</si>
  <si>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</si>
  <si>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</si>
  <si>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</si>
  <si>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</si>
  <si>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</si>
  <si>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</si>
  <si>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</si>
  <si>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</si>
  <si>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</si>
  <si>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</si>
  <si>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</si>
  <si>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</si>
  <si>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</si>
  <si>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</si>
  <si>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</si>
  <si>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</si>
  <si>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</si>
  <si>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</si>
  <si>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</si>
  <si>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</si>
  <si>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</si>
  <si>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</si>
  <si>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</si>
  <si>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</si>
  <si>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</si>
  <si>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</si>
  <si>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</si>
  <si>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</si>
  <si>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</si>
  <si>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</si>
  <si>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</si>
  <si>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</si>
  <si>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</si>
  <si>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</si>
  <si>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</si>
  <si>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</si>
  <si>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</si>
  <si>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</si>
  <si>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</si>
  <si>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</si>
  <si>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</si>
  <si>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</si>
  <si>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</si>
  <si>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</si>
  <si>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</si>
  <si>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</si>
  <si>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</si>
  <si>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</si>
  <si>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</si>
  <si>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</si>
  <si>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</si>
  <si>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</si>
  <si>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</si>
  <si>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</si>
  <si>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</si>
  <si>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</si>
  <si>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</si>
  <si>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</si>
  <si>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</si>
  <si>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</si>
  <si>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</si>
  <si>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</si>
  <si>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</si>
  <si>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</si>
  <si>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</si>
  <si>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</si>
  <si>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</si>
  <si>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</si>
  <si>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</si>
  <si>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</si>
  <si>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</si>
  <si>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</si>
  <si>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</si>
  <si>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</si>
  <si>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</si>
  <si>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</si>
  <si>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</si>
  <si>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</si>
  <si>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</si>
  <si>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</si>
  <si>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</si>
  <si>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</si>
  <si>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</si>
  <si>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</si>
  <si>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</si>
  <si>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</si>
  <si>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Coût total du projet Néosylva sur les 5 premières années</t>
  </si>
  <si>
    <t>Cout plantation + entretien</t>
  </si>
  <si>
    <t>Cout gestionnaire</t>
  </si>
  <si>
    <t>Frais notariés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</si>
</sst>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2.1401809042543243</c:v>
                </c:pt>
                <c:pt idx="2">
                  <c:v>2.9539701571329178</c:v>
                </c:pt>
                <c:pt idx="3">
                  <c:v>4.0785236834754839</c:v>
                </c:pt>
                <c:pt idx="4">
                  <c:v>5.632990739716111</c:v>
                </c:pt>
                <c:pt idx="5">
                  <c:v>7.7823738660110378</c:v>
                </c:pt>
                <c:pt idx="6">
                  <c:v>10.755235827707105</c:v>
                </c:pt>
                <c:pt idx="7">
                  <c:v>14.868265954570242</c:v>
                </c:pt>
                <c:pt idx="8">
                  <c:v>20.560370745051507</c:v>
                </c:pt>
                <c:pt idx="9">
                  <c:v>28.439991596203328</c:v>
                </c:pt>
                <c:pt idx="10">
                  <c:v>39.350795770602367</c:v>
                </c:pt>
                <c:pt idx="11">
                  <c:v>54.462893774670114</c:v>
                </c:pt>
                <c:pt idx="12">
                  <c:v>75.39952790323126</c:v>
                </c:pt>
                <c:pt idx="13">
                  <c:v>104.41306006066355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193.29052168884596</c:v>
                </c:pt>
                <c:pt idx="21">
                  <c:v>220.93536617179186</c:v>
                </c:pt>
                <c:pt idx="22">
                  <c:v>248.50075413542206</c:v>
                </c:pt>
                <c:pt idx="23">
                  <c:v>275.99673833280997</c:v>
                </c:pt>
                <c:pt idx="24">
                  <c:v>303.43120230449443</c:v>
                </c:pt>
                <c:pt idx="25">
                  <c:v>330.81048669188147</c:v>
                </c:pt>
                <c:pt idx="26">
                  <c:v>279.10466657355261</c:v>
                </c:pt>
                <c:pt idx="27">
                  <c:v>305.47306451243452</c:v>
                </c:pt>
                <c:pt idx="28">
                  <c:v>331.79086499515682</c:v>
                </c:pt>
                <c:pt idx="29">
                  <c:v>358.06264251869788</c:v>
                </c:pt>
                <c:pt idx="30">
                  <c:v>384.29224564173211</c:v>
                </c:pt>
                <c:pt idx="31">
                  <c:v>410.48295490619279</c:v>
                </c:pt>
                <c:pt idx="32">
                  <c:v>436.63759831329838</c:v>
                </c:pt>
                <c:pt idx="33">
                  <c:v>363.31633763749659</c:v>
                </c:pt>
                <c:pt idx="34">
                  <c:v>387.29119605868004</c:v>
                </c:pt>
                <c:pt idx="35">
                  <c:v>411.23383740124814</c:v>
                </c:pt>
                <c:pt idx="36">
                  <c:v>435.14639951550294</c:v>
                </c:pt>
                <c:pt idx="37">
                  <c:v>459.03076628022262</c:v>
                </c:pt>
                <c:pt idx="38">
                  <c:v>482.88860968718888</c:v>
                </c:pt>
                <c:pt idx="39">
                  <c:v>506.72142317591027</c:v>
                </c:pt>
                <c:pt idx="40">
                  <c:v>530.53054837171476</c:v>
                </c:pt>
                <c:pt idx="41">
                  <c:v>554.31719677583226</c:v>
                </c:pt>
                <c:pt idx="42">
                  <c:v>578.08246754042477</c:v>
                </c:pt>
                <c:pt idx="43">
                  <c:v>601.82736217023478</c:v>
                </c:pt>
                <c:pt idx="44">
                  <c:v>625.55279678488239</c:v>
                </c:pt>
                <c:pt idx="45">
                  <c:v>649.25961242550738</c:v>
                </c:pt>
                <c:pt idx="46">
                  <c:v>3.669434796176543E-12</c:v>
                </c:pt>
                <c:pt idx="47">
                  <c:v>3.669434796176543E-12</c:v>
                </c:pt>
                <c:pt idx="48">
                  <c:v>3.669434796176543E-12</c:v>
                </c:pt>
                <c:pt idx="49">
                  <c:v>3.669434796176543E-12</c:v>
                </c:pt>
                <c:pt idx="50">
                  <c:v>3.669434796176543E-12</c:v>
                </c:pt>
                <c:pt idx="51">
                  <c:v>3.669434796176543E-12</c:v>
                </c:pt>
                <c:pt idx="52">
                  <c:v>3.669434796176543E-12</c:v>
                </c:pt>
                <c:pt idx="53">
                  <c:v>3.669434796176543E-12</c:v>
                </c:pt>
                <c:pt idx="54">
                  <c:v>3.669434796176543E-12</c:v>
                </c:pt>
                <c:pt idx="55">
                  <c:v>3.669434796176543E-12</c:v>
                </c:pt>
                <c:pt idx="56">
                  <c:v>3.669434796176543E-12</c:v>
                </c:pt>
                <c:pt idx="57">
                  <c:v>3.669434796176543E-12</c:v>
                </c:pt>
                <c:pt idx="58">
                  <c:v>3.669434796176543E-12</c:v>
                </c:pt>
                <c:pt idx="59">
                  <c:v>3.669434796176543E-12</c:v>
                </c:pt>
                <c:pt idx="60">
                  <c:v>3.669434796176543E-12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5" x14ac:dyDescent="0.35"/>
  <cols>
    <col min="1" max="1" width="6.6328125" customWidth="1"/>
    <col min="2" max="13" width="15.90625" customWidth="1"/>
  </cols>
  <sheetData>
    <row r="12" spans="2:13" ht="15" customHeight="1" x14ac:dyDescent="0.35">
      <c r="B12" s="264" t="s">
        <v>291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</row>
    <row r="13" spans="2:13" ht="15" customHeight="1" x14ac:dyDescent="0.35"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</row>
    <row r="14" spans="2:13" ht="15" customHeight="1" x14ac:dyDescent="0.35"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2:13" ht="18.75" customHeight="1" x14ac:dyDescent="0.35"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</row>
    <row r="16" spans="2:13" ht="18.75" customHeight="1" x14ac:dyDescent="0.35"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8" spans="2:13" ht="12" customHeight="1" x14ac:dyDescent="0.35">
      <c r="B18" s="264" t="s">
        <v>292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</row>
    <row r="19" spans="2:13" ht="12" customHeight="1" x14ac:dyDescent="0.35"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2:13" ht="12" customHeight="1" x14ac:dyDescent="0.35"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</row>
    <row r="21" spans="2:13" ht="12" customHeight="1" x14ac:dyDescent="0.35"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</row>
    <row r="22" spans="2:13" ht="12" customHeight="1" x14ac:dyDescent="0.35"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</row>
    <row r="23" spans="2:13" ht="12" customHeight="1" x14ac:dyDescent="0.35"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</row>
    <row r="24" spans="2:13" ht="12" customHeight="1" x14ac:dyDescent="0.35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</row>
    <row r="25" spans="2:13" ht="12" customHeight="1" x14ac:dyDescent="0.35"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</row>
    <row r="26" spans="2:13" ht="12" customHeight="1" x14ac:dyDescent="0.35"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</row>
    <row r="27" spans="2:13" ht="12" customHeight="1" x14ac:dyDescent="0.35"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2:13" ht="12" customHeight="1" x14ac:dyDescent="0.35"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2:13" ht="12" customHeight="1" x14ac:dyDescent="0.35"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2:13" ht="12" customHeight="1" x14ac:dyDescent="0.35"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2:13" ht="12" customHeight="1" x14ac:dyDescent="0.35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4" zoomScale="80" zoomScaleNormal="80" workbookViewId="0">
      <selection activeCell="A62" sqref="A62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90625" style="23" bestFit="1" customWidth="1"/>
    <col min="4" max="4" width="16.453125" style="23" customWidth="1"/>
    <col min="5" max="5" width="23.36328125" style="23" customWidth="1"/>
    <col min="6" max="6" width="28.90625" style="23" bestFit="1" customWidth="1"/>
    <col min="7" max="8" width="14.6328125" style="23" customWidth="1"/>
    <col min="9" max="9" width="17" style="23" customWidth="1"/>
    <col min="10" max="10" width="13.90625" style="23" customWidth="1"/>
    <col min="11" max="16384" width="11.453125" style="23"/>
  </cols>
  <sheetData>
    <row r="1" spans="1:38" x14ac:dyDescent="0.35">
      <c r="A1" s="4"/>
      <c r="B1" s="4"/>
      <c r="C1" s="265" t="s">
        <v>190</v>
      </c>
      <c r="D1" s="265"/>
      <c r="E1" s="26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0" t="s">
        <v>192</v>
      </c>
      <c r="C3" s="271"/>
      <c r="D3" s="271"/>
      <c r="E3" s="271"/>
      <c r="F3" s="272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5" t="s">
        <v>231</v>
      </c>
      <c r="B5" s="275"/>
      <c r="C5" s="24">
        <v>2.1800000000000002</v>
      </c>
      <c r="D5" s="276" t="s">
        <v>229</v>
      </c>
      <c r="E5" s="277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4" t="s">
        <v>226</v>
      </c>
      <c r="B7" s="274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138</v>
      </c>
      <c r="C9" s="32">
        <v>1</v>
      </c>
      <c r="D9" s="33">
        <f t="shared" ref="D9:D18" si="0">C9*$C$5</f>
        <v>2.1800000000000002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2.1800000000000002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3" t="s">
        <v>232</v>
      </c>
      <c r="B22" s="273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4" t="s">
        <v>227</v>
      </c>
      <c r="B30" s="274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taeda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66" t="s">
        <v>186</v>
      </c>
      <c r="D34" s="266"/>
      <c r="E34" s="267" t="s">
        <v>187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7">
        <v>14</v>
      </c>
      <c r="B36" s="258">
        <v>108.18</v>
      </c>
      <c r="C36" s="258">
        <v>1</v>
      </c>
      <c r="D36" s="259">
        <v>34.25</v>
      </c>
      <c r="E36" s="260">
        <v>0</v>
      </c>
      <c r="F36" s="260">
        <v>1</v>
      </c>
      <c r="G36" s="260">
        <v>0</v>
      </c>
      <c r="H36" s="260">
        <v>0</v>
      </c>
      <c r="I36" s="49">
        <f>IFERROR(B36/A36,"")</f>
        <v>7.7271428571428578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61">
        <v>19</v>
      </c>
      <c r="B37" s="262">
        <v>183.77</v>
      </c>
      <c r="C37" s="262">
        <v>2</v>
      </c>
      <c r="D37" s="262">
        <v>59.5</v>
      </c>
      <c r="E37" s="263">
        <v>0</v>
      </c>
      <c r="F37" s="263">
        <v>1</v>
      </c>
      <c r="G37" s="263">
        <v>0</v>
      </c>
      <c r="H37" s="263">
        <v>0</v>
      </c>
      <c r="I37" s="53">
        <f t="shared" ref="I37:I55" si="1">IF(A37&lt;&gt;0,(B37-(B36-D36))/(A37-A36),"")</f>
        <v>21.968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61">
        <v>25</v>
      </c>
      <c r="B38" s="262">
        <v>252.69</v>
      </c>
      <c r="C38" s="262">
        <v>3</v>
      </c>
      <c r="D38" s="262">
        <v>60.96</v>
      </c>
      <c r="E38" s="263">
        <v>0.1</v>
      </c>
      <c r="F38" s="263">
        <v>0.8</v>
      </c>
      <c r="G38" s="263">
        <v>0</v>
      </c>
      <c r="H38" s="263">
        <v>0.1</v>
      </c>
      <c r="I38" s="53">
        <f t="shared" si="1"/>
        <v>21.403333333333332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61">
        <v>32</v>
      </c>
      <c r="B39" s="262">
        <v>335.76</v>
      </c>
      <c r="C39" s="262">
        <v>4</v>
      </c>
      <c r="D39" s="262">
        <v>76.42</v>
      </c>
      <c r="E39" s="263">
        <v>0.3</v>
      </c>
      <c r="F39" s="263">
        <v>0.5</v>
      </c>
      <c r="G39" s="263">
        <v>0</v>
      </c>
      <c r="H39" s="263">
        <v>0.2</v>
      </c>
      <c r="I39" s="49">
        <f t="shared" si="1"/>
        <v>20.575714285714287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61">
        <v>45</v>
      </c>
      <c r="B40" s="262">
        <v>503.89</v>
      </c>
      <c r="C40" s="262">
        <v>5</v>
      </c>
      <c r="D40" s="262">
        <v>503.89</v>
      </c>
      <c r="E40" s="263">
        <v>0.3</v>
      </c>
      <c r="F40" s="263">
        <v>0.5</v>
      </c>
      <c r="G40" s="263">
        <v>0</v>
      </c>
      <c r="H40" s="263">
        <v>0.2</v>
      </c>
      <c r="I40" s="49">
        <f t="shared" si="1"/>
        <v>18.811538461538461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61"/>
      <c r="B41" s="262"/>
      <c r="C41" s="262"/>
      <c r="D41" s="262"/>
      <c r="E41" s="263"/>
      <c r="F41" s="263"/>
      <c r="G41" s="263"/>
      <c r="H41" s="263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61"/>
      <c r="B42" s="262"/>
      <c r="C42" s="262"/>
      <c r="D42" s="262"/>
      <c r="E42" s="263"/>
      <c r="F42" s="263"/>
      <c r="G42" s="263"/>
      <c r="H42" s="263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61"/>
      <c r="B43" s="262"/>
      <c r="C43" s="262"/>
      <c r="D43" s="262"/>
      <c r="E43" s="263"/>
      <c r="F43" s="263"/>
      <c r="G43" s="263"/>
      <c r="H43" s="263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61"/>
      <c r="B44" s="262"/>
      <c r="C44" s="262"/>
      <c r="D44" s="262"/>
      <c r="E44" s="263"/>
      <c r="F44" s="263"/>
      <c r="G44" s="263"/>
      <c r="H44" s="263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61"/>
      <c r="B45" s="262"/>
      <c r="C45" s="262"/>
      <c r="D45" s="262"/>
      <c r="E45" s="263"/>
      <c r="F45" s="263"/>
      <c r="G45" s="263"/>
      <c r="H45" s="263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61"/>
      <c r="B46" s="262"/>
      <c r="C46" s="262"/>
      <c r="D46" s="262"/>
      <c r="E46" s="263"/>
      <c r="F46" s="263"/>
      <c r="G46" s="263"/>
      <c r="H46" s="263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61"/>
      <c r="B47" s="262"/>
      <c r="C47" s="262"/>
      <c r="D47" s="262"/>
      <c r="E47" s="263"/>
      <c r="F47" s="263"/>
      <c r="G47" s="263"/>
      <c r="H47" s="263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61"/>
      <c r="B48" s="262"/>
      <c r="C48" s="262"/>
      <c r="D48" s="262"/>
      <c r="E48" s="263"/>
      <c r="F48" s="263"/>
      <c r="G48" s="263"/>
      <c r="H48" s="263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61"/>
      <c r="B49" s="262"/>
      <c r="C49" s="262"/>
      <c r="D49" s="262"/>
      <c r="E49" s="263"/>
      <c r="F49" s="263"/>
      <c r="G49" s="263"/>
      <c r="H49" s="263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/>
      <c r="B50" s="262"/>
      <c r="C50" s="262"/>
      <c r="D50" s="262"/>
      <c r="E50" s="263"/>
      <c r="F50" s="263"/>
      <c r="G50" s="263"/>
      <c r="H50" s="263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66" t="s">
        <v>186</v>
      </c>
      <c r="D60" s="266"/>
      <c r="E60" s="267" t="s">
        <v>187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66" t="s">
        <v>186</v>
      </c>
      <c r="D86" s="266"/>
      <c r="E86" s="267" t="s">
        <v>187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66" t="s">
        <v>186</v>
      </c>
      <c r="D112" s="266"/>
      <c r="E112" s="267" t="s">
        <v>187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66" t="s">
        <v>186</v>
      </c>
      <c r="D138" s="266"/>
      <c r="E138" s="267" t="s">
        <v>187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66" t="s">
        <v>186</v>
      </c>
      <c r="D164" s="266"/>
      <c r="E164" s="267" t="s">
        <v>187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66" t="s">
        <v>186</v>
      </c>
      <c r="D190" s="266"/>
      <c r="E190" s="267" t="s">
        <v>187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66" t="s">
        <v>186</v>
      </c>
      <c r="D216" s="266"/>
      <c r="E216" s="267" t="s">
        <v>187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66" t="s">
        <v>186</v>
      </c>
      <c r="D242" s="266"/>
      <c r="E242" s="267" t="s">
        <v>187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66" t="s">
        <v>186</v>
      </c>
      <c r="D268" s="266"/>
      <c r="E268" s="267" t="s">
        <v>187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9" sqref="B9"/>
    </sheetView>
  </sheetViews>
  <sheetFormatPr baseColWidth="10" defaultColWidth="11.453125" defaultRowHeight="14.5" x14ac:dyDescent="0.35"/>
  <cols>
    <col min="1" max="1" width="5.9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9" t="s">
        <v>191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8"/>
      <c r="C4" s="278"/>
      <c r="D4" s="278"/>
      <c r="E4" s="278"/>
      <c r="F4" s="278"/>
      <c r="G4" s="27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90625" style="4" bestFit="1" customWidth="1"/>
    <col min="2" max="4" width="11.453125" style="4"/>
    <col min="5" max="5" width="9.54296875" style="4" customWidth="1"/>
    <col min="6" max="7" width="11.453125" style="4"/>
    <col min="8" max="8" width="10.63281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5429687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36328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9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36328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36328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5" t="s">
        <v>176</v>
      </c>
      <c r="C1" s="286"/>
      <c r="D1" s="286"/>
      <c r="E1" s="286"/>
      <c r="F1" s="286"/>
      <c r="G1" s="286"/>
      <c r="H1" s="287"/>
      <c r="I1" s="282" t="str">
        <f>IF('Données projet'!$B$9="","",'Données projet'!$B$9)</f>
        <v>Pin taeda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4"/>
      <c r="AD1" s="283" t="str">
        <f>IF('Données projet'!$B$10="","",'Données projet'!$B$10)</f>
        <v/>
      </c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4"/>
      <c r="AY1" s="282" t="str">
        <f>IF('Données projet'!$B$11="","",'Données projet'!$B$11)</f>
        <v/>
      </c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4"/>
      <c r="BT1" s="282" t="str">
        <f>IF('Données projet'!$B$12="","",'Données projet'!$B$12)</f>
        <v/>
      </c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4"/>
      <c r="CO1" s="282" t="str">
        <f>IF('Données projet'!$B$13="","",'Données projet'!$B$13)</f>
        <v/>
      </c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4"/>
      <c r="DJ1" s="282" t="str">
        <f>IF('Données projet'!$B$14="","",'Données projet'!$B$14)</f>
        <v/>
      </c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4"/>
      <c r="EE1" s="282" t="str">
        <f>IF('Données projet'!$B$15="","",'Données projet'!$B$15)</f>
        <v/>
      </c>
      <c r="EF1" s="283"/>
      <c r="EG1" s="283"/>
      <c r="EH1" s="283"/>
      <c r="EI1" s="283"/>
      <c r="EJ1" s="283"/>
      <c r="EK1" s="283"/>
      <c r="EL1" s="283"/>
      <c r="EM1" s="283"/>
      <c r="EN1" s="283"/>
      <c r="EO1" s="283"/>
      <c r="EP1" s="283"/>
      <c r="EQ1" s="283"/>
      <c r="ER1" s="283"/>
      <c r="ES1" s="283"/>
      <c r="ET1" s="283"/>
      <c r="EU1" s="283"/>
      <c r="EV1" s="283"/>
      <c r="EW1" s="283"/>
      <c r="EX1" s="283"/>
      <c r="EY1" s="284"/>
      <c r="EZ1" s="282" t="str">
        <f>IF('Données projet'!$B$16="","",'Données projet'!$B$16)</f>
        <v/>
      </c>
      <c r="FA1" s="283"/>
      <c r="FB1" s="283"/>
      <c r="FC1" s="283"/>
      <c r="FD1" s="283"/>
      <c r="FE1" s="283"/>
      <c r="FF1" s="283"/>
      <c r="FG1" s="283"/>
      <c r="FH1" s="283"/>
      <c r="FI1" s="283"/>
      <c r="FJ1" s="283"/>
      <c r="FK1" s="283"/>
      <c r="FL1" s="283"/>
      <c r="FM1" s="283"/>
      <c r="FN1" s="283"/>
      <c r="FO1" s="283"/>
      <c r="FP1" s="283"/>
      <c r="FQ1" s="283"/>
      <c r="FR1" s="283"/>
      <c r="FS1" s="283"/>
      <c r="FT1" s="284"/>
      <c r="FU1" s="282" t="str">
        <f>IF('Données projet'!$B$17="","",'Données projet'!$B$17)</f>
        <v/>
      </c>
      <c r="FV1" s="283"/>
      <c r="FW1" s="283"/>
      <c r="FX1" s="283"/>
      <c r="FY1" s="283"/>
      <c r="FZ1" s="283"/>
      <c r="GA1" s="283"/>
      <c r="GB1" s="283"/>
      <c r="GC1" s="283"/>
      <c r="GD1" s="283"/>
      <c r="GE1" s="283"/>
      <c r="GF1" s="283"/>
      <c r="GG1" s="283"/>
      <c r="GH1" s="283"/>
      <c r="GI1" s="283"/>
      <c r="GJ1" s="283"/>
      <c r="GK1" s="283"/>
      <c r="GL1" s="283"/>
      <c r="GM1" s="283"/>
      <c r="GN1" s="283"/>
      <c r="GO1" s="284"/>
      <c r="GP1" s="282" t="str">
        <f>IF('Données projet'!$B$18="","",'Données projet'!$B$18)</f>
        <v/>
      </c>
      <c r="GQ1" s="283"/>
      <c r="GR1" s="283"/>
      <c r="GS1" s="283"/>
      <c r="GT1" s="283"/>
      <c r="GU1" s="283"/>
      <c r="GV1" s="283"/>
      <c r="GW1" s="283"/>
      <c r="GX1" s="283"/>
      <c r="GY1" s="283"/>
      <c r="GZ1" s="283"/>
      <c r="HA1" s="283"/>
      <c r="HB1" s="283"/>
      <c r="HC1" s="283"/>
      <c r="HD1" s="283"/>
      <c r="HE1" s="283"/>
      <c r="HF1" s="283"/>
      <c r="HG1" s="283"/>
      <c r="HH1" s="283"/>
      <c r="HI1" s="283"/>
      <c r="HJ1" s="284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287.52077437571728</v>
      </c>
      <c r="T3" s="59">
        <f>IF('Données projet'!E9&gt;30,$R$33-$H$33,LOOKUP('Données projet'!$E$9,$A$3:$A$203,R3:R203)-LOOKUP('Données projet'!$E$9,$A$3:$A$203,$H$3:$H$203))</f>
        <v>420.95891230839874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7.7271428571428578</v>
      </c>
      <c r="N4" s="13">
        <f>IF('Données projet'!$A$36&gt;35,N3+M4-V3,IF(A4&lt;'Données projet'!$A$36,$K$205^A4,IF(A4='Données projet'!$A$36,'Données projet'!$B$36,N3+M4-V3)))</f>
        <v>1.3973210857138749</v>
      </c>
      <c r="O4" s="13">
        <f>N4*VLOOKUP('Données projet'!$B$9,Paramètres!$A$1:$I$89,3,0)*VLOOKUP('Données projet'!$B$9,Paramètres!$A$1:$I$89,5,0)</f>
        <v>0.83559800925689731</v>
      </c>
      <c r="P4" s="13">
        <f>EXP(-1.0587+0.8836*LN(O4)+0.284)</f>
        <v>0.39321399318577704</v>
      </c>
      <c r="Q4" s="20">
        <f t="shared" ref="Q4:Q34" si="2">(O4+P4)*0.475*44/12</f>
        <v>2.1401809042543243</v>
      </c>
      <c r="R4" s="59">
        <f t="shared" si="0"/>
        <v>260.02906979314321</v>
      </c>
      <c r="S4" s="59">
        <f ca="1">AVERAGE(OFFSET($R$3,0,0,'Données projet'!$E$9+1,1))-AVERAGE(OFFSET($H$3,0,0,'Données projet'!$E$9+1,1))</f>
        <v>287.52077437571728</v>
      </c>
      <c r="T4" s="59">
        <f>$T$3</f>
        <v>420.95891230839874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7.7271428571428578</v>
      </c>
      <c r="N5" s="13">
        <f>IF('Données projet'!$A$36&gt;35,N4+M5-V4,IF(A5&lt;'Données projet'!$A$36,$K$205^A5,IF(A5='Données projet'!$A$36,'Données projet'!$B$36,N4+M5-V4)))</f>
        <v>1.9525062165806022</v>
      </c>
      <c r="O5" s="13">
        <f>N5*VLOOKUP('Données projet'!$B$9,Paramètres!$A$1:$I$89,3,0)*VLOOKUP('Données projet'!$B$9,Paramètres!$A$1:$I$89,5,0)</f>
        <v>1.1675987175152003</v>
      </c>
      <c r="P5" s="13">
        <f t="shared" ref="P5:P68" si="33">EXP(-1.0587+0.8836*LN(O5)+0.284)</f>
        <v>0.52846070284819757</v>
      </c>
      <c r="Q5" s="20">
        <f t="shared" si="2"/>
        <v>2.9539701571329178</v>
      </c>
      <c r="R5" s="59">
        <f t="shared" si="0"/>
        <v>262.06508126824406</v>
      </c>
      <c r="S5" s="59">
        <f ca="1">AVERAGE(OFFSET($R$3,0,0,'Données projet'!$E$9+1,1))-AVERAGE(OFFSET($H$3,0,0,'Données projet'!$E$9+1,1))</f>
        <v>287.52077437571728</v>
      </c>
      <c r="T5" s="59">
        <f t="shared" ref="T5:T68" si="34">$T$3</f>
        <v>420.95891230839874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7.7271428571428578</v>
      </c>
      <c r="N6" s="13">
        <f>IF('Données projet'!$A$36&gt;35,N5+M6-V5,IF(A6&lt;'Données projet'!$A$36,$K$205^A6,IF(A6='Données projet'!$A$36,'Données projet'!$B$36,N5+M6-V5)))</f>
        <v>2.7282781064154973</v>
      </c>
      <c r="O6" s="13">
        <f>N6*VLOOKUP('Données projet'!$B$9,Paramètres!$A$1:$I$89,3,0)*VLOOKUP('Données projet'!$B$9,Paramètres!$A$1:$I$89,5,0)</f>
        <v>1.6315103076364676</v>
      </c>
      <c r="P6" s="13">
        <f t="shared" si="33"/>
        <v>0.71022577856955182</v>
      </c>
      <c r="Q6" s="20">
        <f t="shared" si="2"/>
        <v>4.0785236834754839</v>
      </c>
      <c r="R6" s="59">
        <f t="shared" si="0"/>
        <v>264.41185701680882</v>
      </c>
      <c r="S6" s="59">
        <f ca="1">AVERAGE(OFFSET($R$3,0,0,'Données projet'!$E$9+1,1))-AVERAGE(OFFSET($H$3,0,0,'Données projet'!$E$9+1,1))</f>
        <v>287.52077437571728</v>
      </c>
      <c r="T6" s="59">
        <f t="shared" si="34"/>
        <v>420.95891230839874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7.7271428571428578</v>
      </c>
      <c r="N7" s="13">
        <f>IF('Données projet'!$A$36&gt;35,N6+M7-V6,IF(A7&lt;'Données projet'!$A$36,$K$205^A7,IF(A7='Données projet'!$A$36,'Données projet'!$B$36,N6+M7-V6)))</f>
        <v>3.8122805257858974</v>
      </c>
      <c r="O7" s="13">
        <f>N7*VLOOKUP('Données projet'!$B$9,Paramètres!$A$1:$I$89,3,0)*VLOOKUP('Données projet'!$B$9,Paramètres!$A$1:$I$89,5,0)</f>
        <v>2.2797437544199668</v>
      </c>
      <c r="P7" s="13">
        <f t="shared" si="33"/>
        <v>0.95450930187636462</v>
      </c>
      <c r="Q7" s="20">
        <f t="shared" si="2"/>
        <v>5.632990739716111</v>
      </c>
      <c r="R7" s="59">
        <f t="shared" si="0"/>
        <v>267.18854629527164</v>
      </c>
      <c r="S7" s="59">
        <f ca="1">AVERAGE(OFFSET($R$3,0,0,'Données projet'!$E$9+1,1))-AVERAGE(OFFSET($H$3,0,0,'Données projet'!$E$9+1,1))</f>
        <v>287.52077437571728</v>
      </c>
      <c r="T7" s="59">
        <f t="shared" si="34"/>
        <v>420.95891230839874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7.7271428571428578</v>
      </c>
      <c r="N8" s="13">
        <f>IF('Données projet'!$A$36&gt;35,N7+M8-V7,IF(A8&lt;'Données projet'!$A$36,$K$205^A8,IF(A8='Données projet'!$A$36,'Données projet'!$B$36,N7+M8-V7)))</f>
        <v>5.3269799633370116</v>
      </c>
      <c r="O8" s="13">
        <f>N8*VLOOKUP('Données projet'!$B$9,Paramètres!$A$1:$I$89,3,0)*VLOOKUP('Données projet'!$B$9,Paramètres!$A$1:$I$89,5,0)</f>
        <v>3.1855340180755332</v>
      </c>
      <c r="P8" s="13">
        <f t="shared" si="33"/>
        <v>1.2828146131269762</v>
      </c>
      <c r="Q8" s="20">
        <f t="shared" si="2"/>
        <v>7.7823738660110378</v>
      </c>
      <c r="R8" s="59">
        <f t="shared" si="0"/>
        <v>270.5601516437888</v>
      </c>
      <c r="S8" s="59">
        <f ca="1">AVERAGE(OFFSET($R$3,0,0,'Données projet'!$E$9+1,1))-AVERAGE(OFFSET($H$3,0,0,'Données projet'!$E$9+1,1))</f>
        <v>287.52077437571728</v>
      </c>
      <c r="T8" s="59">
        <f t="shared" si="34"/>
        <v>420.95891230839874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7.7271428571428578</v>
      </c>
      <c r="N9" s="13">
        <f>IF('Données projet'!$A$36&gt;35,N8+M9-V8,IF(A9&lt;'Données projet'!$A$36,$K$205^A9,IF(A9='Données projet'!$A$36,'Données projet'!$B$36,N8+M9-V8)))</f>
        <v>7.4435014259461312</v>
      </c>
      <c r="O9" s="13">
        <f>N9*VLOOKUP('Données projet'!$B$9,Paramètres!$A$1:$I$89,3,0)*VLOOKUP('Données projet'!$B$9,Paramètres!$A$1:$I$89,5,0)</f>
        <v>4.451213852715787</v>
      </c>
      <c r="P9" s="13">
        <f t="shared" si="33"/>
        <v>1.7240411679772885</v>
      </c>
      <c r="Q9" s="20">
        <f t="shared" si="2"/>
        <v>10.755235827707105</v>
      </c>
      <c r="R9" s="59">
        <f t="shared" si="0"/>
        <v>274.75523582770711</v>
      </c>
      <c r="S9" s="59">
        <f ca="1">AVERAGE(OFFSET($R$3,0,0,'Données projet'!$E$9+1,1))-AVERAGE(OFFSET($H$3,0,0,'Données projet'!$E$9+1,1))</f>
        <v>287.52077437571728</v>
      </c>
      <c r="T9" s="59">
        <f t="shared" si="34"/>
        <v>420.95891230839874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7.7271428571428578</v>
      </c>
      <c r="N10" s="13">
        <f>IF('Données projet'!$A$36&gt;35,N9+M10-V9,IF(A10&lt;'Données projet'!$A$36,$K$205^A10,IF(A10='Données projet'!$A$36,'Données projet'!$B$36,N9+M10-V9)))</f>
        <v>10.400961494015824</v>
      </c>
      <c r="O10" s="13">
        <f>N10*VLOOKUP('Données projet'!$B$9,Paramètres!$A$1:$I$89,3,0)*VLOOKUP('Données projet'!$B$9,Paramètres!$A$1:$I$89,5,0)</f>
        <v>6.2197749734214636</v>
      </c>
      <c r="P10" s="13">
        <f t="shared" si="33"/>
        <v>2.3170284454705419</v>
      </c>
      <c r="Q10" s="20">
        <f t="shared" si="2"/>
        <v>14.868265954570242</v>
      </c>
      <c r="R10" s="59">
        <f t="shared" si="0"/>
        <v>280.09048817679246</v>
      </c>
      <c r="S10" s="59">
        <f ca="1">AVERAGE(OFFSET($R$3,0,0,'Données projet'!$E$9+1,1))-AVERAGE(OFFSET($H$3,0,0,'Données projet'!$E$9+1,1))</f>
        <v>287.52077437571728</v>
      </c>
      <c r="T10" s="59">
        <f t="shared" si="34"/>
        <v>420.95891230839874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7.7271428571428578</v>
      </c>
      <c r="N11" s="13">
        <f>IF('Données projet'!$A$36&gt;35,N10+M11-V10,IF(A11&lt;'Données projet'!$A$36,$K$205^A11,IF(A11='Données projet'!$A$36,'Données projet'!$B$36,N10+M11-V10)))</f>
        <v>14.533482807286399</v>
      </c>
      <c r="O11" s="13">
        <f>N11*VLOOKUP('Données projet'!$B$9,Paramètres!$A$1:$I$89,3,0)*VLOOKUP('Données projet'!$B$9,Paramètres!$A$1:$I$89,5,0)</f>
        <v>8.6910227187572673</v>
      </c>
      <c r="P11" s="13">
        <f t="shared" si="33"/>
        <v>3.1139748382101038</v>
      </c>
      <c r="Q11" s="20">
        <f t="shared" si="2"/>
        <v>20.560370745051507</v>
      </c>
      <c r="R11" s="59">
        <f t="shared" si="0"/>
        <v>287.00481518949596</v>
      </c>
      <c r="S11" s="59">
        <f ca="1">AVERAGE(OFFSET($R$3,0,0,'Données projet'!$E$9+1,1))-AVERAGE(OFFSET($H$3,0,0,'Données projet'!$E$9+1,1))</f>
        <v>287.52077437571728</v>
      </c>
      <c r="T11" s="59">
        <f t="shared" si="34"/>
        <v>420.95891230839874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7.7271428571428578</v>
      </c>
      <c r="N12" s="13">
        <f>IF('Données projet'!$A$36&gt;35,N11+M12-V11,IF(A12&lt;'Données projet'!$A$36,$K$205^A12,IF(A12='Données projet'!$A$36,'Données projet'!$B$36,N11+M12-V11)))</f>
        <v>20.307941975481366</v>
      </c>
      <c r="O12" s="13">
        <f>N12*VLOOKUP('Données projet'!$B$9,Paramètres!$A$1:$I$89,3,0)*VLOOKUP('Données projet'!$B$9,Paramètres!$A$1:$I$89,5,0)</f>
        <v>12.144149301337858</v>
      </c>
      <c r="P12" s="13">
        <f t="shared" si="33"/>
        <v>4.1850324763865441</v>
      </c>
      <c r="Q12" s="20">
        <f t="shared" si="2"/>
        <v>28.439991596203328</v>
      </c>
      <c r="R12" s="59">
        <f t="shared" si="0"/>
        <v>296.10665826287004</v>
      </c>
      <c r="S12" s="59">
        <f ca="1">AVERAGE(OFFSET($R$3,0,0,'Données projet'!$E$9+1,1))-AVERAGE(OFFSET($H$3,0,0,'Données projet'!$E$9+1,1))</f>
        <v>287.52077437571728</v>
      </c>
      <c r="T12" s="59">
        <f t="shared" si="34"/>
        <v>420.95891230839874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7.7271428571428578</v>
      </c>
      <c r="N13" s="13">
        <f>IF('Données projet'!$A$36&gt;35,N12+M13-V12,IF(A13&lt;'Données projet'!$A$36,$K$205^A13,IF(A13='Données projet'!$A$36,'Données projet'!$B$36,N12+M13-V12)))</f>
        <v>28.376715529793994</v>
      </c>
      <c r="O13" s="13">
        <f>N13*VLOOKUP('Données projet'!$B$9,Paramètres!$A$1:$I$89,3,0)*VLOOKUP('Données projet'!$B$9,Paramètres!$A$1:$I$89,5,0)</f>
        <v>16.96927588681681</v>
      </c>
      <c r="P13" s="13">
        <f t="shared" si="33"/>
        <v>5.6244824503711541</v>
      </c>
      <c r="Q13" s="20">
        <f t="shared" si="2"/>
        <v>39.350795770602367</v>
      </c>
      <c r="R13" s="59">
        <f t="shared" si="0"/>
        <v>308.23968465949122</v>
      </c>
      <c r="S13" s="59">
        <f ca="1">AVERAGE(OFFSET($R$3,0,0,'Données projet'!$E$9+1,1))-AVERAGE(OFFSET($H$3,0,0,'Données projet'!$E$9+1,1))</f>
        <v>287.52077437571728</v>
      </c>
      <c r="T13" s="59">
        <f t="shared" si="34"/>
        <v>420.95891230839874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7.7271428571428578</v>
      </c>
      <c r="N14" s="13">
        <f>IF('Données projet'!$A$36&gt;35,N13+M14-V13,IF(A14&lt;'Données projet'!$A$36,$K$205^A14,IF(A14='Données projet'!$A$36,'Données projet'!$B$36,N13+M14-V13)))</f>
        <v>39.651382953085523</v>
      </c>
      <c r="O14" s="13">
        <f>N14*VLOOKUP('Données projet'!$B$9,Paramètres!$A$1:$I$89,3,0)*VLOOKUP('Données projet'!$B$9,Paramètres!$A$1:$I$89,5,0)</f>
        <v>23.711527005945143</v>
      </c>
      <c r="P14" s="13">
        <f t="shared" si="33"/>
        <v>7.5590340130042035</v>
      </c>
      <c r="Q14" s="20">
        <f t="shared" si="2"/>
        <v>54.462893774670114</v>
      </c>
      <c r="R14" s="59">
        <f t="shared" si="0"/>
        <v>324.57400488578128</v>
      </c>
      <c r="S14" s="59">
        <f ca="1">AVERAGE(OFFSET($R$3,0,0,'Données projet'!$E$9+1,1))-AVERAGE(OFFSET($H$3,0,0,'Données projet'!$E$9+1,1))</f>
        <v>287.52077437571728</v>
      </c>
      <c r="T14" s="59">
        <f t="shared" si="34"/>
        <v>420.95891230839874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7.7271428571428578</v>
      </c>
      <c r="N15" s="13">
        <f>IF('Données projet'!$A$36&gt;35,N14+M15-V14,IF(A15&lt;'Données projet'!$A$36,$K$205^A15,IF(A15='Données projet'!$A$36,'Données projet'!$B$36,N14+M15-V14)))</f>
        <v>55.40571347806209</v>
      </c>
      <c r="O15" s="13">
        <f>N15*VLOOKUP('Données projet'!$B$9,Paramètres!$A$1:$I$89,3,0)*VLOOKUP('Données projet'!$B$9,Paramètres!$A$1:$I$89,5,0)</f>
        <v>33.13261665988113</v>
      </c>
      <c r="P15" s="13">
        <f t="shared" si="33"/>
        <v>10.158978308481325</v>
      </c>
      <c r="Q15" s="20">
        <f t="shared" si="2"/>
        <v>75.39952790323126</v>
      </c>
      <c r="R15" s="59">
        <f t="shared" si="0"/>
        <v>346.73286123656459</v>
      </c>
      <c r="S15" s="59">
        <f ca="1">AVERAGE(OFFSET($R$3,0,0,'Données projet'!$E$9+1,1))-AVERAGE(OFFSET($H$3,0,0,'Données projet'!$E$9+1,1))</f>
        <v>287.52077437571728</v>
      </c>
      <c r="T15" s="59">
        <f t="shared" si="34"/>
        <v>420.95891230839874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7.7271428571428578</v>
      </c>
      <c r="N16" s="13">
        <f>IF('Données projet'!$A$36&gt;35,N15+M16-V15,IF(A16&lt;'Données projet'!$A$36,$K$205^A16,IF(A16='Données projet'!$A$36,'Données projet'!$B$36,N15+M16-V15)))</f>
        <v>77.419571711917584</v>
      </c>
      <c r="O16" s="13">
        <f>N16*VLOOKUP('Données projet'!$B$9,Paramètres!$A$1:$I$89,3,0)*VLOOKUP('Données projet'!$B$9,Paramètres!$A$1:$I$89,5,0)</f>
        <v>46.296903883726721</v>
      </c>
      <c r="P16" s="13">
        <f t="shared" si="33"/>
        <v>13.653178447754749</v>
      </c>
      <c r="Q16" s="20">
        <f t="shared" si="2"/>
        <v>104.41306006066355</v>
      </c>
      <c r="R16" s="59">
        <f t="shared" si="0"/>
        <v>376.9686156162191</v>
      </c>
      <c r="S16" s="59">
        <f ca="1">AVERAGE(OFFSET($R$3,0,0,'Données projet'!$E$9+1,1))-AVERAGE(OFFSET($H$3,0,0,'Données projet'!$E$9+1,1))</f>
        <v>287.52077437571728</v>
      </c>
      <c r="T16" s="59">
        <f t="shared" si="34"/>
        <v>420.95891230839874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108.18</v>
      </c>
      <c r="L17" s="12">
        <f>VLOOKUP(A17,'Données projet'!$A$35:$I$55,9,0)</f>
        <v>7.7271428571428578</v>
      </c>
      <c r="M17" s="12">
        <f t="array" ref="M17">INDEX(L:L,MIN(IF(ISNUMBER(L17:L213),ROW(L17:L213),"")))</f>
        <v>7.7271428571428578</v>
      </c>
      <c r="N17" s="13">
        <f>IF('Données projet'!$A$36&gt;35,N16+M17-V16,IF(A17&lt;'Données projet'!$A$36,$K$205^A17,IF(A17='Données projet'!$A$36,'Données projet'!$B$36,N16+M17-V16)))</f>
        <v>108.18</v>
      </c>
      <c r="O17" s="13">
        <f>N17*VLOOKUP('Données projet'!$B$9,Paramètres!$A$1:$I$89,3,0)*VLOOKUP('Données projet'!$B$9,Paramètres!$A$1:$I$89,5,0)</f>
        <v>64.691640000000007</v>
      </c>
      <c r="P17" s="13">
        <f t="shared" si="33"/>
        <v>18.349215449215929</v>
      </c>
      <c r="Q17" s="20">
        <f t="shared" si="2"/>
        <v>144.62948990738442</v>
      </c>
      <c r="R17" s="59">
        <f t="shared" si="0"/>
        <v>418.4072676851622</v>
      </c>
      <c r="S17" s="59">
        <f ca="1">AVERAGE(OFFSET($R$3,0,0,'Données projet'!$E$9+1,1))-AVERAGE(OFFSET($H$3,0,0,'Données projet'!$E$9+1,1))</f>
        <v>287.52077437571728</v>
      </c>
      <c r="T17" s="59">
        <f t="shared" si="34"/>
        <v>420.95891230839874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34.25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0.45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12.17837301020951</v>
      </c>
      <c r="AB17" s="21">
        <f>EXP(-LN(2)/2)*AB16+(1-EXP(-LN(2)/2))/(LN(2)/2)*V17*Y17*VLOOKUP('Données projet'!$B$9,Paramètres!$A$1:$I$89,3,0)*0.475*44/12</f>
        <v>0</v>
      </c>
      <c r="AC17" s="22">
        <f t="shared" si="3"/>
        <v>12.17837301020951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21.968</v>
      </c>
      <c r="N18" s="13">
        <f>IF('Données projet'!$A$36&gt;35,N17+M18-V17,IF(A18&lt;'Données projet'!$A$36,$K$205^A18,IF(A18='Données projet'!$A$36,'Données projet'!$B$36,N17+M18-V17)))</f>
        <v>95.897999999999996</v>
      </c>
      <c r="O18" s="13">
        <f>N18*VLOOKUP('Données projet'!$B$9,Paramètres!$A$1:$I$89,3,0)*VLOOKUP('Données projet'!$B$9,Paramètres!$A$1:$I$89,5,0)</f>
        <v>57.347004000000005</v>
      </c>
      <c r="P18" s="13">
        <f t="shared" si="33"/>
        <v>16.49575316039088</v>
      </c>
      <c r="Q18" s="20">
        <f t="shared" si="2"/>
        <v>128.60946872101411</v>
      </c>
      <c r="R18" s="59">
        <f t="shared" si="0"/>
        <v>403.60946872101408</v>
      </c>
      <c r="S18" s="59">
        <f ca="1">AVERAGE(OFFSET($R$3,0,0,'Données projet'!$E$9+1,1))-AVERAGE(OFFSET($H$3,0,0,'Données projet'!$E$9+1,1))</f>
        <v>287.52077437571728</v>
      </c>
      <c r="T18" s="59">
        <f t="shared" si="34"/>
        <v>420.95891230839874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11.845354759812528</v>
      </c>
      <c r="AB18" s="21">
        <f>EXP(-LN(2)/2)*AB17+(1-EXP(-LN(2)/2))/(LN(2)/2)*V18*Y18*VLOOKUP('Données projet'!$B$9,Paramètres!$A$1:$I$89,3,0)*0.475*44/12</f>
        <v>0</v>
      </c>
      <c r="AC18" s="22">
        <f t="shared" si="3"/>
        <v>11.845354759812528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21.968</v>
      </c>
      <c r="N19" s="13">
        <f>IF('Données projet'!$A$36&gt;35,N18+M19-V18,IF(A19&lt;'Données projet'!$A$36,$K$205^A19,IF(A19='Données projet'!$A$36,'Données projet'!$B$36,N18+M19-V18)))</f>
        <v>117.866</v>
      </c>
      <c r="O19" s="13">
        <f>N19*VLOOKUP('Données projet'!$B$9,Paramètres!$A$1:$I$89,3,0)*VLOOKUP('Données projet'!$B$9,Paramètres!$A$1:$I$89,5,0)</f>
        <v>70.483868000000001</v>
      </c>
      <c r="P19" s="13">
        <f t="shared" si="33"/>
        <v>19.793570832162988</v>
      </c>
      <c r="Q19" s="20">
        <f t="shared" si="2"/>
        <v>157.23320596601718</v>
      </c>
      <c r="R19" s="59">
        <f t="shared" si="0"/>
        <v>433.45542818823941</v>
      </c>
      <c r="S19" s="59">
        <f ca="1">AVERAGE(OFFSET($R$3,0,0,'Données projet'!$E$9+1,1))-AVERAGE(OFFSET($H$3,0,0,'Données projet'!$E$9+1,1))</f>
        <v>287.52077437571728</v>
      </c>
      <c r="T19" s="59">
        <f t="shared" si="34"/>
        <v>420.95891230839874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11.521442910985321</v>
      </c>
      <c r="AB19" s="21">
        <f>EXP(-LN(2)/2)*AB18+(1-EXP(-LN(2)/2))/(LN(2)/2)*V19*Y19*VLOOKUP('Données projet'!$B$9,Paramètres!$A$1:$I$89,3,0)*0.475*44/12</f>
        <v>0</v>
      </c>
      <c r="AC19" s="22">
        <f t="shared" si="3"/>
        <v>11.521442910985321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21.968</v>
      </c>
      <c r="N20" s="13">
        <f>IF('Données projet'!$A$36&gt;35,N19+M20-V19,IF(A20&lt;'Données projet'!$A$36,$K$205^A20,IF(A20='Données projet'!$A$36,'Données projet'!$B$36,N19+M20-V19)))</f>
        <v>139.834</v>
      </c>
      <c r="O20" s="13">
        <f>N20*VLOOKUP('Données projet'!$B$9,Paramètres!$A$1:$I$89,3,0)*VLOOKUP('Données projet'!$B$9,Paramètres!$A$1:$I$89,5,0)</f>
        <v>83.620732000000004</v>
      </c>
      <c r="P20" s="13">
        <f t="shared" si="33"/>
        <v>23.020178365106418</v>
      </c>
      <c r="Q20" s="20">
        <f t="shared" si="2"/>
        <v>185.73291888589367</v>
      </c>
      <c r="R20" s="59">
        <f t="shared" si="0"/>
        <v>463.17736333033815</v>
      </c>
      <c r="S20" s="59">
        <f ca="1">AVERAGE(OFFSET($R$3,0,0,'Données projet'!$E$9+1,1))-AVERAGE(OFFSET($H$3,0,0,'Données projet'!$E$9+1,1))</f>
        <v>287.52077437571728</v>
      </c>
      <c r="T20" s="59">
        <f t="shared" si="34"/>
        <v>420.95891230839874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11.206388448698078</v>
      </c>
      <c r="AB20" s="21">
        <f>EXP(-LN(2)/2)*AB19+(1-EXP(-LN(2)/2))/(LN(2)/2)*V20*Y20*VLOOKUP('Données projet'!$B$9,Paramètres!$A$1:$I$89,3,0)*0.475*44/12</f>
        <v>0</v>
      </c>
      <c r="AC20" s="22">
        <f t="shared" si="3"/>
        <v>11.206388448698078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21.968</v>
      </c>
      <c r="N21" s="13">
        <f>IF('Données projet'!$A$36&gt;35,N20+M21-V20,IF(A21&lt;'Données projet'!$A$36,$K$205^A21,IF(A21='Données projet'!$A$36,'Données projet'!$B$36,N20+M21-V20)))</f>
        <v>161.80199999999999</v>
      </c>
      <c r="O21" s="13">
        <f>N21*VLOOKUP('Données projet'!$B$9,Paramètres!$A$1:$I$89,3,0)*VLOOKUP('Données projet'!$B$9,Paramètres!$A$1:$I$89,5,0)</f>
        <v>96.757596000000007</v>
      </c>
      <c r="P21" s="13">
        <f t="shared" si="33"/>
        <v>26.188063921005639</v>
      </c>
      <c r="Q21" s="20">
        <f t="shared" si="2"/>
        <v>214.13035769575148</v>
      </c>
      <c r="R21" s="59">
        <f t="shared" si="0"/>
        <v>492.79702436241814</v>
      </c>
      <c r="S21" s="59">
        <f ca="1">AVERAGE(OFFSET($R$3,0,0,'Données projet'!$E$9+1,1))-AVERAGE(OFFSET($H$3,0,0,'Données projet'!$E$9+1,1))</f>
        <v>287.52077437571728</v>
      </c>
      <c r="T21" s="59">
        <f t="shared" si="34"/>
        <v>420.95891230839874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10.899949167250073</v>
      </c>
      <c r="AB21" s="21">
        <f>EXP(-LN(2)/2)*AB20+(1-EXP(-LN(2)/2))/(LN(2)/2)*V21*Y21*VLOOKUP('Données projet'!$B$9,Paramètres!$A$1:$I$89,3,0)*0.475*44/12</f>
        <v>0</v>
      </c>
      <c r="AC21" s="22">
        <f t="shared" si="3"/>
        <v>10.899949167250073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183.77</v>
      </c>
      <c r="L22" s="12">
        <f>VLOOKUP(A22,'Données projet'!$A$35:$I$55,9,0)</f>
        <v>21.968</v>
      </c>
      <c r="M22" s="12">
        <f t="array" ref="M22">INDEX(L:L,MIN(IF(ISNUMBER(L22:L218),ROW(L22:L218),"")))</f>
        <v>21.968</v>
      </c>
      <c r="N22" s="13">
        <f>IF('Données projet'!$A$36&gt;35,N21+M22-V21,IF(A22&lt;'Données projet'!$A$36,$K$205^A22,IF(A22='Données projet'!$A$36,'Données projet'!$B$36,N21+M22-V21)))</f>
        <v>183.76999999999998</v>
      </c>
      <c r="O22" s="13">
        <f>N22*VLOOKUP('Données projet'!$B$9,Paramètres!$A$1:$I$89,3,0)*VLOOKUP('Données projet'!$B$9,Paramètres!$A$1:$I$89,5,0)</f>
        <v>109.89446</v>
      </c>
      <c r="P22" s="13">
        <f t="shared" si="33"/>
        <v>29.30611713635502</v>
      </c>
      <c r="Q22" s="20">
        <f t="shared" si="2"/>
        <v>242.44100517915163</v>
      </c>
      <c r="R22" s="59">
        <f t="shared" si="0"/>
        <v>522.32989406804052</v>
      </c>
      <c r="S22" s="59">
        <f ca="1">AVERAGE(OFFSET($R$3,0,0,'Données projet'!$E$9+1,1))-AVERAGE(OFFSET($H$3,0,0,'Données projet'!$E$9+1,1))</f>
        <v>287.52077437571728</v>
      </c>
      <c r="T22" s="59">
        <f t="shared" si="34"/>
        <v>420.95891230839874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59.5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0.45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31.75847909304531</v>
      </c>
      <c r="AB22" s="21">
        <f>EXP(-LN(2)/2)*AB21+(1-EXP(-LN(2)/2))/(LN(2)/2)*V22*Y22*VLOOKUP('Données projet'!$B$9,Paramètres!$A$1:$I$89,3,0)*0.475*44/12</f>
        <v>0</v>
      </c>
      <c r="AC22" s="22">
        <f t="shared" si="3"/>
        <v>31.75847909304531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21.403333333333332</v>
      </c>
      <c r="N23" s="13">
        <f>IF('Données projet'!$A$36&gt;35,N22+M23-V22,IF(A23&lt;'Données projet'!$A$36,$K$205^A23,IF(A23='Données projet'!$A$36,'Données projet'!$B$36,N22+M23-V22)))</f>
        <v>145.67333333333332</v>
      </c>
      <c r="O23" s="13">
        <f>N23*VLOOKUP('Données projet'!$B$9,Paramètres!$A$1:$I$89,3,0)*VLOOKUP('Données projet'!$B$9,Paramètres!$A$1:$I$89,5,0)</f>
        <v>87.112653333333327</v>
      </c>
      <c r="P23" s="13">
        <f t="shared" si="33"/>
        <v>23.867550507152405</v>
      </c>
      <c r="Q23" s="20">
        <f t="shared" si="2"/>
        <v>193.29052168884596</v>
      </c>
      <c r="R23" s="59">
        <f t="shared" si="0"/>
        <v>474.4016327999571</v>
      </c>
      <c r="S23" s="59">
        <f ca="1">AVERAGE(OFFSET($R$3,0,0,'Données projet'!$E$9+1,1))-AVERAGE(OFFSET($H$3,0,0,'Données projet'!$E$9+1,1))</f>
        <v>287.52077437571728</v>
      </c>
      <c r="T23" s="59">
        <f t="shared" si="34"/>
        <v>420.95891230839874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30.890041812140154</v>
      </c>
      <c r="AB23" s="21">
        <f>EXP(-LN(2)/2)*AB22+(1-EXP(-LN(2)/2))/(LN(2)/2)*V23*Y23*VLOOKUP('Données projet'!$B$9,Paramètres!$A$1:$I$89,3,0)*0.475*44/12</f>
        <v>0</v>
      </c>
      <c r="AC23" s="22">
        <f t="shared" si="3"/>
        <v>30.890041812140154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21.403333333333332</v>
      </c>
      <c r="N24" s="13">
        <f>IF('Données projet'!$A$36&gt;35,N23+M24-V23,IF(A24&lt;'Données projet'!$A$36,$K$205^A24,IF(A24='Données projet'!$A$36,'Données projet'!$B$36,N23+M24-V23)))</f>
        <v>167.07666666666665</v>
      </c>
      <c r="O24" s="13">
        <f>N24*VLOOKUP('Données projet'!$B$9,Paramètres!$A$1:$I$89,3,0)*VLOOKUP('Données projet'!$B$9,Paramètres!$A$1:$I$89,5,0)</f>
        <v>99.911846666666662</v>
      </c>
      <c r="P24" s="13">
        <f t="shared" si="33"/>
        <v>26.940995154457852</v>
      </c>
      <c r="Q24" s="20">
        <f t="shared" si="2"/>
        <v>220.93536617179186</v>
      </c>
      <c r="R24" s="59">
        <f t="shared" si="0"/>
        <v>503.26869950512514</v>
      </c>
      <c r="S24" s="59">
        <f ca="1">AVERAGE(OFFSET($R$3,0,0,'Données projet'!$E$9+1,1))-AVERAGE(OFFSET($H$3,0,0,'Données projet'!$E$9+1,1))</f>
        <v>287.52077437571728</v>
      </c>
      <c r="T24" s="59">
        <f t="shared" si="34"/>
        <v>420.95891230839874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30.045351994350483</v>
      </c>
      <c r="AB24" s="21">
        <f>EXP(-LN(2)/2)*AB23+(1-EXP(-LN(2)/2))/(LN(2)/2)*V24*Y24*VLOOKUP('Données projet'!$B$9,Paramètres!$A$1:$I$89,3,0)*0.475*44/12</f>
        <v>0</v>
      </c>
      <c r="AC24" s="22">
        <f t="shared" si="3"/>
        <v>30.045351994350483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21.403333333333332</v>
      </c>
      <c r="N25" s="13">
        <f>IF('Données projet'!$A$36&gt;35,N24+M25-V24,IF(A25&lt;'Données projet'!$A$36,$K$205^A25,IF(A25='Données projet'!$A$36,'Données projet'!$B$36,N24+M25-V24)))</f>
        <v>188.48</v>
      </c>
      <c r="O25" s="13">
        <f>N25*VLOOKUP('Données projet'!$B$9,Paramètres!$A$1:$I$89,3,0)*VLOOKUP('Données projet'!$B$9,Paramètres!$A$1:$I$89,5,0)</f>
        <v>112.71104000000001</v>
      </c>
      <c r="P25" s="13">
        <f t="shared" si="33"/>
        <v>29.968818833735142</v>
      </c>
      <c r="Q25" s="20">
        <f t="shared" si="2"/>
        <v>248.50075413542206</v>
      </c>
      <c r="R25" s="59">
        <f t="shared" si="0"/>
        <v>532.05630969097763</v>
      </c>
      <c r="S25" s="59">
        <f ca="1">AVERAGE(OFFSET($R$3,0,0,'Données projet'!$E$9+1,1))-AVERAGE(OFFSET($H$3,0,0,'Données projet'!$E$9+1,1))</f>
        <v>287.52077437571728</v>
      </c>
      <c r="T25" s="59">
        <f t="shared" si="34"/>
        <v>420.95891230839874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29.223760264048579</v>
      </c>
      <c r="AB25" s="21">
        <f>EXP(-LN(2)/2)*AB24+(1-EXP(-LN(2)/2))/(LN(2)/2)*V25*Y25*VLOOKUP('Données projet'!$B$9,Paramètres!$A$1:$I$89,3,0)*0.475*44/12</f>
        <v>0</v>
      </c>
      <c r="AC25" s="22">
        <f t="shared" si="3"/>
        <v>29.223760264048579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21.403333333333332</v>
      </c>
      <c r="N26" s="13">
        <f>IF('Données projet'!$A$36&gt;35,N25+M26-V25,IF(A26&lt;'Données projet'!$A$36,$K$205^A26,IF(A26='Données projet'!$A$36,'Données projet'!$B$36,N25+M26-V25)))</f>
        <v>209.88333333333333</v>
      </c>
      <c r="O26" s="13">
        <f>N26*VLOOKUP('Données projet'!$B$9,Paramètres!$A$1:$I$89,3,0)*VLOOKUP('Données projet'!$B$9,Paramètres!$A$1:$I$89,5,0)</f>
        <v>125.51023333333335</v>
      </c>
      <c r="P26" s="13">
        <f t="shared" si="33"/>
        <v>32.956793460624539</v>
      </c>
      <c r="Q26" s="20">
        <f t="shared" si="2"/>
        <v>275.99673833280997</v>
      </c>
      <c r="R26" s="59">
        <f t="shared" si="0"/>
        <v>560.77451611058768</v>
      </c>
      <c r="S26" s="59">
        <f ca="1">AVERAGE(OFFSET($R$3,0,0,'Données projet'!$E$9+1,1))-AVERAGE(OFFSET($H$3,0,0,'Données projet'!$E$9+1,1))</f>
        <v>287.52077437571728</v>
      </c>
      <c r="T26" s="59">
        <f t="shared" si="34"/>
        <v>420.95891230839874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28.424635002817411</v>
      </c>
      <c r="AB26" s="21">
        <f>EXP(-LN(2)/2)*AB25+(1-EXP(-LN(2)/2))/(LN(2)/2)*V26*Y26*VLOOKUP('Données projet'!$B$9,Paramètres!$A$1:$I$89,3,0)*0.475*44/12</f>
        <v>0</v>
      </c>
      <c r="AC26" s="22">
        <f t="shared" si="3"/>
        <v>28.424635002817411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21.403333333333332</v>
      </c>
      <c r="N27" s="13">
        <f>IF('Données projet'!$A$36&gt;35,N26+M27-V26,IF(A27&lt;'Données projet'!$A$36,$K$205^A27,IF(A27='Données projet'!$A$36,'Données projet'!$B$36,N26+M27-V26)))</f>
        <v>231.28666666666666</v>
      </c>
      <c r="O27" s="13">
        <f>N27*VLOOKUP('Données projet'!$B$9,Paramètres!$A$1:$I$89,3,0)*VLOOKUP('Données projet'!$B$9,Paramètres!$A$1:$I$89,5,0)</f>
        <v>138.30942666666667</v>
      </c>
      <c r="P27" s="13">
        <f t="shared" si="33"/>
        <v>35.909445469885178</v>
      </c>
      <c r="Q27" s="20">
        <f t="shared" si="2"/>
        <v>303.43120230449443</v>
      </c>
      <c r="R27" s="59">
        <f t="shared" si="0"/>
        <v>589.43120230449449</v>
      </c>
      <c r="S27" s="59">
        <f ca="1">AVERAGE(OFFSET($R$3,0,0,'Données projet'!$E$9+1,1))-AVERAGE(OFFSET($H$3,0,0,'Données projet'!$E$9+1,1))</f>
        <v>287.52077437571728</v>
      </c>
      <c r="T27" s="59">
        <f t="shared" si="34"/>
        <v>420.95891230839874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27.647361863878778</v>
      </c>
      <c r="AB27" s="21">
        <f>EXP(-LN(2)/2)*AB26+(1-EXP(-LN(2)/2))/(LN(2)/2)*V27*Y27*VLOOKUP('Données projet'!$B$9,Paramètres!$A$1:$I$89,3,0)*0.475*44/12</f>
        <v>0</v>
      </c>
      <c r="AC27" s="22">
        <f t="shared" si="3"/>
        <v>27.647361863878778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252.69</v>
      </c>
      <c r="L28" s="12">
        <f>VLOOKUP(A28,'Données projet'!$A$35:$I$55,9,0)</f>
        <v>21.403333333333332</v>
      </c>
      <c r="M28" s="12">
        <f t="array" ref="M28">INDEX(L:L,MIN(IF(ISNUMBER(L28:L224),ROW(L28:L224),"")))</f>
        <v>21.403333333333332</v>
      </c>
      <c r="N28" s="13">
        <f>IF('Données projet'!$A$36&gt;35,N27+M28-V27,IF(A28&lt;'Données projet'!$A$36,$K$205^A28,IF(A28='Données projet'!$A$36,'Données projet'!$B$36,N27+M28-V27)))</f>
        <v>252.69</v>
      </c>
      <c r="O28" s="13">
        <f>N28*VLOOKUP('Données projet'!$B$9,Paramètres!$A$1:$I$89,3,0)*VLOOKUP('Données projet'!$B$9,Paramètres!$A$1:$I$89,5,0)</f>
        <v>151.10862</v>
      </c>
      <c r="P28" s="13">
        <f t="shared" si="33"/>
        <v>38.830415421175942</v>
      </c>
      <c r="Q28" s="20">
        <f t="shared" si="2"/>
        <v>330.81048669188147</v>
      </c>
      <c r="R28" s="59">
        <f t="shared" si="0"/>
        <v>618.03270891410375</v>
      </c>
      <c r="S28" s="59">
        <f ca="1">AVERAGE(OFFSET($R$3,0,0,'Données projet'!$E$9+1,1))-AVERAGE(OFFSET($H$3,0,0,'Données projet'!$E$9+1,1))</f>
        <v>287.52077437571728</v>
      </c>
      <c r="T28" s="59">
        <f t="shared" si="34"/>
        <v>420.95891230839874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60.96</v>
      </c>
      <c r="W28" s="16">
        <f>IF(ISNA(VLOOKUP(A28,'Données projet'!$A$35:$I$55,5,0)),0%,VLOOKUP(A28,'Données projet'!$A$35:$I$55,5,0)*VLOOKUP('Données projet'!$B$9,Paramètres!$A$1:$I$89,7,0))</f>
        <v>4.5000000000000005E-2</v>
      </c>
      <c r="X28" s="16">
        <f>IF(ISNA(VLOOKUP(A28,'Données projet'!$A$35:$I$55,6,0)),0%,VLOOKUP(A28,'Données projet'!$A$35:$I$55,6,0)*VLOOKUP('Données projet'!$B$9,Paramètres!$A$1:$I$89,7,0))</f>
        <v>0.36000000000000004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2.1761409052687246</v>
      </c>
      <c r="AA28" s="21">
        <f>EXP(-LN(2)/25)*AA27+(1-EXP(-LN(2)/25))/(LN(2)/25)*Calculateur!V28*Calculateur!X28*VLOOKUP('Données projet'!$B$9,Paramètres!$A$1:$I$89,3,0)*0.475*44/12</f>
        <v>44.231924174599371</v>
      </c>
      <c r="AB28" s="21">
        <f>EXP(-LN(2)/2)*AB27+(1-EXP(-LN(2)/2))/(LN(2)/2)*V28*Y28*VLOOKUP('Données projet'!$B$9,Paramètres!$A$1:$I$89,3,0)*0.475*44/12</f>
        <v>0</v>
      </c>
      <c r="AC28" s="22">
        <f t="shared" si="3"/>
        <v>46.408065079868095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20.575714285714287</v>
      </c>
      <c r="N29" s="13">
        <f>IF('Données projet'!$A$36&gt;35,N28+M29-V28,IF(A29&lt;'Données projet'!$A$36,$K$205^A29,IF(A29='Données projet'!$A$36,'Données projet'!$B$36,N28+M29-V28)))</f>
        <v>212.30571428571429</v>
      </c>
      <c r="O29" s="13">
        <f>N29*VLOOKUP('Données projet'!$B$9,Paramètres!$A$1:$I$89,3,0)*VLOOKUP('Données projet'!$B$9,Paramètres!$A$1:$I$89,5,0)</f>
        <v>126.95881714285716</v>
      </c>
      <c r="P29" s="13">
        <f t="shared" si="33"/>
        <v>33.292666057268733</v>
      </c>
      <c r="Q29" s="20">
        <f t="shared" si="2"/>
        <v>279.10466657355261</v>
      </c>
      <c r="R29" s="59">
        <f t="shared" si="0"/>
        <v>567.54911101799712</v>
      </c>
      <c r="S29" s="59">
        <f ca="1">AVERAGE(OFFSET($R$3,0,0,'Données projet'!$E$9+1,1))-AVERAGE(OFFSET($H$3,0,0,'Données projet'!$E$9+1,1))</f>
        <v>287.52077437571728</v>
      </c>
      <c r="T29" s="59">
        <f t="shared" si="34"/>
        <v>420.95891230839874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2.1334681094312957</v>
      </c>
      <c r="AA29" s="21">
        <f>EXP(-LN(2)/25)*AA28+(1-EXP(-LN(2)/25))/(LN(2)/25)*Calculateur!V29*Calculateur!X29*VLOOKUP('Données projet'!$B$9,Paramètres!$A$1:$I$89,3,0)*0.475*44/12</f>
        <v>43.022399881989152</v>
      </c>
      <c r="AB29" s="21">
        <f>EXP(-LN(2)/2)*AB28+(1-EXP(-LN(2)/2))/(LN(2)/2)*V29*Y29*VLOOKUP('Données projet'!$B$9,Paramètres!$A$1:$I$89,3,0)*0.475*44/12</f>
        <v>0</v>
      </c>
      <c r="AC29" s="22">
        <f t="shared" si="3"/>
        <v>45.15586799142045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20.575714285714287</v>
      </c>
      <c r="N30" s="13">
        <f>IF('Données projet'!$A$36&gt;35,N29+M30-V29,IF(A30&lt;'Données projet'!$A$36,$K$205^A30,IF(A30='Données projet'!$A$36,'Données projet'!$B$36,N29+M30-V29)))</f>
        <v>232.88142857142859</v>
      </c>
      <c r="O30" s="13">
        <f>N30*VLOOKUP('Données projet'!$B$9,Paramètres!$A$1:$I$89,3,0)*VLOOKUP('Données projet'!$B$9,Paramètres!$A$1:$I$89,5,0)</f>
        <v>139.26309428571432</v>
      </c>
      <c r="P30" s="13">
        <f t="shared" si="33"/>
        <v>36.128138927166717</v>
      </c>
      <c r="Q30" s="20">
        <f t="shared" si="2"/>
        <v>305.47306451243452</v>
      </c>
      <c r="R30" s="59">
        <f t="shared" si="0"/>
        <v>595.1397311791012</v>
      </c>
      <c r="S30" s="59">
        <f ca="1">AVERAGE(OFFSET($R$3,0,0,'Données projet'!$E$9+1,1))-AVERAGE(OFFSET($H$3,0,0,'Données projet'!$E$9+1,1))</f>
        <v>287.52077437571728</v>
      </c>
      <c r="T30" s="59">
        <f t="shared" si="34"/>
        <v>420.95891230839874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2.0916321010924035</v>
      </c>
      <c r="AA30" s="21">
        <f>EXP(-LN(2)/25)*AA29+(1-EXP(-LN(2)/25))/(LN(2)/25)*Calculateur!V30*Calculateur!X30*VLOOKUP('Données projet'!$B$9,Paramètres!$A$1:$I$89,3,0)*0.475*44/12</f>
        <v>41.845950094766479</v>
      </c>
      <c r="AB30" s="21">
        <f>EXP(-LN(2)/2)*AB29+(1-EXP(-LN(2)/2))/(LN(2)/2)*V30*Y30*VLOOKUP('Données projet'!$B$9,Paramètres!$A$1:$I$89,3,0)*0.475*44/12</f>
        <v>0</v>
      </c>
      <c r="AC30" s="22">
        <f t="shared" si="3"/>
        <v>43.93758219585888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20.575714285714287</v>
      </c>
      <c r="N31" s="13">
        <f>IF('Données projet'!$A$36&gt;35,N30+M31-V30,IF(A31&lt;'Données projet'!$A$36,$K$205^A31,IF(A31='Données projet'!$A$36,'Données projet'!$B$36,N30+M31-V30)))</f>
        <v>253.45714285714288</v>
      </c>
      <c r="O31" s="13">
        <f>N31*VLOOKUP('Données projet'!$B$9,Paramètres!$A$1:$I$89,3,0)*VLOOKUP('Données projet'!$B$9,Paramètres!$A$1:$I$89,5,0)</f>
        <v>151.56737142857145</v>
      </c>
      <c r="P31" s="13">
        <f t="shared" si="33"/>
        <v>38.934560626064055</v>
      </c>
      <c r="Q31" s="20">
        <f t="shared" si="2"/>
        <v>331.79086499515682</v>
      </c>
      <c r="R31" s="59">
        <f t="shared" si="0"/>
        <v>622.67975388404568</v>
      </c>
      <c r="S31" s="59">
        <f ca="1">AVERAGE(OFFSET($R$3,0,0,'Données projet'!$E$9+1,1))-AVERAGE(OFFSET($H$3,0,0,'Données projet'!$E$9+1,1))</f>
        <v>287.52077437571728</v>
      </c>
      <c r="T31" s="59">
        <f t="shared" si="34"/>
        <v>420.95891230839874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2.0506164713595911</v>
      </c>
      <c r="AA31" s="21">
        <f>EXP(-LN(2)/25)*AA30+(1-EXP(-LN(2)/25))/(LN(2)/25)*Calculateur!V31*Calculateur!X31*VLOOKUP('Données projet'!$B$9,Paramètres!$A$1:$I$89,3,0)*0.475*44/12</f>
        <v>40.701670388842217</v>
      </c>
      <c r="AB31" s="21">
        <f>EXP(-LN(2)/2)*AB30+(1-EXP(-LN(2)/2))/(LN(2)/2)*V31*Y31*VLOOKUP('Données projet'!$B$9,Paramètres!$A$1:$I$89,3,0)*0.475*44/12</f>
        <v>0</v>
      </c>
      <c r="AC31" s="22">
        <f t="shared" si="3"/>
        <v>42.752286860201806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20.575714285714287</v>
      </c>
      <c r="N32" s="13">
        <f>IF('Données projet'!$A$36&gt;35,N31+M32-V31,IF(A32&lt;'Données projet'!$A$36,$K$205^A32,IF(A32='Données projet'!$A$36,'Données projet'!$B$36,N31+M32-V31)))</f>
        <v>274.03285714285715</v>
      </c>
      <c r="O32" s="13">
        <f>N32*VLOOKUP('Données projet'!$B$9,Paramètres!$A$1:$I$89,3,0)*VLOOKUP('Données projet'!$B$9,Paramètres!$A$1:$I$89,5,0)</f>
        <v>163.87164857142858</v>
      </c>
      <c r="P32" s="13">
        <f t="shared" si="33"/>
        <v>41.714557659402736</v>
      </c>
      <c r="Q32" s="20">
        <f t="shared" si="2"/>
        <v>358.06264251869788</v>
      </c>
      <c r="R32" s="59">
        <f t="shared" si="0"/>
        <v>650.17375362980897</v>
      </c>
      <c r="S32" s="59">
        <f ca="1">AVERAGE(OFFSET($R$3,0,0,'Données projet'!$E$9+1,1))-AVERAGE(OFFSET($H$3,0,0,'Données projet'!$E$9+1,1))</f>
        <v>287.52077437571728</v>
      </c>
      <c r="T32" s="59">
        <f t="shared" si="34"/>
        <v>420.95891230839874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2.0104051331087756</v>
      </c>
      <c r="AA32" s="21">
        <f>EXP(-LN(2)/25)*AA31+(1-EXP(-LN(2)/25))/(LN(2)/25)*Calculateur!V32*Calculateur!X32*VLOOKUP('Données projet'!$B$9,Paramètres!$A$1:$I$89,3,0)*0.475*44/12</f>
        <v>39.588681071651507</v>
      </c>
      <c r="AB32" s="21">
        <f>EXP(-LN(2)/2)*AB31+(1-EXP(-LN(2)/2))/(LN(2)/2)*V32*Y32*VLOOKUP('Données projet'!$B$9,Paramètres!$A$1:$I$89,3,0)*0.475*44/12</f>
        <v>0</v>
      </c>
      <c r="AC32" s="22">
        <f t="shared" si="3"/>
        <v>41.599086204760283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20.575714285714287</v>
      </c>
      <c r="N33" s="13">
        <f>IF('Données projet'!$A$36&gt;35,N32+M33-V32,IF(A33&lt;'Données projet'!$A$36,$K$205^A33,IF(A33='Données projet'!$A$36,'Données projet'!$B$36,N32+M33-V32)))</f>
        <v>294.60857142857145</v>
      </c>
      <c r="O33" s="13">
        <f>N33*VLOOKUP('Données projet'!$B$9,Paramètres!$A$1:$I$89,3,0)*VLOOKUP('Données projet'!$B$9,Paramètres!$A$1:$I$89,5,0)</f>
        <v>176.17592571428574</v>
      </c>
      <c r="P33" s="13">
        <f t="shared" si="33"/>
        <v>44.470339725943226</v>
      </c>
      <c r="Q33" s="20">
        <f t="shared" si="2"/>
        <v>384.29224564173211</v>
      </c>
      <c r="R33" s="59">
        <f t="shared" si="0"/>
        <v>677.62557897506542</v>
      </c>
      <c r="S33" s="59">
        <f ca="1">AVERAGE(OFFSET($R$3,0,0,'Données projet'!$E$9+1,1))-AVERAGE(OFFSET($H$3,0,0,'Données projet'!$E$9+1,1))</f>
        <v>287.52077437571728</v>
      </c>
      <c r="T33" s="59">
        <f t="shared" si="34"/>
        <v>420.95891230839874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1.970982314674564</v>
      </c>
      <c r="AA33" s="21">
        <f>EXP(-LN(2)/25)*AA32+(1-EXP(-LN(2)/25))/(LN(2)/25)*Calculateur!V33*Calculateur!X33*VLOOKUP('Données projet'!$B$9,Paramètres!$A$1:$I$89,3,0)*0.475*44/12</f>
        <v>38.506126505868941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40.477108820543506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20.575714285714287</v>
      </c>
      <c r="N34" s="13">
        <f>IF('Données projet'!$A$36&gt;35,N33+M34-V33,IF(A34&lt;'Données projet'!$A$36,$K$205^A34,IF(A34='Données projet'!$A$36,'Données projet'!$B$36,N33+M34-V33)))</f>
        <v>315.18428571428575</v>
      </c>
      <c r="O34" s="13">
        <f>N34*VLOOKUP('Données projet'!$B$9,Paramètres!$A$1:$I$89,3,0)*VLOOKUP('Données projet'!$B$9,Paramètres!$A$1:$I$89,5,0)</f>
        <v>188.4802028571429</v>
      </c>
      <c r="P34" s="13">
        <f t="shared" si="33"/>
        <v>47.203790390431891</v>
      </c>
      <c r="Q34" s="20">
        <f t="shared" si="2"/>
        <v>410.48295490619279</v>
      </c>
      <c r="R34" s="59">
        <f t="shared" si="0"/>
        <v>703.8162882395261</v>
      </c>
      <c r="S34" s="59">
        <f ca="1">AVERAGE(OFFSET($R$3,0,0,'Données projet'!$E$9+1,1))-AVERAGE(OFFSET($H$3,0,0,'Données projet'!$E$9+1,1))</f>
        <v>287.52077437571728</v>
      </c>
      <c r="T34" s="59">
        <f t="shared" si="34"/>
        <v>420.95891230839874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1.9323325536643023</v>
      </c>
      <c r="AA34" s="21">
        <f>EXP(-LN(2)/25)*AA33+(1-EXP(-LN(2)/25))/(LN(2)/25)*Calculateur!V34*Calculateur!X34*VLOOKUP('Données projet'!$B$9,Paramètres!$A$1:$I$89,3,0)*0.475*44/12</f>
        <v>37.453174451616768</v>
      </c>
      <c r="AB34" s="21">
        <f>EXP(-LN(2)/2)*AB33+(1-EXP(-LN(2)/2))/(LN(2)/2)*V34*Y34*VLOOKUP('Données projet'!$B$9,Paramètres!$A$1:$I$89,3,0)*0.475*44/12</f>
        <v>0</v>
      </c>
      <c r="AC34" s="22">
        <f t="shared" si="3"/>
        <v>39.38550700528107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335.76</v>
      </c>
      <c r="L35" s="12">
        <f>VLOOKUP(A35,'Données projet'!$A$35:$I$55,9,0)</f>
        <v>20.575714285714287</v>
      </c>
      <c r="M35" s="12">
        <f t="array" ref="M35">INDEX(L:L,MIN(IF(ISNUMBER(L35:L231),ROW(L35:L231),"")))</f>
        <v>20.575714285714287</v>
      </c>
      <c r="N35" s="13">
        <f>IF('Données projet'!$A$36&gt;35,N34+M35-V34,IF(A35&lt;'Données projet'!$A$36,$K$205^A35,IF(A35='Données projet'!$A$36,'Données projet'!$B$36,N34+M35-V34)))</f>
        <v>335.76000000000005</v>
      </c>
      <c r="O35" s="13">
        <f>N35*VLOOKUP('Données projet'!$B$9,Paramètres!$A$1:$I$89,3,0)*VLOOKUP('Données projet'!$B$9,Paramètres!$A$1:$I$89,5,0)</f>
        <v>200.78448000000006</v>
      </c>
      <c r="P35" s="13">
        <f t="shared" si="33"/>
        <v>49.916533385625819</v>
      </c>
      <c r="Q35" s="20">
        <f t="shared" ref="Q35:Q66" si="53">(O35+P35)*0.475*44/12</f>
        <v>436.63759831329838</v>
      </c>
      <c r="R35" s="59">
        <f t="shared" si="0"/>
        <v>729.9709316466317</v>
      </c>
      <c r="S35" s="59">
        <f ca="1">AVERAGE(OFFSET($R$3,0,0,'Données projet'!$E$9+1,1))-AVERAGE(OFFSET($H$3,0,0,'Données projet'!$E$9+1,1))</f>
        <v>287.52077437571728</v>
      </c>
      <c r="T35" s="59">
        <f t="shared" si="34"/>
        <v>420.95891230839874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76.42</v>
      </c>
      <c r="W35" s="16">
        <f>IF(ISNA(VLOOKUP(A35,'Données projet'!$A$35:$I$55,5,0)),0%,VLOOKUP(A35,'Données projet'!$A$35:$I$55,5,0)*VLOOKUP('Données projet'!$B$9,Paramètres!$A$1:$I$89,7,0))</f>
        <v>0.13500000000000001</v>
      </c>
      <c r="X35" s="16">
        <f>IF(ISNA(VLOOKUP(A35,'Données projet'!$A$35:$I$55,6,0)),0%,VLOOKUP(A35,'Données projet'!$A$35:$I$55,6,0)*VLOOKUP('Données projet'!$B$9,Paramètres!$A$1:$I$89,7,0))</f>
        <v>0.22500000000000001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10.078529666318422</v>
      </c>
      <c r="AA35" s="21">
        <f>EXP(-LN(2)/25)*AA34+(1-EXP(-LN(2)/25))/(LN(2)/25)*Calculateur!V35*Calculateur!X35*VLOOKUP('Données projet'!$B$9,Paramètres!$A$1:$I$89,3,0)*0.475*44/12</f>
        <v>50.015457257904416</v>
      </c>
      <c r="AB35" s="21">
        <f>EXP(-LN(2)/2)*AB34+(1-EXP(-LN(2)/2))/(LN(2)/2)*V35*Y35*VLOOKUP('Données projet'!$B$9,Paramètres!$A$1:$I$89,3,0)*0.475*44/12</f>
        <v>0</v>
      </c>
      <c r="AC35" s="22">
        <f t="shared" si="3"/>
        <v>60.09398692422284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18.811538461538461</v>
      </c>
      <c r="N36" s="13">
        <f>IF('Données projet'!$A$36&gt;35,N35+M36-V35,IF(A36&lt;'Données projet'!$A$36,$K$205^A36,IF(A36='Données projet'!$A$36,'Données projet'!$B$36,N35+M36-V35)))</f>
        <v>278.15153846153851</v>
      </c>
      <c r="O36" s="13">
        <f>N36*VLOOKUP('Données projet'!$B$9,Paramètres!$A$1:$I$89,3,0)*VLOOKUP('Données projet'!$B$9,Paramètres!$A$1:$I$89,5,0)</f>
        <v>166.33462000000006</v>
      </c>
      <c r="P36" s="13">
        <f t="shared" si="33"/>
        <v>42.26806189712719</v>
      </c>
      <c r="Q36" s="20">
        <f t="shared" si="53"/>
        <v>363.31633763749659</v>
      </c>
      <c r="R36" s="59">
        <f t="shared" si="0"/>
        <v>656.6496709708299</v>
      </c>
      <c r="S36" s="59">
        <f ca="1">AVERAGE(OFFSET($R$3,0,0,'Données projet'!$E$9+1,1))-AVERAGE(OFFSET($H$3,0,0,'Données projet'!$E$9+1,1))</f>
        <v>287.52077437571728</v>
      </c>
      <c r="T36" s="59">
        <f t="shared" si="34"/>
        <v>420.95891230839874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9.880895846858019</v>
      </c>
      <c r="AA36" s="21">
        <f>EXP(-LN(2)/25)*AA35+(1-EXP(-LN(2)/25))/(LN(2)/25)*Calculateur!V36*Calculateur!X36*VLOOKUP('Données projet'!$B$9,Paramètres!$A$1:$I$89,3,0)*0.475*44/12</f>
        <v>48.647781948988431</v>
      </c>
      <c r="AB36" s="21">
        <f>EXP(-LN(2)/2)*AB35+(1-EXP(-LN(2)/2))/(LN(2)/2)*V36*Y36*VLOOKUP('Données projet'!$B$9,Paramètres!$A$1:$I$89,3,0)*0.475*44/12</f>
        <v>0</v>
      </c>
      <c r="AC36" s="22">
        <f t="shared" si="3"/>
        <v>58.528677795846448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18.811538461538461</v>
      </c>
      <c r="N37" s="13">
        <f>IF('Données projet'!$A$36&gt;35,N36+M37-V36,IF(A37&lt;'Données projet'!$A$36,$K$205^A37,IF(A37='Données projet'!$A$36,'Données projet'!$B$36,N36+M37-V36)))</f>
        <v>296.96307692307698</v>
      </c>
      <c r="O37" s="13">
        <f>N37*VLOOKUP('Données projet'!$B$9,Paramètres!$A$1:$I$89,3,0)*VLOOKUP('Données projet'!$B$9,Paramètres!$A$1:$I$89,5,0)</f>
        <v>177.58392000000006</v>
      </c>
      <c r="P37" s="13">
        <f t="shared" si="33"/>
        <v>44.784230847088935</v>
      </c>
      <c r="Q37" s="20">
        <f t="shared" si="53"/>
        <v>387.29119605868004</v>
      </c>
      <c r="R37" s="59">
        <f t="shared" si="0"/>
        <v>680.6245293920133</v>
      </c>
      <c r="S37" s="59">
        <f ca="1">AVERAGE(OFFSET($R$3,0,0,'Données projet'!$E$9+1,1))-AVERAGE(OFFSET($H$3,0,0,'Données projet'!$E$9+1,1))</f>
        <v>287.52077437571728</v>
      </c>
      <c r="T37" s="59">
        <f t="shared" si="34"/>
        <v>420.95891230839874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9.6871375060525082</v>
      </c>
      <c r="AA37" s="21">
        <f>EXP(-LN(2)/25)*AA36+(1-EXP(-LN(2)/25))/(LN(2)/25)*Calculateur!V37*Calculateur!X37*VLOOKUP('Données projet'!$B$9,Paramètres!$A$1:$I$89,3,0)*0.475*44/12</f>
        <v>47.317505793317679</v>
      </c>
      <c r="AB37" s="21">
        <f>EXP(-LN(2)/2)*AB36+(1-EXP(-LN(2)/2))/(LN(2)/2)*V37*Y37*VLOOKUP('Données projet'!$B$9,Paramètres!$A$1:$I$89,3,0)*0.475*44/12</f>
        <v>0</v>
      </c>
      <c r="AC37" s="22">
        <f t="shared" si="3"/>
        <v>57.004643299370187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18.811538461538461</v>
      </c>
      <c r="N38" s="13">
        <f>IF('Données projet'!$A$36&gt;35,N37+M38-V37,IF(A38&lt;'Données projet'!$A$36,$K$205^A38,IF(A38='Données projet'!$A$36,'Données projet'!$B$36,N37+M38-V37)))</f>
        <v>315.77461538461546</v>
      </c>
      <c r="O38" s="13">
        <f>N38*VLOOKUP('Données projet'!$B$9,Paramètres!$A$1:$I$89,3,0)*VLOOKUP('Données projet'!$B$9,Paramètres!$A$1:$I$89,5,0)</f>
        <v>188.83322000000004</v>
      </c>
      <c r="P38" s="13">
        <f t="shared" si="33"/>
        <v>47.281901952869688</v>
      </c>
      <c r="Q38" s="20">
        <f t="shared" si="53"/>
        <v>411.23383740124814</v>
      </c>
      <c r="R38" s="59">
        <f t="shared" si="0"/>
        <v>704.5671707345814</v>
      </c>
      <c r="S38" s="59">
        <f ca="1">AVERAGE(OFFSET($R$3,0,0,'Données projet'!$E$9+1,1))-AVERAGE(OFFSET($H$3,0,0,'Données projet'!$E$9+1,1))</f>
        <v>287.52077437571728</v>
      </c>
      <c r="T38" s="59">
        <f t="shared" si="34"/>
        <v>420.95891230839874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9.4971786481292746</v>
      </c>
      <c r="AA38" s="21">
        <f>EXP(-LN(2)/25)*AA37+(1-EXP(-LN(2)/25))/(LN(2)/25)*Calculateur!V38*Calculateur!X38*VLOOKUP('Données projet'!$B$9,Paramètres!$A$1:$I$89,3,0)*0.475*44/12</f>
        <v>46.023606109079921</v>
      </c>
      <c r="AB38" s="21">
        <f>EXP(-LN(2)/2)*AB37+(1-EXP(-LN(2)/2))/(LN(2)/2)*V38*Y38*VLOOKUP('Données projet'!$B$9,Paramètres!$A$1:$I$89,3,0)*0.475*44/12</f>
        <v>0</v>
      </c>
      <c r="AC38" s="22">
        <f t="shared" si="3"/>
        <v>55.520784757209199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18.811538461538461</v>
      </c>
      <c r="N39" s="13">
        <f>IF('Données projet'!$A$36&gt;35,N38+M39-V38,IF(A39&lt;'Données projet'!$A$36,$K$205^A39,IF(A39='Données projet'!$A$36,'Données projet'!$B$36,N38+M39-V38)))</f>
        <v>334.58615384615393</v>
      </c>
      <c r="O39" s="13">
        <f>N39*VLOOKUP('Données projet'!$B$9,Paramètres!$A$1:$I$89,3,0)*VLOOKUP('Données projet'!$B$9,Paramètres!$A$1:$I$89,5,0)</f>
        <v>200.08252000000007</v>
      </c>
      <c r="P39" s="13">
        <f t="shared" si="33"/>
        <v>49.762302688326976</v>
      </c>
      <c r="Q39" s="20">
        <f t="shared" si="53"/>
        <v>435.14639951550294</v>
      </c>
      <c r="R39" s="59">
        <f t="shared" si="0"/>
        <v>728.47973284883619</v>
      </c>
      <c r="S39" s="59">
        <f ca="1">AVERAGE(OFFSET($R$3,0,0,'Données projet'!$E$9+1,1))-AVERAGE(OFFSET($H$3,0,0,'Données projet'!$E$9+1,1))</f>
        <v>287.52077437571728</v>
      </c>
      <c r="T39" s="59">
        <f t="shared" si="34"/>
        <v>420.95891230839874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9.3109447675464523</v>
      </c>
      <c r="AA39" s="21">
        <f>EXP(-LN(2)/25)*AA38+(1-EXP(-LN(2)/25))/(LN(2)/25)*Calculateur!V39*Calculateur!X39*VLOOKUP('Données projet'!$B$9,Paramètres!$A$1:$I$89,3,0)*0.475*44/12</f>
        <v>44.765088179750876</v>
      </c>
      <c r="AB39" s="21">
        <f>EXP(-LN(2)/2)*AB38+(1-EXP(-LN(2)/2))/(LN(2)/2)*V39*Y39*VLOOKUP('Données projet'!$B$9,Paramètres!$A$1:$I$89,3,0)*0.475*44/12</f>
        <v>0</v>
      </c>
      <c r="AC39" s="22">
        <f t="shared" si="3"/>
        <v>54.076032947297328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18.811538461538461</v>
      </c>
      <c r="N40" s="13">
        <f>IF('Données projet'!$A$36&gt;35,N39+M40-V39,IF(A40&lt;'Données projet'!$A$36,$K$205^A40,IF(A40='Données projet'!$A$36,'Données projet'!$B$36,N39+M40-V39)))</f>
        <v>353.39769230769241</v>
      </c>
      <c r="O40" s="13">
        <f>N40*VLOOKUP('Données projet'!$B$9,Paramètres!$A$1:$I$89,3,0)*VLOOKUP('Données projet'!$B$9,Paramètres!$A$1:$I$89,5,0)</f>
        <v>211.33182000000008</v>
      </c>
      <c r="P40" s="13">
        <f t="shared" si="33"/>
        <v>52.226514706347821</v>
      </c>
      <c r="Q40" s="20">
        <f t="shared" si="53"/>
        <v>459.03076628022262</v>
      </c>
      <c r="R40" s="59">
        <f t="shared" si="0"/>
        <v>752.36409961355594</v>
      </c>
      <c r="S40" s="59">
        <f ca="1">AVERAGE(OFFSET($R$3,0,0,'Données projet'!$E$9+1,1))-AVERAGE(OFFSET($H$3,0,0,'Données projet'!$E$9+1,1))</f>
        <v>287.52077437571728</v>
      </c>
      <c r="T40" s="59">
        <f t="shared" si="34"/>
        <v>420.95891230839874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9.128362819770409</v>
      </c>
      <c r="AA40" s="21">
        <f>EXP(-LN(2)/25)*AA39+(1-EXP(-LN(2)/25))/(LN(2)/25)*Calculateur!V40*Calculateur!X40*VLOOKUP('Données projet'!$B$9,Paramètres!$A$1:$I$89,3,0)*0.475*44/12</f>
        <v>43.540984489381913</v>
      </c>
      <c r="AB40" s="21">
        <f>EXP(-LN(2)/2)*AB39+(1-EXP(-LN(2)/2))/(LN(2)/2)*V40*Y40*VLOOKUP('Données projet'!$B$9,Paramètres!$A$1:$I$89,3,0)*0.475*44/12</f>
        <v>0</v>
      </c>
      <c r="AC40" s="22">
        <f t="shared" si="3"/>
        <v>52.669347309152322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18.811538461538461</v>
      </c>
      <c r="N41" s="13">
        <f>IF('Données projet'!$A$36&gt;35,N40+M41-V40,IF(A41&lt;'Données projet'!$A$36,$K$205^A41,IF(A41='Données projet'!$A$36,'Données projet'!$B$36,N40+M41-V40)))</f>
        <v>372.20923076923089</v>
      </c>
      <c r="O41" s="13">
        <f>N41*VLOOKUP('Données projet'!$B$9,Paramètres!$A$1:$I$89,3,0)*VLOOKUP('Données projet'!$B$9,Paramètres!$A$1:$I$89,5,0)</f>
        <v>222.58112000000008</v>
      </c>
      <c r="P41" s="13">
        <f t="shared" si="33"/>
        <v>54.675498002213622</v>
      </c>
      <c r="Q41" s="20">
        <f t="shared" si="53"/>
        <v>482.88860968718888</v>
      </c>
      <c r="R41" s="59">
        <f t="shared" si="0"/>
        <v>776.22194302052219</v>
      </c>
      <c r="S41" s="59">
        <f ca="1">AVERAGE(OFFSET($R$3,0,0,'Données projet'!$E$9+1,1))-AVERAGE(OFFSET($H$3,0,0,'Données projet'!$E$9+1,1))</f>
        <v>287.52077437571728</v>
      </c>
      <c r="T41" s="59">
        <f t="shared" si="34"/>
        <v>420.95891230839874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8.9493611926262613</v>
      </c>
      <c r="AA41" s="21">
        <f>EXP(-LN(2)/25)*AA40+(1-EXP(-LN(2)/25))/(LN(2)/25)*Calculateur!V41*Calculateur!X41*VLOOKUP('Données projet'!$B$9,Paramètres!$A$1:$I$89,3,0)*0.475*44/12</f>
        <v>42.350353978798907</v>
      </c>
      <c r="AB41" s="21">
        <f>EXP(-LN(2)/2)*AB40+(1-EXP(-LN(2)/2))/(LN(2)/2)*V41*Y41*VLOOKUP('Données projet'!$B$9,Paramètres!$A$1:$I$89,3,0)*0.475*44/12</f>
        <v>0</v>
      </c>
      <c r="AC41" s="22">
        <f t="shared" si="3"/>
        <v>51.29971517142517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18.811538461538461</v>
      </c>
      <c r="N42" s="13">
        <f>IF('Données projet'!$A$36&gt;35,N41+M42-V41,IF(A42&lt;'Données projet'!$A$36,$K$205^A42,IF(A42='Données projet'!$A$36,'Données projet'!$B$36,N41+M42-V41)))</f>
        <v>391.02076923076936</v>
      </c>
      <c r="O42" s="13">
        <f>N42*VLOOKUP('Données projet'!$B$9,Paramètres!$A$1:$I$89,3,0)*VLOOKUP('Données projet'!$B$9,Paramètres!$A$1:$I$89,5,0)</f>
        <v>233.83042000000009</v>
      </c>
      <c r="P42" s="13">
        <f t="shared" si="33"/>
        <v>57.11011005315418</v>
      </c>
      <c r="Q42" s="20">
        <f t="shared" si="53"/>
        <v>506.72142317591027</v>
      </c>
      <c r="R42" s="59">
        <f t="shared" si="0"/>
        <v>800.05475650924359</v>
      </c>
      <c r="S42" s="59">
        <f ca="1">AVERAGE(OFFSET($R$3,0,0,'Données projet'!$E$9+1,1))-AVERAGE(OFFSET($H$3,0,0,'Données projet'!$E$9+1,1))</f>
        <v>287.52077437571728</v>
      </c>
      <c r="T42" s="59">
        <f t="shared" si="34"/>
        <v>420.95891230839874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8.7738696782101986</v>
      </c>
      <c r="AA42" s="21">
        <f>EXP(-LN(2)/25)*AA41+(1-EXP(-LN(2)/25))/(LN(2)/25)*Calculateur!V42*Calculateur!X42*VLOOKUP('Données projet'!$B$9,Paramètres!$A$1:$I$89,3,0)*0.475*44/12</f>
        <v>41.192281322140332</v>
      </c>
      <c r="AB42" s="21">
        <f>EXP(-LN(2)/2)*AB41+(1-EXP(-LN(2)/2))/(LN(2)/2)*V42*Y42*VLOOKUP('Données projet'!$B$9,Paramètres!$A$1:$I$89,3,0)*0.475*44/12</f>
        <v>0</v>
      </c>
      <c r="AC42" s="22">
        <f t="shared" si="3"/>
        <v>49.966151000350528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18.811538461538461</v>
      </c>
      <c r="N43" s="13">
        <f>IF('Données projet'!$A$36&gt;35,N42+M43-V42,IF(A43&lt;'Données projet'!$A$36,$K$205^A43,IF(A43='Données projet'!$A$36,'Données projet'!$B$36,N42+M43-V42)))</f>
        <v>409.83230769230784</v>
      </c>
      <c r="O43" s="13">
        <f>N43*VLOOKUP('Données projet'!$B$9,Paramètres!$A$1:$I$89,3,0)*VLOOKUP('Données projet'!$B$9,Paramètres!$A$1:$I$89,5,0)</f>
        <v>245.07972000000012</v>
      </c>
      <c r="P43" s="13">
        <f t="shared" si="33"/>
        <v>59.531121170362454</v>
      </c>
      <c r="Q43" s="20">
        <f t="shared" si="53"/>
        <v>530.53054837171476</v>
      </c>
      <c r="R43" s="59">
        <f t="shared" si="0"/>
        <v>823.86388170504802</v>
      </c>
      <c r="S43" s="59">
        <f ca="1">AVERAGE(OFFSET($R$3,0,0,'Données projet'!$E$9+1,1))-AVERAGE(OFFSET($H$3,0,0,'Données projet'!$E$9+1,1))</f>
        <v>287.52077437571728</v>
      </c>
      <c r="T43" s="59">
        <f t="shared" si="34"/>
        <v>420.95891230839874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8.6018194453525805</v>
      </c>
      <c r="AA43" s="21">
        <f>EXP(-LN(2)/25)*AA42+(1-EXP(-LN(2)/25))/(LN(2)/25)*Calculateur!V43*Calculateur!X43*VLOOKUP('Données projet'!$B$9,Paramètres!$A$1:$I$89,3,0)*0.475*44/12</f>
        <v>40.065876223178478</v>
      </c>
      <c r="AB43" s="21">
        <f>EXP(-LN(2)/2)*AB42+(1-EXP(-LN(2)/2))/(LN(2)/2)*V43*Y43*VLOOKUP('Données projet'!$B$9,Paramètres!$A$1:$I$89,3,0)*0.475*44/12</f>
        <v>0</v>
      </c>
      <c r="AC43" s="22">
        <f t="shared" si="3"/>
        <v>48.66769566853106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18.811538461538461</v>
      </c>
      <c r="N44" s="13">
        <f>IF('Données projet'!$A$36&gt;35,N43+M44-V43,IF(A44&lt;'Données projet'!$A$36,$K$205^A44,IF(A44='Données projet'!$A$36,'Données projet'!$B$36,N43+M44-V43)))</f>
        <v>428.64384615384631</v>
      </c>
      <c r="O44" s="13">
        <f>N44*VLOOKUP('Données projet'!$B$9,Paramètres!$A$1:$I$89,3,0)*VLOOKUP('Données projet'!$B$9,Paramètres!$A$1:$I$89,5,0)</f>
        <v>256.32902000000013</v>
      </c>
      <c r="P44" s="13">
        <f t="shared" si="33"/>
        <v>61.939226952630833</v>
      </c>
      <c r="Q44" s="20">
        <f t="shared" si="53"/>
        <v>554.31719677583226</v>
      </c>
      <c r="R44" s="59">
        <f t="shared" si="0"/>
        <v>847.65053010916563</v>
      </c>
      <c r="S44" s="59">
        <f ca="1">AVERAGE(OFFSET($R$3,0,0,'Données projet'!$E$9+1,1))-AVERAGE(OFFSET($H$3,0,0,'Données projet'!$E$9+1,1))</f>
        <v>287.52077437571728</v>
      </c>
      <c r="T44" s="59">
        <f t="shared" si="34"/>
        <v>420.95891230839874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8.4331430126210201</v>
      </c>
      <c r="AA44" s="21">
        <f>EXP(-LN(2)/25)*AA43+(1-EXP(-LN(2)/25))/(LN(2)/25)*Calculateur!V44*Calculateur!X44*VLOOKUP('Données projet'!$B$9,Paramètres!$A$1:$I$89,3,0)*0.475*44/12</f>
        <v>38.970272730882805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47.403415743503828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18.811538461538461</v>
      </c>
      <c r="N45" s="13">
        <f>IF('Données projet'!$A$36&gt;35,N44+M45-V44,IF(A45&lt;'Données projet'!$A$36,$K$205^A45,IF(A45='Données projet'!$A$36,'Données projet'!$B$36,N44+M45-V44)))</f>
        <v>447.45538461538479</v>
      </c>
      <c r="O45" s="13">
        <f>N45*VLOOKUP('Données projet'!$B$9,Paramètres!$A$1:$I$89,3,0)*VLOOKUP('Données projet'!$B$9,Paramètres!$A$1:$I$89,5,0)</f>
        <v>267.57832000000013</v>
      </c>
      <c r="P45" s="13">
        <f t="shared" si="33"/>
        <v>64.335058492109823</v>
      </c>
      <c r="Q45" s="20">
        <f t="shared" si="53"/>
        <v>578.08246754042477</v>
      </c>
      <c r="R45" s="59">
        <f t="shared" si="0"/>
        <v>871.41580087375814</v>
      </c>
      <c r="S45" s="59">
        <f ca="1">AVERAGE(OFFSET($R$3,0,0,'Données projet'!$E$9+1,1))-AVERAGE(OFFSET($H$3,0,0,'Données projet'!$E$9+1,1))</f>
        <v>287.52077437571728</v>
      </c>
      <c r="T45" s="59">
        <f t="shared" si="34"/>
        <v>420.95891230839874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8.2677742218528607</v>
      </c>
      <c r="AA45" s="21">
        <f>EXP(-LN(2)/25)*AA44+(1-EXP(-LN(2)/25))/(LN(2)/25)*Calculateur!V45*Calculateur!X45*VLOOKUP('Données projet'!$B$9,Paramètres!$A$1:$I$89,3,0)*0.475*44/12</f>
        <v>37.904628573699242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46.172402795552102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18.811538461538461</v>
      </c>
      <c r="N46" s="13">
        <f>IF('Données projet'!$A$36&gt;35,N45+M46-V45,IF(A46&lt;'Données projet'!$A$36,$K$205^A46,IF(A46='Données projet'!$A$36,'Données projet'!$B$36,N45+M46-V45)))</f>
        <v>466.26692307692326</v>
      </c>
      <c r="O46" s="13">
        <f>N46*VLOOKUP('Données projet'!$B$9,Paramètres!$A$1:$I$89,3,0)*VLOOKUP('Données projet'!$B$9,Paramètres!$A$1:$I$89,5,0)</f>
        <v>278.82762000000014</v>
      </c>
      <c r="P46" s="13">
        <f t="shared" si="33"/>
        <v>66.719190815445643</v>
      </c>
      <c r="Q46" s="20">
        <f t="shared" si="53"/>
        <v>601.82736217023478</v>
      </c>
      <c r="R46" s="59">
        <f t="shared" si="0"/>
        <v>895.16069550356815</v>
      </c>
      <c r="S46" s="59">
        <f ca="1">AVERAGE(OFFSET($R$3,0,0,'Données projet'!$E$9+1,1))-AVERAGE(OFFSET($H$3,0,0,'Données projet'!$E$9+1,1))</f>
        <v>287.52077437571728</v>
      </c>
      <c r="T46" s="59">
        <f t="shared" si="34"/>
        <v>420.95891230839874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8.1056482122066615</v>
      </c>
      <c r="AA46" s="21">
        <f>EXP(-LN(2)/25)*AA45+(1-EXP(-LN(2)/25))/(LN(2)/25)*Calculateur!V46*Calculateur!X46*VLOOKUP('Données projet'!$B$9,Paramètres!$A$1:$I$89,3,0)*0.475*44/12</f>
        <v>36.868124512033653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44.973772724240312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18.811538461538461</v>
      </c>
      <c r="N47" s="13">
        <f>IF('Données projet'!$A$36&gt;35,N46+M47-V46,IF(A47&lt;'Données projet'!$A$36,$K$205^A47,IF(A47='Données projet'!$A$36,'Données projet'!$B$36,N46+M47-V46)))</f>
        <v>485.07846153846174</v>
      </c>
      <c r="O47" s="13">
        <f>N47*VLOOKUP('Données projet'!$B$9,Paramètres!$A$1:$I$89,3,0)*VLOOKUP('Données projet'!$B$9,Paramètres!$A$1:$I$89,5,0)</f>
        <v>290.07692000000014</v>
      </c>
      <c r="P47" s="13">
        <f t="shared" si="33"/>
        <v>69.092149924334223</v>
      </c>
      <c r="Q47" s="20">
        <f t="shared" si="53"/>
        <v>625.55279678488239</v>
      </c>
      <c r="R47" s="59">
        <f t="shared" si="0"/>
        <v>918.88613011821576</v>
      </c>
      <c r="S47" s="59">
        <f ca="1">AVERAGE(OFFSET($R$3,0,0,'Données projet'!$E$9+1,1))-AVERAGE(OFFSET($H$3,0,0,'Données projet'!$E$9+1,1))</f>
        <v>287.52077437571728</v>
      </c>
      <c r="T47" s="59">
        <f t="shared" si="34"/>
        <v>420.95891230839874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7.9467013947225231</v>
      </c>
      <c r="AA47" s="21">
        <f>EXP(-LN(2)/25)*AA46+(1-EXP(-LN(2)/25))/(LN(2)/25)*Calculateur!V47*Calculateur!X47*VLOOKUP('Données projet'!$B$9,Paramètres!$A$1:$I$89,3,0)*0.475*44/12</f>
        <v>35.85996370844169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43.806665103164214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503.89</v>
      </c>
      <c r="L48" s="12">
        <f>VLOOKUP(A48,'Données projet'!$A$35:$I$55,9,0)</f>
        <v>18.811538461538461</v>
      </c>
      <c r="M48" s="12">
        <f t="array" ref="M48">INDEX(L:L,MIN(IF(ISNUMBER(L48:L244),ROW(L48:L244),"")))</f>
        <v>18.811538461538461</v>
      </c>
      <c r="N48" s="13">
        <f>IF('Données projet'!$A$36&gt;35,N47+M48-V47,IF(A48&lt;'Données projet'!$A$36,$K$205^A48,IF(A48='Données projet'!$A$36,'Données projet'!$B$36,N47+M48-V47)))</f>
        <v>503.89000000000021</v>
      </c>
      <c r="O48" s="13">
        <f>N48*VLOOKUP('Données projet'!$B$9,Paramètres!$A$1:$I$89,3,0)*VLOOKUP('Données projet'!$B$9,Paramètres!$A$1:$I$89,5,0)</f>
        <v>301.32622000000015</v>
      </c>
      <c r="P48" s="13">
        <f t="shared" si="33"/>
        <v>71.45441871320989</v>
      </c>
      <c r="Q48" s="20">
        <f t="shared" si="53"/>
        <v>649.25961242550738</v>
      </c>
      <c r="R48" s="59">
        <f t="shared" si="0"/>
        <v>942.59294575884064</v>
      </c>
      <c r="S48" s="59">
        <f ca="1">AVERAGE(OFFSET($R$3,0,0,'Données projet'!$E$9+1,1))-AVERAGE(OFFSET($H$3,0,0,'Données projet'!$E$9+1,1))</f>
        <v>287.52077437571728</v>
      </c>
      <c r="T48" s="59">
        <f t="shared" si="34"/>
        <v>420.95891230839874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503.89</v>
      </c>
      <c r="W48" s="16">
        <f>IF(ISNA(VLOOKUP(A48,'Données projet'!$A$35:$I$55,5,0)),0%,VLOOKUP(A48,'Données projet'!$A$35:$I$55,5,0)*VLOOKUP('Données projet'!$B$9,Paramètres!$A$1:$I$89,7,0))</f>
        <v>0.13500000000000001</v>
      </c>
      <c r="X48" s="16">
        <f>IF(ISNA(VLOOKUP(A48,'Données projet'!$A$35:$I$55,6,0)),0%,VLOOKUP(A48,'Données projet'!$A$35:$I$55,6,0)*VLOOKUP('Données projet'!$B$9,Paramètres!$A$1:$I$89,7,0))</f>
        <v>0.22500000000000001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61.754239574815209</v>
      </c>
      <c r="AA48" s="21">
        <f>EXP(-LN(2)/25)*AA47+(1-EXP(-LN(2)/25))/(LN(2)/25)*Calculateur!V48*Calculateur!X48*VLOOKUP('Données projet'!$B$9,Paramètres!$A$1:$I$89,3,0)*0.475*44/12</f>
        <v>124.46419412401119</v>
      </c>
      <c r="AB48" s="21">
        <f>EXP(-LN(2)/2)*AB47+(1-EXP(-LN(2)/2))/(LN(2)/2)*V48*Y48*VLOOKUP('Données projet'!$B$9,Paramètres!$A$1:$I$89,3,0)*0.475*44/12</f>
        <v>0</v>
      </c>
      <c r="AC48" s="22">
        <f t="shared" si="3"/>
        <v>186.2184336988264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2.2737367544323206E-13</v>
      </c>
      <c r="O49" s="13">
        <f>N49*VLOOKUP('Données projet'!$B$9,Paramètres!$A$1:$I$89,3,0)*VLOOKUP('Données projet'!$B$9,Paramètres!$A$1:$I$89,5,0)</f>
        <v>1.3596945791505279E-13</v>
      </c>
      <c r="P49" s="13">
        <f t="shared" si="33"/>
        <v>1.9708830566360721E-12</v>
      </c>
      <c r="Q49" s="20">
        <f t="shared" si="53"/>
        <v>3.669434796176543E-12</v>
      </c>
      <c r="R49" s="59">
        <f t="shared" si="0"/>
        <v>293.33333333333701</v>
      </c>
      <c r="S49" s="59">
        <f ca="1">AVERAGE(OFFSET($R$3,0,0,'Données projet'!$E$9+1,1))-AVERAGE(OFFSET($H$3,0,0,'Données projet'!$E$9+1,1))</f>
        <v>287.52077437571728</v>
      </c>
      <c r="T49" s="59">
        <f t="shared" si="34"/>
        <v>420.95891230839874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60.543276603119978</v>
      </c>
      <c r="AA49" s="21">
        <f>EXP(-LN(2)/25)*AA48+(1-EXP(-LN(2)/25))/(LN(2)/25)*Calculateur!V49*Calculateur!X49*VLOOKUP('Données projet'!$B$9,Paramètres!$A$1:$I$89,3,0)*0.475*44/12</f>
        <v>121.06071419040259</v>
      </c>
      <c r="AB49" s="21">
        <f>EXP(-LN(2)/2)*AB48+(1-EXP(-LN(2)/2))/(LN(2)/2)*V49*Y49*VLOOKUP('Données projet'!$B$9,Paramètres!$A$1:$I$89,3,0)*0.475*44/12</f>
        <v>0</v>
      </c>
      <c r="AC49" s="22">
        <f t="shared" si="3"/>
        <v>181.60399079352257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2.2737367544323206E-13</v>
      </c>
      <c r="O50" s="13">
        <f>N50*VLOOKUP('Données projet'!$B$9,Paramètres!$A$1:$I$89,3,0)*VLOOKUP('Données projet'!$B$9,Paramètres!$A$1:$I$89,5,0)</f>
        <v>1.3596945791505279E-13</v>
      </c>
      <c r="P50" s="13">
        <f t="shared" si="33"/>
        <v>1.9708830566360721E-12</v>
      </c>
      <c r="Q50" s="20">
        <f t="shared" si="53"/>
        <v>3.669434796176543E-12</v>
      </c>
      <c r="R50" s="59">
        <f t="shared" si="0"/>
        <v>293.33333333333701</v>
      </c>
      <c r="S50" s="59">
        <f ca="1">AVERAGE(OFFSET($R$3,0,0,'Données projet'!$E$9+1,1))-AVERAGE(OFFSET($H$3,0,0,'Données projet'!$E$9+1,1))</f>
        <v>287.52077437571728</v>
      </c>
      <c r="T50" s="59">
        <f t="shared" si="34"/>
        <v>420.95891230839874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59.356059876685208</v>
      </c>
      <c r="AA50" s="21">
        <f>EXP(-LN(2)/25)*AA49+(1-EXP(-LN(2)/25))/(LN(2)/25)*Calculateur!V50*Calculateur!X50*VLOOKUP('Données projet'!$B$9,Paramètres!$A$1:$I$89,3,0)*0.475*44/12</f>
        <v>117.75030259455976</v>
      </c>
      <c r="AB50" s="21">
        <f>EXP(-LN(2)/2)*AB49+(1-EXP(-LN(2)/2))/(LN(2)/2)*V50*Y50*VLOOKUP('Données projet'!$B$9,Paramètres!$A$1:$I$89,3,0)*0.475*44/12</f>
        <v>0</v>
      </c>
      <c r="AC50" s="22">
        <f t="shared" si="3"/>
        <v>177.10636247124495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2.2737367544323206E-13</v>
      </c>
      <c r="O51" s="13">
        <f>N51*VLOOKUP('Données projet'!$B$9,Paramètres!$A$1:$I$89,3,0)*VLOOKUP('Données projet'!$B$9,Paramètres!$A$1:$I$89,5,0)</f>
        <v>1.3596945791505279E-13</v>
      </c>
      <c r="P51" s="13">
        <f t="shared" si="33"/>
        <v>1.9708830566360721E-12</v>
      </c>
      <c r="Q51" s="20">
        <f t="shared" si="53"/>
        <v>3.669434796176543E-12</v>
      </c>
      <c r="R51" s="59">
        <f t="shared" si="0"/>
        <v>293.33333333333701</v>
      </c>
      <c r="S51" s="59">
        <f ca="1">AVERAGE(OFFSET($R$3,0,0,'Données projet'!$E$9+1,1))-AVERAGE(OFFSET($H$3,0,0,'Données projet'!$E$9+1,1))</f>
        <v>287.52077437571728</v>
      </c>
      <c r="T51" s="59">
        <f t="shared" si="34"/>
        <v>420.95891230839874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58.192123746125127</v>
      </c>
      <c r="AA51" s="21">
        <f>EXP(-LN(2)/25)*AA50+(1-EXP(-LN(2)/25))/(LN(2)/25)*Calculateur!V51*Calculateur!X51*VLOOKUP('Données projet'!$B$9,Paramètres!$A$1:$I$89,3,0)*0.475*44/12</f>
        <v>114.53041437789223</v>
      </c>
      <c r="AB51" s="21">
        <f>EXP(-LN(2)/2)*AB50+(1-EXP(-LN(2)/2))/(LN(2)/2)*V51*Y51*VLOOKUP('Données projet'!$B$9,Paramètres!$A$1:$I$89,3,0)*0.475*44/12</f>
        <v>0</v>
      </c>
      <c r="AC51" s="22">
        <f t="shared" si="3"/>
        <v>172.72253812401735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2.2737367544323206E-13</v>
      </c>
      <c r="O52" s="13">
        <f>N52*VLOOKUP('Données projet'!$B$9,Paramètres!$A$1:$I$89,3,0)*VLOOKUP('Données projet'!$B$9,Paramètres!$A$1:$I$89,5,0)</f>
        <v>1.3596945791505279E-13</v>
      </c>
      <c r="P52" s="13">
        <f t="shared" si="33"/>
        <v>1.9708830566360721E-12</v>
      </c>
      <c r="Q52" s="20">
        <f t="shared" si="53"/>
        <v>3.669434796176543E-12</v>
      </c>
      <c r="R52" s="59">
        <f t="shared" si="0"/>
        <v>293.33333333333701</v>
      </c>
      <c r="S52" s="59">
        <f ca="1">AVERAGE(OFFSET($R$3,0,0,'Données projet'!$E$9+1,1))-AVERAGE(OFFSET($H$3,0,0,'Données projet'!$E$9+1,1))</f>
        <v>287.52077437571728</v>
      </c>
      <c r="T52" s="59">
        <f t="shared" si="34"/>
        <v>420.95891230839874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57.051011693154386</v>
      </c>
      <c r="AA52" s="21">
        <f>EXP(-LN(2)/25)*AA51+(1-EXP(-LN(2)/25))/(LN(2)/25)*Calculateur!V52*Calculateur!X52*VLOOKUP('Données projet'!$B$9,Paramètres!$A$1:$I$89,3,0)*0.475*44/12</f>
        <v>111.39857417383604</v>
      </c>
      <c r="AB52" s="21">
        <f>EXP(-LN(2)/2)*AB51+(1-EXP(-LN(2)/2))/(LN(2)/2)*V52*Y52*VLOOKUP('Données projet'!$B$9,Paramètres!$A$1:$I$89,3,0)*0.475*44/12</f>
        <v>0</v>
      </c>
      <c r="AC52" s="22">
        <f t="shared" si="3"/>
        <v>168.44958586699042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2.2737367544323206E-13</v>
      </c>
      <c r="O53" s="13">
        <f>N53*VLOOKUP('Données projet'!$B$9,Paramètres!$A$1:$I$89,3,0)*VLOOKUP('Données projet'!$B$9,Paramètres!$A$1:$I$89,5,0)</f>
        <v>1.3596945791505279E-13</v>
      </c>
      <c r="P53" s="13">
        <f t="shared" si="33"/>
        <v>1.9708830566360721E-12</v>
      </c>
      <c r="Q53" s="20">
        <f t="shared" si="53"/>
        <v>3.669434796176543E-12</v>
      </c>
      <c r="R53" s="59">
        <f t="shared" si="0"/>
        <v>293.33333333333701</v>
      </c>
      <c r="S53" s="59">
        <f ca="1">AVERAGE(OFFSET($R$3,0,0,'Données projet'!$E$9+1,1))-AVERAGE(OFFSET($H$3,0,0,'Données projet'!$E$9+1,1))</f>
        <v>287.52077437571728</v>
      </c>
      <c r="T53" s="59">
        <f t="shared" si="34"/>
        <v>420.95891230839874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55.932276151532776</v>
      </c>
      <c r="AA53" s="21">
        <f>EXP(-LN(2)/25)*AA52+(1-EXP(-LN(2)/25))/(LN(2)/25)*Calculateur!V53*Calculateur!X53*VLOOKUP('Données projet'!$B$9,Paramètres!$A$1:$I$89,3,0)*0.475*44/12</f>
        <v>108.35237430485608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164.28465045638887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2.2737367544323206E-13</v>
      </c>
      <c r="O54" s="13">
        <f>N54*VLOOKUP('Données projet'!$B$9,Paramètres!$A$1:$I$89,3,0)*VLOOKUP('Données projet'!$B$9,Paramètres!$A$1:$I$89,5,0)</f>
        <v>1.3596945791505279E-13</v>
      </c>
      <c r="P54" s="13">
        <f t="shared" si="33"/>
        <v>1.9708830566360721E-12</v>
      </c>
      <c r="Q54" s="20">
        <f t="shared" si="53"/>
        <v>3.669434796176543E-12</v>
      </c>
      <c r="R54" s="59">
        <f t="shared" si="0"/>
        <v>293.33333333333701</v>
      </c>
      <c r="S54" s="59">
        <f ca="1">AVERAGE(OFFSET($R$3,0,0,'Données projet'!$E$9+1,1))-AVERAGE(OFFSET($H$3,0,0,'Données projet'!$E$9+1,1))</f>
        <v>287.52077437571728</v>
      </c>
      <c r="T54" s="59">
        <f t="shared" si="34"/>
        <v>420.95891230839874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54.83547833152106</v>
      </c>
      <c r="AA54" s="21">
        <f>EXP(-LN(2)/25)*AA53+(1-EXP(-LN(2)/25))/(LN(2)/25)*Calculateur!V54*Calculateur!X54*VLOOKUP('Données projet'!$B$9,Paramètres!$A$1:$I$89,3,0)*0.475*44/12</f>
        <v>105.38947293148607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160.22495126300714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2.2737367544323206E-13</v>
      </c>
      <c r="O55" s="13">
        <f>N55*VLOOKUP('Données projet'!$B$9,Paramètres!$A$1:$I$89,3,0)*VLOOKUP('Données projet'!$B$9,Paramètres!$A$1:$I$89,5,0)</f>
        <v>1.3596945791505279E-13</v>
      </c>
      <c r="P55" s="13">
        <f t="shared" si="33"/>
        <v>1.9708830566360721E-12</v>
      </c>
      <c r="Q55" s="20">
        <f t="shared" si="53"/>
        <v>3.669434796176543E-12</v>
      </c>
      <c r="R55" s="59">
        <f t="shared" si="0"/>
        <v>293.33333333333701</v>
      </c>
      <c r="S55" s="59">
        <f ca="1">AVERAGE(OFFSET($R$3,0,0,'Données projet'!$E$9+1,1))-AVERAGE(OFFSET($H$3,0,0,'Données projet'!$E$9+1,1))</f>
        <v>287.52077437571728</v>
      </c>
      <c r="T55" s="59">
        <f t="shared" si="34"/>
        <v>420.95891230839874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53.76018804777916</v>
      </c>
      <c r="AA55" s="21">
        <f>EXP(-LN(2)/25)*AA54+(1-EXP(-LN(2)/25))/(LN(2)/25)*Calculateur!V55*Calculateur!X55*VLOOKUP('Données projet'!$B$9,Paramètres!$A$1:$I$89,3,0)*0.475*44/12</f>
        <v>102.50759225198307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156.26778029976222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2.2737367544323206E-13</v>
      </c>
      <c r="O56" s="13">
        <f>N56*VLOOKUP('Données projet'!$B$9,Paramètres!$A$1:$I$89,3,0)*VLOOKUP('Données projet'!$B$9,Paramètres!$A$1:$I$89,5,0)</f>
        <v>1.3596945791505279E-13</v>
      </c>
      <c r="P56" s="13">
        <f t="shared" si="33"/>
        <v>1.9708830566360721E-12</v>
      </c>
      <c r="Q56" s="20">
        <f t="shared" si="53"/>
        <v>3.669434796176543E-12</v>
      </c>
      <c r="R56" s="59">
        <f t="shared" si="0"/>
        <v>293.33333333333701</v>
      </c>
      <c r="S56" s="59">
        <f ca="1">AVERAGE(OFFSET($R$3,0,0,'Données projet'!$E$9+1,1))-AVERAGE(OFFSET($H$3,0,0,'Données projet'!$E$9+1,1))</f>
        <v>287.52077437571728</v>
      </c>
      <c r="T56" s="59">
        <f t="shared" si="34"/>
        <v>420.95891230839874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52.705983550639125</v>
      </c>
      <c r="AA56" s="21">
        <f>EXP(-LN(2)/25)*AA55+(1-EXP(-LN(2)/25))/(LN(2)/25)*Calculateur!V56*Calculateur!X56*VLOOKUP('Données projet'!$B$9,Paramètres!$A$1:$I$89,3,0)*0.475*44/12</f>
        <v>99.704516751212594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152.41050030185173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2.2737367544323206E-13</v>
      </c>
      <c r="O57" s="13">
        <f>N57*VLOOKUP('Données projet'!$B$9,Paramètres!$A$1:$I$89,3,0)*VLOOKUP('Données projet'!$B$9,Paramètres!$A$1:$I$89,5,0)</f>
        <v>1.3596945791505279E-13</v>
      </c>
      <c r="P57" s="13">
        <f t="shared" si="33"/>
        <v>1.9708830566360721E-12</v>
      </c>
      <c r="Q57" s="20">
        <f t="shared" si="53"/>
        <v>3.669434796176543E-12</v>
      </c>
      <c r="R57" s="59">
        <f t="shared" si="0"/>
        <v>293.33333333333701</v>
      </c>
      <c r="S57" s="59">
        <f ca="1">AVERAGE(OFFSET($R$3,0,0,'Données projet'!$E$9+1,1))-AVERAGE(OFFSET($H$3,0,0,'Données projet'!$E$9+1,1))</f>
        <v>287.52077437571728</v>
      </c>
      <c r="T57" s="59">
        <f t="shared" si="34"/>
        <v>420.95891230839874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51.672451360686757</v>
      </c>
      <c r="AA57" s="21">
        <f>EXP(-LN(2)/25)*AA56+(1-EXP(-LN(2)/25))/(LN(2)/25)*Calculateur!V57*Calculateur!X57*VLOOKUP('Données projet'!$B$9,Paramètres!$A$1:$I$89,3,0)*0.475*44/12</f>
        <v>96.978091497418035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148.65054285810479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2.2737367544323206E-13</v>
      </c>
      <c r="O58" s="13">
        <f>N58*VLOOKUP('Données projet'!$B$9,Paramètres!$A$1:$I$89,3,0)*VLOOKUP('Données projet'!$B$9,Paramètres!$A$1:$I$89,5,0)</f>
        <v>1.3596945791505279E-13</v>
      </c>
      <c r="P58" s="13">
        <f t="shared" si="33"/>
        <v>1.9708830566360721E-12</v>
      </c>
      <c r="Q58" s="20">
        <f t="shared" si="53"/>
        <v>3.669434796176543E-12</v>
      </c>
      <c r="R58" s="59">
        <f t="shared" si="0"/>
        <v>293.33333333333701</v>
      </c>
      <c r="S58" s="59">
        <f ca="1">AVERAGE(OFFSET($R$3,0,0,'Données projet'!$E$9+1,1))-AVERAGE(OFFSET($H$3,0,0,'Données projet'!$E$9+1,1))</f>
        <v>287.52077437571728</v>
      </c>
      <c r="T58" s="59">
        <f t="shared" si="34"/>
        <v>420.95891230839874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50.659186106586965</v>
      </c>
      <c r="AA58" s="21">
        <f>EXP(-LN(2)/25)*AA57+(1-EXP(-LN(2)/25))/(LN(2)/25)*Calculateur!V58*Calculateur!X58*VLOOKUP('Données projet'!$B$9,Paramètres!$A$1:$I$89,3,0)*0.475*44/12</f>
        <v>94.32622048556496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144.98540659215192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2.2737367544323206E-13</v>
      </c>
      <c r="O59" s="13">
        <f>N59*VLOOKUP('Données projet'!$B$9,Paramètres!$A$1:$I$89,3,0)*VLOOKUP('Données projet'!$B$9,Paramètres!$A$1:$I$89,5,0)</f>
        <v>1.3596945791505279E-13</v>
      </c>
      <c r="P59" s="13">
        <f t="shared" si="33"/>
        <v>1.9708830566360721E-12</v>
      </c>
      <c r="Q59" s="20">
        <f t="shared" si="53"/>
        <v>3.669434796176543E-12</v>
      </c>
      <c r="R59" s="59">
        <f t="shared" si="0"/>
        <v>293.33333333333701</v>
      </c>
      <c r="S59" s="59">
        <f ca="1">AVERAGE(OFFSET($R$3,0,0,'Données projet'!$E$9+1,1))-AVERAGE(OFFSET($H$3,0,0,'Données projet'!$E$9+1,1))</f>
        <v>287.52077437571728</v>
      </c>
      <c r="T59" s="59">
        <f t="shared" si="34"/>
        <v>420.95891230839874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49.66579036608929</v>
      </c>
      <c r="AA59" s="21">
        <f>EXP(-LN(2)/25)*AA58+(1-EXP(-LN(2)/25))/(LN(2)/25)*Calculateur!V59*Calculateur!X59*VLOOKUP('Données projet'!$B$9,Paramètres!$A$1:$I$89,3,0)*0.475*44/12</f>
        <v>91.746865025986835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141.41265539207612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2.2737367544323206E-13</v>
      </c>
      <c r="O60" s="13">
        <f>N60*VLOOKUP('Données projet'!$B$9,Paramètres!$A$1:$I$89,3,0)*VLOOKUP('Données projet'!$B$9,Paramètres!$A$1:$I$89,5,0)</f>
        <v>1.3596945791505279E-13</v>
      </c>
      <c r="P60" s="13">
        <f t="shared" si="33"/>
        <v>1.9708830566360721E-12</v>
      </c>
      <c r="Q60" s="20">
        <f t="shared" si="53"/>
        <v>3.669434796176543E-12</v>
      </c>
      <c r="R60" s="59">
        <f t="shared" si="0"/>
        <v>293.33333333333701</v>
      </c>
      <c r="S60" s="59">
        <f ca="1">AVERAGE(OFFSET($R$3,0,0,'Données projet'!$E$9+1,1))-AVERAGE(OFFSET($H$3,0,0,'Données projet'!$E$9+1,1))</f>
        <v>287.52077437571728</v>
      </c>
      <c r="T60" s="59">
        <f t="shared" si="34"/>
        <v>420.95891230839874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48.691874510151202</v>
      </c>
      <c r="AA60" s="21">
        <f>EXP(-LN(2)/25)*AA59+(1-EXP(-LN(2)/25))/(LN(2)/25)*Calculateur!V60*Calculateur!X60*VLOOKUP('Données projet'!$B$9,Paramètres!$A$1:$I$89,3,0)*0.475*44/12</f>
        <v>89.238042177093277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137.92991668724449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2.2737367544323206E-13</v>
      </c>
      <c r="O61" s="13">
        <f>N61*VLOOKUP('Données projet'!$B$9,Paramètres!$A$1:$I$89,3,0)*VLOOKUP('Données projet'!$B$9,Paramètres!$A$1:$I$89,5,0)</f>
        <v>1.3596945791505279E-13</v>
      </c>
      <c r="P61" s="13">
        <f t="shared" si="33"/>
        <v>1.9708830566360721E-12</v>
      </c>
      <c r="Q61" s="20">
        <f t="shared" si="53"/>
        <v>3.669434796176543E-12</v>
      </c>
      <c r="R61" s="59">
        <f t="shared" si="0"/>
        <v>293.33333333333701</v>
      </c>
      <c r="S61" s="59">
        <f ca="1">AVERAGE(OFFSET($R$3,0,0,'Données projet'!$E$9+1,1))-AVERAGE(OFFSET($H$3,0,0,'Données projet'!$E$9+1,1))</f>
        <v>287.52077437571728</v>
      </c>
      <c r="T61" s="59">
        <f t="shared" si="34"/>
        <v>420.95891230839874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47.737056550118041</v>
      </c>
      <c r="AA61" s="21">
        <f>EXP(-LN(2)/25)*AA60+(1-EXP(-LN(2)/25))/(LN(2)/25)*Calculateur!V61*Calculateur!X61*VLOOKUP('Données projet'!$B$9,Paramètres!$A$1:$I$89,3,0)*0.475*44/12</f>
        <v>86.797823220935982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134.53487977105402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2.2737367544323206E-13</v>
      </c>
      <c r="O62" s="13">
        <f>N62*VLOOKUP('Données projet'!$B$9,Paramètres!$A$1:$I$89,3,0)*VLOOKUP('Données projet'!$B$9,Paramètres!$A$1:$I$89,5,0)</f>
        <v>1.3596945791505279E-13</v>
      </c>
      <c r="P62" s="13">
        <f t="shared" si="33"/>
        <v>1.9708830566360721E-12</v>
      </c>
      <c r="Q62" s="20">
        <f t="shared" si="53"/>
        <v>3.669434796176543E-12</v>
      </c>
      <c r="R62" s="59">
        <f t="shared" si="0"/>
        <v>293.33333333333701</v>
      </c>
      <c r="S62" s="59">
        <f ca="1">AVERAGE(OFFSET($R$3,0,0,'Données projet'!$E$9+1,1))-AVERAGE(OFFSET($H$3,0,0,'Données projet'!$E$9+1,1))</f>
        <v>287.52077437571728</v>
      </c>
      <c r="T62" s="59">
        <f t="shared" si="34"/>
        <v>420.95891230839874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46.800961987899683</v>
      </c>
      <c r="AA62" s="21">
        <f>EXP(-LN(2)/25)*AA61+(1-EXP(-LN(2)/25))/(LN(2)/25)*Calculateur!V62*Calculateur!X62*VLOOKUP('Données projet'!$B$9,Paramètres!$A$1:$I$89,3,0)*0.475*44/12</f>
        <v>84.42433218046034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131.22529416836002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2.2737367544323206E-13</v>
      </c>
      <c r="O63" s="13">
        <f>N63*VLOOKUP('Données projet'!$B$9,Paramètres!$A$1:$I$89,3,0)*VLOOKUP('Données projet'!$B$9,Paramètres!$A$1:$I$89,5,0)</f>
        <v>1.3596945791505279E-13</v>
      </c>
      <c r="P63" s="13">
        <f t="shared" si="33"/>
        <v>1.9708830566360721E-12</v>
      </c>
      <c r="Q63" s="20">
        <f t="shared" si="53"/>
        <v>3.669434796176543E-12</v>
      </c>
      <c r="R63" s="59">
        <f t="shared" si="0"/>
        <v>293.33333333333701</v>
      </c>
      <c r="S63" s="59">
        <f ca="1">AVERAGE(OFFSET($R$3,0,0,'Données projet'!$E$9+1,1))-AVERAGE(OFFSET($H$3,0,0,'Données projet'!$E$9+1,1))</f>
        <v>287.52077437571728</v>
      </c>
      <c r="T63" s="59">
        <f t="shared" si="34"/>
        <v>420.95891230839874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45.883223669085119</v>
      </c>
      <c r="AA63" s="21">
        <f>EXP(-LN(2)/25)*AA62+(1-EXP(-LN(2)/25))/(LN(2)/25)*Calculateur!V63*Calculateur!X63*VLOOKUP('Données projet'!$B$9,Paramètres!$A$1:$I$89,3,0)*0.475*44/12</f>
        <v>82.115744377302974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127.99896804638809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2.2737367544323206E-13</v>
      </c>
      <c r="O64" s="13">
        <f>N64*VLOOKUP('Données projet'!$B$9,Paramètres!$A$1:$I$89,3,0)*VLOOKUP('Données projet'!$B$9,Paramètres!$A$1:$I$89,5,0)</f>
        <v>1.3596945791505279E-13</v>
      </c>
      <c r="P64" s="13">
        <f t="shared" si="33"/>
        <v>1.9708830566360721E-12</v>
      </c>
      <c r="Q64" s="20">
        <f t="shared" si="53"/>
        <v>3.669434796176543E-12</v>
      </c>
      <c r="R64" s="59">
        <f t="shared" si="0"/>
        <v>293.33333333333701</v>
      </c>
      <c r="S64" s="59">
        <f ca="1">AVERAGE(OFFSET($R$3,0,0,'Données projet'!$E$9+1,1))-AVERAGE(OFFSET($H$3,0,0,'Données projet'!$E$9+1,1))</f>
        <v>287.52077437571728</v>
      </c>
      <c r="T64" s="59">
        <f t="shared" si="34"/>
        <v>420.95891230839874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44.983481638937413</v>
      </c>
      <c r="AA64" s="21">
        <f>EXP(-LN(2)/25)*AA63+(1-EXP(-LN(2)/25))/(LN(2)/25)*Calculateur!V64*Calculateur!X64*VLOOKUP('Données projet'!$B$9,Paramètres!$A$1:$I$89,3,0)*0.475*44/12</f>
        <v>79.870285029026306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124.85376666796373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2.2737367544323206E-13</v>
      </c>
      <c r="O65" s="13">
        <f>N65*VLOOKUP('Données projet'!$B$9,Paramètres!$A$1:$I$89,3,0)*VLOOKUP('Données projet'!$B$9,Paramètres!$A$1:$I$89,5,0)</f>
        <v>1.3596945791505279E-13</v>
      </c>
      <c r="P65" s="13">
        <f t="shared" si="33"/>
        <v>1.9708830566360721E-12</v>
      </c>
      <c r="Q65" s="20">
        <f t="shared" si="53"/>
        <v>3.669434796176543E-12</v>
      </c>
      <c r="R65" s="59">
        <f t="shared" si="0"/>
        <v>293.33333333333701</v>
      </c>
      <c r="S65" s="59">
        <f ca="1">AVERAGE(OFFSET($R$3,0,0,'Données projet'!$E$9+1,1))-AVERAGE(OFFSET($H$3,0,0,'Données projet'!$E$9+1,1))</f>
        <v>287.52077437571728</v>
      </c>
      <c r="T65" s="59">
        <f t="shared" si="34"/>
        <v>420.95891230839874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44.101383001212447</v>
      </c>
      <c r="AA65" s="21">
        <f>EXP(-LN(2)/25)*AA64+(1-EXP(-LN(2)/25))/(LN(2)/25)*Calculateur!V65*Calculateur!X65*VLOOKUP('Données projet'!$B$9,Paramètres!$A$1:$I$89,3,0)*0.475*44/12</f>
        <v>77.68622788471184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121.78761088592429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2.2737367544323206E-13</v>
      </c>
      <c r="O66" s="13">
        <f>N66*VLOOKUP('Données projet'!$B$9,Paramètres!$A$1:$I$89,3,0)*VLOOKUP('Données projet'!$B$9,Paramètres!$A$1:$I$89,5,0)</f>
        <v>1.3596945791505279E-13</v>
      </c>
      <c r="P66" s="13">
        <f t="shared" si="33"/>
        <v>1.9708830566360721E-12</v>
      </c>
      <c r="Q66" s="20">
        <f t="shared" si="53"/>
        <v>3.669434796176543E-12</v>
      </c>
      <c r="R66" s="59">
        <f t="shared" si="0"/>
        <v>293.33333333333701</v>
      </c>
      <c r="S66" s="59">
        <f ca="1">AVERAGE(OFFSET($R$3,0,0,'Données projet'!$E$9+1,1))-AVERAGE(OFFSET($H$3,0,0,'Données projet'!$E$9+1,1))</f>
        <v>287.52077437571728</v>
      </c>
      <c r="T66" s="59">
        <f t="shared" si="34"/>
        <v>420.95891230839874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43.236581779746231</v>
      </c>
      <c r="AA66" s="21">
        <f>EXP(-LN(2)/25)*AA65+(1-EXP(-LN(2)/25))/(LN(2)/25)*Calculateur!V66*Calculateur!X66*VLOOKUP('Données projet'!$B$9,Paramètres!$A$1:$I$89,3,0)*0.475*44/12</f>
        <v>75.561893897863229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118.79847567760946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2.2737367544323206E-13</v>
      </c>
      <c r="O67" s="13">
        <f>N67*VLOOKUP('Données projet'!$B$9,Paramètres!$A$1:$I$89,3,0)*VLOOKUP('Données projet'!$B$9,Paramètres!$A$1:$I$89,5,0)</f>
        <v>1.3596945791505279E-13</v>
      </c>
      <c r="P67" s="13">
        <f t="shared" si="33"/>
        <v>1.9708830566360721E-12</v>
      </c>
      <c r="Q67" s="20">
        <f t="shared" ref="Q67:Q98" si="54">(O67+P67)*0.475*44/12</f>
        <v>3.669434796176543E-12</v>
      </c>
      <c r="R67" s="59">
        <f t="shared" ref="R67:R130" si="55">Q67+(I67+J67)*44/12</f>
        <v>293.33333333333701</v>
      </c>
      <c r="S67" s="59">
        <f ca="1">AVERAGE(OFFSET($R$3,0,0,'Données projet'!$E$9+1,1))-AVERAGE(OFFSET($H$3,0,0,'Données projet'!$E$9+1,1))</f>
        <v>287.52077437571728</v>
      </c>
      <c r="T67" s="59">
        <f t="shared" si="34"/>
        <v>420.95891230839874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42.388738782756306</v>
      </c>
      <c r="AA67" s="21">
        <f>EXP(-LN(2)/25)*AA66+(1-EXP(-LN(2)/25))/(LN(2)/25)*Calculateur!V67*Calculateur!X67*VLOOKUP('Données projet'!$B$9,Paramètres!$A$1:$I$89,3,0)*0.475*44/12</f>
        <v>73.495649935598863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115.88438871835517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2.2737367544323206E-13</v>
      </c>
      <c r="O68" s="13">
        <f>N68*VLOOKUP('Données projet'!$B$9,Paramètres!$A$1:$I$89,3,0)*VLOOKUP('Données projet'!$B$9,Paramètres!$A$1:$I$89,5,0)</f>
        <v>1.3596945791505279E-13</v>
      </c>
      <c r="P68" s="13">
        <f t="shared" si="33"/>
        <v>1.9708830566360721E-12</v>
      </c>
      <c r="Q68" s="20">
        <f t="shared" si="54"/>
        <v>3.669434796176543E-12</v>
      </c>
      <c r="R68" s="59">
        <f t="shared" si="55"/>
        <v>293.33333333333701</v>
      </c>
      <c r="S68" s="59">
        <f ca="1">AVERAGE(OFFSET($R$3,0,0,'Données projet'!$E$9+1,1))-AVERAGE(OFFSET($H$3,0,0,'Données projet'!$E$9+1,1))</f>
        <v>287.52077437571728</v>
      </c>
      <c r="T68" s="59">
        <f t="shared" si="34"/>
        <v>420.95891230839874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41.557521469804186</v>
      </c>
      <c r="AA68" s="21">
        <f>EXP(-LN(2)/25)*AA67+(1-EXP(-LN(2)/25))/(LN(2)/25)*Calculateur!V68*Calculateur!X68*VLOOKUP('Données projet'!$B$9,Paramètres!$A$1:$I$89,3,0)*0.475*44/12</f>
        <v>71.485907523141663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113.04342899294585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2.2737367544323206E-13</v>
      </c>
      <c r="O69" s="13">
        <f>N69*VLOOKUP('Données projet'!$B$9,Paramètres!$A$1:$I$89,3,0)*VLOOKUP('Données projet'!$B$9,Paramètres!$A$1:$I$89,5,0)</f>
        <v>1.3596945791505279E-13</v>
      </c>
      <c r="P69" s="13">
        <f t="shared" ref="P69:P132" si="87">EXP(-1.0587+0.8836*LN(O69)+0.284)</f>
        <v>1.9708830566360721E-12</v>
      </c>
      <c r="Q69" s="20">
        <f t="shared" si="54"/>
        <v>3.669434796176543E-12</v>
      </c>
      <c r="R69" s="59">
        <f t="shared" si="55"/>
        <v>293.33333333333701</v>
      </c>
      <c r="S69" s="59">
        <f ca="1">AVERAGE(OFFSET($R$3,0,0,'Données projet'!$E$9+1,1))-AVERAGE(OFFSET($H$3,0,0,'Données projet'!$E$9+1,1))</f>
        <v>287.52077437571728</v>
      </c>
      <c r="T69" s="59">
        <f t="shared" ref="T69:T132" si="88">$T$3</f>
        <v>420.95891230839874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40.742603821366558</v>
      </c>
      <c r="AA69" s="21">
        <f>EXP(-LN(2)/25)*AA68+(1-EXP(-LN(2)/25))/(LN(2)/25)*Calculateur!V69*Calculateur!X69*VLOOKUP('Données projet'!$B$9,Paramètres!$A$1:$I$89,3,0)*0.475*44/12</f>
        <v>69.531121622640853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110.27372544400741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2.2737367544323206E-13</v>
      </c>
      <c r="O70" s="13">
        <f>N70*VLOOKUP('Données projet'!$B$9,Paramètres!$A$1:$I$89,3,0)*VLOOKUP('Données projet'!$B$9,Paramètres!$A$1:$I$89,5,0)</f>
        <v>1.3596945791505279E-13</v>
      </c>
      <c r="P70" s="13">
        <f t="shared" si="87"/>
        <v>1.9708830566360721E-12</v>
      </c>
      <c r="Q70" s="20">
        <f t="shared" si="54"/>
        <v>3.669434796176543E-12</v>
      </c>
      <c r="R70" s="59">
        <f t="shared" si="55"/>
        <v>293.33333333333701</v>
      </c>
      <c r="S70" s="59">
        <f ca="1">AVERAGE(OFFSET($R$3,0,0,'Données projet'!$E$9+1,1))-AVERAGE(OFFSET($H$3,0,0,'Données projet'!$E$9+1,1))</f>
        <v>287.52077437571728</v>
      </c>
      <c r="T70" s="59">
        <f t="shared" si="88"/>
        <v>420.95891230839874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39.943666210964103</v>
      </c>
      <c r="AA70" s="21">
        <f>EXP(-LN(2)/25)*AA69+(1-EXP(-LN(2)/25))/(LN(2)/25)*Calculateur!V70*Calculateur!X70*VLOOKUP('Données projet'!$B$9,Paramètres!$A$1:$I$89,3,0)*0.475*44/12</f>
        <v>67.629789445386962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107.57345565635106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2.2737367544323206E-13</v>
      </c>
      <c r="O71" s="13">
        <f>N71*VLOOKUP('Données projet'!$B$9,Paramètres!$A$1:$I$89,3,0)*VLOOKUP('Données projet'!$B$9,Paramètres!$A$1:$I$89,5,0)</f>
        <v>1.3596945791505279E-13</v>
      </c>
      <c r="P71" s="13">
        <f t="shared" si="87"/>
        <v>1.9708830566360721E-12</v>
      </c>
      <c r="Q71" s="20">
        <f t="shared" si="54"/>
        <v>3.669434796176543E-12</v>
      </c>
      <c r="R71" s="59">
        <f t="shared" si="55"/>
        <v>293.33333333333701</v>
      </c>
      <c r="S71" s="59">
        <f ca="1">AVERAGE(OFFSET($R$3,0,0,'Données projet'!$E$9+1,1))-AVERAGE(OFFSET($H$3,0,0,'Données projet'!$E$9+1,1))</f>
        <v>287.52077437571728</v>
      </c>
      <c r="T71" s="59">
        <f t="shared" si="88"/>
        <v>420.95891230839874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39.160395279797818</v>
      </c>
      <c r="AA71" s="21">
        <f>EXP(-LN(2)/25)*AA70+(1-EXP(-LN(2)/25))/(LN(2)/25)*Calculateur!V71*Calculateur!X71*VLOOKUP('Données projet'!$B$9,Paramètres!$A$1:$I$89,3,0)*0.475*44/12</f>
        <v>65.780449296506802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104.94084457630461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2.2737367544323206E-13</v>
      </c>
      <c r="O72" s="13">
        <f>N72*VLOOKUP('Données projet'!$B$9,Paramètres!$A$1:$I$89,3,0)*VLOOKUP('Données projet'!$B$9,Paramètres!$A$1:$I$89,5,0)</f>
        <v>1.3596945791505279E-13</v>
      </c>
      <c r="P72" s="13">
        <f t="shared" si="87"/>
        <v>1.9708830566360721E-12</v>
      </c>
      <c r="Q72" s="20">
        <f t="shared" si="54"/>
        <v>3.669434796176543E-12</v>
      </c>
      <c r="R72" s="59">
        <f t="shared" si="55"/>
        <v>293.33333333333701</v>
      </c>
      <c r="S72" s="59">
        <f ca="1">AVERAGE(OFFSET($R$3,0,0,'Données projet'!$E$9+1,1))-AVERAGE(OFFSET($H$3,0,0,'Données projet'!$E$9+1,1))</f>
        <v>287.52077437571728</v>
      </c>
      <c r="T72" s="59">
        <f t="shared" si="88"/>
        <v>420.95891230839874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38.392483813843612</v>
      </c>
      <c r="AA72" s="21">
        <f>EXP(-LN(2)/25)*AA71+(1-EXP(-LN(2)/25))/(LN(2)/25)*Calculateur!V72*Calculateur!X72*VLOOKUP('Données projet'!$B$9,Paramètres!$A$1:$I$89,3,0)*0.475*44/12</f>
        <v>63.981679451250336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102.37416326509396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2.2737367544323206E-13</v>
      </c>
      <c r="O73" s="13">
        <f>N73*VLOOKUP('Données projet'!$B$9,Paramètres!$A$1:$I$89,3,0)*VLOOKUP('Données projet'!$B$9,Paramètres!$A$1:$I$89,5,0)</f>
        <v>1.3596945791505279E-13</v>
      </c>
      <c r="P73" s="13">
        <f t="shared" si="87"/>
        <v>1.9708830566360721E-12</v>
      </c>
      <c r="Q73" s="20">
        <f t="shared" si="54"/>
        <v>3.669434796176543E-12</v>
      </c>
      <c r="R73" s="59">
        <f t="shared" si="55"/>
        <v>293.33333333333701</v>
      </c>
      <c r="S73" s="59">
        <f ca="1">AVERAGE(OFFSET($R$3,0,0,'Données projet'!$E$9+1,1))-AVERAGE(OFFSET($H$3,0,0,'Données projet'!$E$9+1,1))</f>
        <v>287.52077437571728</v>
      </c>
      <c r="T73" s="59">
        <f t="shared" si="88"/>
        <v>420.95891230839874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37.639630623357014</v>
      </c>
      <c r="AA73" s="21">
        <f>EXP(-LN(2)/25)*AA72+(1-EXP(-LN(2)/25))/(LN(2)/25)*Calculateur!V73*Calculateur!X73*VLOOKUP('Données projet'!$B$9,Paramètres!$A$1:$I$89,3,0)*0.475*44/12</f>
        <v>62.232097062005607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99.871727685362629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2.2737367544323206E-13</v>
      </c>
      <c r="O74" s="13">
        <f>N74*VLOOKUP('Données projet'!$B$9,Paramètres!$A$1:$I$89,3,0)*VLOOKUP('Données projet'!$B$9,Paramètres!$A$1:$I$89,5,0)</f>
        <v>1.3596945791505279E-13</v>
      </c>
      <c r="P74" s="13">
        <f t="shared" si="87"/>
        <v>1.9708830566360721E-12</v>
      </c>
      <c r="Q74" s="20">
        <f t="shared" si="54"/>
        <v>3.669434796176543E-12</v>
      </c>
      <c r="R74" s="59">
        <f t="shared" si="55"/>
        <v>293.33333333333701</v>
      </c>
      <c r="S74" s="59">
        <f ca="1">AVERAGE(OFFSET($R$3,0,0,'Données projet'!$E$9+1,1))-AVERAGE(OFFSET($H$3,0,0,'Données projet'!$E$9+1,1))</f>
        <v>287.52077437571728</v>
      </c>
      <c r="T74" s="59">
        <f t="shared" si="88"/>
        <v>420.95891230839874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36.901540424740759</v>
      </c>
      <c r="AA74" s="21">
        <f>EXP(-LN(2)/25)*AA73+(1-EXP(-LN(2)/25))/(LN(2)/25)*Calculateur!V74*Calculateur!X74*VLOOKUP('Données projet'!$B$9,Paramètres!$A$1:$I$89,3,0)*0.475*44/12</f>
        <v>60.53035709520131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97.431897519942069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2.2737367544323206E-13</v>
      </c>
      <c r="O75" s="13">
        <f>N75*VLOOKUP('Données projet'!$B$9,Paramètres!$A$1:$I$89,3,0)*VLOOKUP('Données projet'!$B$9,Paramètres!$A$1:$I$89,5,0)</f>
        <v>1.3596945791505279E-13</v>
      </c>
      <c r="P75" s="13">
        <f t="shared" si="87"/>
        <v>1.9708830566360721E-12</v>
      </c>
      <c r="Q75" s="20">
        <f t="shared" si="54"/>
        <v>3.669434796176543E-12</v>
      </c>
      <c r="R75" s="59">
        <f t="shared" si="55"/>
        <v>293.33333333333701</v>
      </c>
      <c r="S75" s="59">
        <f ca="1">AVERAGE(OFFSET($R$3,0,0,'Données projet'!$E$9+1,1))-AVERAGE(OFFSET($H$3,0,0,'Données projet'!$E$9+1,1))</f>
        <v>287.52077437571728</v>
      </c>
      <c r="T75" s="59">
        <f t="shared" si="88"/>
        <v>420.95891230839874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36.177923724728799</v>
      </c>
      <c r="AA75" s="21">
        <f>EXP(-LN(2)/25)*AA74+(1-EXP(-LN(2)/25))/(LN(2)/25)*Calculateur!V75*Calculateur!X75*VLOOKUP('Données projet'!$B$9,Paramètres!$A$1:$I$89,3,0)*0.475*44/12</f>
        <v>58.875151297279892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95.053075022008699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2.2737367544323206E-13</v>
      </c>
      <c r="O76" s="13">
        <f>N76*VLOOKUP('Données projet'!$B$9,Paramètres!$A$1:$I$89,3,0)*VLOOKUP('Données projet'!$B$9,Paramètres!$A$1:$I$89,5,0)</f>
        <v>1.3596945791505279E-13</v>
      </c>
      <c r="P76" s="13">
        <f t="shared" si="87"/>
        <v>1.9708830566360721E-12</v>
      </c>
      <c r="Q76" s="20">
        <f t="shared" si="54"/>
        <v>3.669434796176543E-12</v>
      </c>
      <c r="R76" s="59">
        <f t="shared" si="55"/>
        <v>293.33333333333701</v>
      </c>
      <c r="S76" s="59">
        <f ca="1">AVERAGE(OFFSET($R$3,0,0,'Données projet'!$E$9+1,1))-AVERAGE(OFFSET($H$3,0,0,'Données projet'!$E$9+1,1))</f>
        <v>287.52077437571728</v>
      </c>
      <c r="T76" s="59">
        <f t="shared" si="88"/>
        <v>420.95891230839874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35.468496706841471</v>
      </c>
      <c r="AA76" s="21">
        <f>EXP(-LN(2)/25)*AA75+(1-EXP(-LN(2)/25))/(LN(2)/25)*Calculateur!V76*Calculateur!X76*VLOOKUP('Données projet'!$B$9,Paramètres!$A$1:$I$89,3,0)*0.475*44/12</f>
        <v>57.265207188946128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92.733703895787599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2.2737367544323206E-13</v>
      </c>
      <c r="O77" s="13">
        <f>N77*VLOOKUP('Données projet'!$B$9,Paramètres!$A$1:$I$89,3,0)*VLOOKUP('Données projet'!$B$9,Paramètres!$A$1:$I$89,5,0)</f>
        <v>1.3596945791505279E-13</v>
      </c>
      <c r="P77" s="13">
        <f t="shared" si="87"/>
        <v>1.9708830566360721E-12</v>
      </c>
      <c r="Q77" s="20">
        <f t="shared" si="54"/>
        <v>3.669434796176543E-12</v>
      </c>
      <c r="R77" s="59">
        <f t="shared" si="55"/>
        <v>293.33333333333701</v>
      </c>
      <c r="S77" s="59">
        <f ca="1">AVERAGE(OFFSET($R$3,0,0,'Données projet'!$E$9+1,1))-AVERAGE(OFFSET($H$3,0,0,'Données projet'!$E$9+1,1))</f>
        <v>287.52077437571728</v>
      </c>
      <c r="T77" s="59">
        <f t="shared" si="88"/>
        <v>420.95891230839874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34.772981120067158</v>
      </c>
      <c r="AA77" s="21">
        <f>EXP(-LN(2)/25)*AA76+(1-EXP(-LN(2)/25))/(LN(2)/25)*Calculateur!V77*Calculateur!X77*VLOOKUP('Données projet'!$B$9,Paramètres!$A$1:$I$89,3,0)*0.475*44/12</f>
        <v>55.699287086918034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90.472268206985191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2.2737367544323206E-13</v>
      </c>
      <c r="O78" s="13">
        <f>N78*VLOOKUP('Données projet'!$B$9,Paramètres!$A$1:$I$89,3,0)*VLOOKUP('Données projet'!$B$9,Paramètres!$A$1:$I$89,5,0)</f>
        <v>1.3596945791505279E-13</v>
      </c>
      <c r="P78" s="13">
        <f t="shared" si="87"/>
        <v>1.9708830566360721E-12</v>
      </c>
      <c r="Q78" s="20">
        <f t="shared" si="54"/>
        <v>3.669434796176543E-12</v>
      </c>
      <c r="R78" s="59">
        <f t="shared" si="55"/>
        <v>293.33333333333701</v>
      </c>
      <c r="S78" s="59">
        <f ca="1">AVERAGE(OFFSET($R$3,0,0,'Données projet'!$E$9+1,1))-AVERAGE(OFFSET($H$3,0,0,'Données projet'!$E$9+1,1))</f>
        <v>287.52077437571728</v>
      </c>
      <c r="T78" s="59">
        <f t="shared" si="88"/>
        <v>420.95891230839874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34.091104169726869</v>
      </c>
      <c r="AA78" s="21">
        <f>EXP(-LN(2)/25)*AA77+(1-EXP(-LN(2)/25))/(LN(2)/25)*Calculateur!V78*Calculateur!X78*VLOOKUP('Données projet'!$B$9,Paramètres!$A$1:$I$89,3,0)*0.475*44/12</f>
        <v>54.176187152428056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88.267291322154932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2.2737367544323206E-13</v>
      </c>
      <c r="O79" s="13">
        <f>N79*VLOOKUP('Données projet'!$B$9,Paramètres!$A$1:$I$89,3,0)*VLOOKUP('Données projet'!$B$9,Paramètres!$A$1:$I$89,5,0)</f>
        <v>1.3596945791505279E-13</v>
      </c>
      <c r="P79" s="13">
        <f t="shared" si="87"/>
        <v>1.9708830566360721E-12</v>
      </c>
      <c r="Q79" s="20">
        <f t="shared" si="54"/>
        <v>3.669434796176543E-12</v>
      </c>
      <c r="R79" s="59">
        <f t="shared" si="55"/>
        <v>293.33333333333701</v>
      </c>
      <c r="S79" s="59">
        <f ca="1">AVERAGE(OFFSET($R$3,0,0,'Données projet'!$E$9+1,1))-AVERAGE(OFFSET($H$3,0,0,'Données projet'!$E$9+1,1))</f>
        <v>287.52077437571728</v>
      </c>
      <c r="T79" s="59">
        <f t="shared" si="88"/>
        <v>420.95891230839874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33.422598410478876</v>
      </c>
      <c r="AA79" s="21">
        <f>EXP(-LN(2)/25)*AA78+(1-EXP(-LN(2)/25))/(LN(2)/25)*Calculateur!V79*Calculateur!X79*VLOOKUP('Données projet'!$B$9,Paramètres!$A$1:$I$89,3,0)*0.475*44/12</f>
        <v>52.694736465743048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86.117334876221918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2.2737367544323206E-13</v>
      </c>
      <c r="O80" s="13">
        <f>N80*VLOOKUP('Données projet'!$B$9,Paramètres!$A$1:$I$89,3,0)*VLOOKUP('Données projet'!$B$9,Paramètres!$A$1:$I$89,5,0)</f>
        <v>1.3596945791505279E-13</v>
      </c>
      <c r="P80" s="13">
        <f t="shared" si="87"/>
        <v>1.9708830566360721E-12</v>
      </c>
      <c r="Q80" s="20">
        <f t="shared" si="54"/>
        <v>3.669434796176543E-12</v>
      </c>
      <c r="R80" s="59">
        <f t="shared" si="55"/>
        <v>293.33333333333701</v>
      </c>
      <c r="S80" s="59">
        <f ca="1">AVERAGE(OFFSET($R$3,0,0,'Données projet'!$E$9+1,1))-AVERAGE(OFFSET($H$3,0,0,'Données projet'!$E$9+1,1))</f>
        <v>287.52077437571728</v>
      </c>
      <c r="T80" s="59">
        <f t="shared" si="88"/>
        <v>420.95891230839874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32.767201641421487</v>
      </c>
      <c r="AA80" s="21">
        <f>EXP(-LN(2)/25)*AA79+(1-EXP(-LN(2)/25))/(LN(2)/25)*Calculateur!V80*Calculateur!X80*VLOOKUP('Données projet'!$B$9,Paramètres!$A$1:$I$89,3,0)*0.475*44/12</f>
        <v>51.253796125991549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84.020997767413036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2.2737367544323206E-13</v>
      </c>
      <c r="O81" s="13">
        <f>N81*VLOOKUP('Données projet'!$B$9,Paramètres!$A$1:$I$89,3,0)*VLOOKUP('Données projet'!$B$9,Paramètres!$A$1:$I$89,5,0)</f>
        <v>1.3596945791505279E-13</v>
      </c>
      <c r="P81" s="13">
        <f t="shared" si="87"/>
        <v>1.9708830566360721E-12</v>
      </c>
      <c r="Q81" s="20">
        <f t="shared" si="54"/>
        <v>3.669434796176543E-12</v>
      </c>
      <c r="R81" s="59">
        <f t="shared" si="55"/>
        <v>293.33333333333701</v>
      </c>
      <c r="S81" s="59">
        <f ca="1">AVERAGE(OFFSET($R$3,0,0,'Données projet'!$E$9+1,1))-AVERAGE(OFFSET($H$3,0,0,'Données projet'!$E$9+1,1))</f>
        <v>287.52077437571728</v>
      </c>
      <c r="T81" s="59">
        <f t="shared" si="88"/>
        <v>420.95891230839874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32.124656803252755</v>
      </c>
      <c r="AA81" s="21">
        <f>EXP(-LN(2)/25)*AA80+(1-EXP(-LN(2)/25))/(LN(2)/25)*Calculateur!V81*Calculateur!X81*VLOOKUP('Données projet'!$B$9,Paramètres!$A$1:$I$89,3,0)*0.475*44/12</f>
        <v>49.852258375606311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81.976915178859059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2.2737367544323206E-13</v>
      </c>
      <c r="O82" s="13">
        <f>N82*VLOOKUP('Données projet'!$B$9,Paramètres!$A$1:$I$89,3,0)*VLOOKUP('Données projet'!$B$9,Paramètres!$A$1:$I$89,5,0)</f>
        <v>1.3596945791505279E-13</v>
      </c>
      <c r="P82" s="13">
        <f t="shared" si="87"/>
        <v>1.9708830566360721E-12</v>
      </c>
      <c r="Q82" s="20">
        <f t="shared" si="54"/>
        <v>3.669434796176543E-12</v>
      </c>
      <c r="R82" s="59">
        <f t="shared" si="55"/>
        <v>293.33333333333701</v>
      </c>
      <c r="S82" s="59">
        <f ca="1">AVERAGE(OFFSET($R$3,0,0,'Données projet'!$E$9+1,1))-AVERAGE(OFFSET($H$3,0,0,'Données projet'!$E$9+1,1))</f>
        <v>287.52077437571728</v>
      </c>
      <c r="T82" s="59">
        <f t="shared" si="88"/>
        <v>420.95891230839874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31.494711877446861</v>
      </c>
      <c r="AA82" s="21">
        <f>EXP(-LN(2)/25)*AA81+(1-EXP(-LN(2)/25))/(LN(2)/25)*Calculateur!V82*Calculateur!X82*VLOOKUP('Données projet'!$B$9,Paramètres!$A$1:$I$89,3,0)*0.475*44/12</f>
        <v>48.489045748709025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79.983757626155892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2.2737367544323206E-13</v>
      </c>
      <c r="O83" s="13">
        <f>N83*VLOOKUP('Données projet'!$B$9,Paramètres!$A$1:$I$89,3,0)*VLOOKUP('Données projet'!$B$9,Paramètres!$A$1:$I$89,5,0)</f>
        <v>1.3596945791505279E-13</v>
      </c>
      <c r="P83" s="13">
        <f t="shared" si="87"/>
        <v>1.9708830566360721E-12</v>
      </c>
      <c r="Q83" s="20">
        <f t="shared" si="54"/>
        <v>3.669434796176543E-12</v>
      </c>
      <c r="R83" s="59">
        <f t="shared" si="55"/>
        <v>293.33333333333701</v>
      </c>
      <c r="S83" s="59">
        <f ca="1">AVERAGE(OFFSET($R$3,0,0,'Données projet'!$E$9+1,1))-AVERAGE(OFFSET($H$3,0,0,'Données projet'!$E$9+1,1))</f>
        <v>287.52077437571728</v>
      </c>
      <c r="T83" s="59">
        <f t="shared" si="88"/>
        <v>420.95891230839874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30.877119787407555</v>
      </c>
      <c r="AA83" s="21">
        <f>EXP(-LN(2)/25)*AA82+(1-EXP(-LN(2)/25))/(LN(2)/25)*Calculateur!V83*Calculateur!X83*VLOOKUP('Données projet'!$B$9,Paramètres!$A$1:$I$89,3,0)*0.475*44/12</f>
        <v>47.16311024278248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78.040230030190031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2.2737367544323206E-13</v>
      </c>
      <c r="O84" s="13">
        <f>N84*VLOOKUP('Données projet'!$B$9,Paramètres!$A$1:$I$89,3,0)*VLOOKUP('Données projet'!$B$9,Paramètres!$A$1:$I$89,5,0)</f>
        <v>1.3596945791505279E-13</v>
      </c>
      <c r="P84" s="13">
        <f t="shared" si="87"/>
        <v>1.9708830566360721E-12</v>
      </c>
      <c r="Q84" s="20">
        <f t="shared" si="54"/>
        <v>3.669434796176543E-12</v>
      </c>
      <c r="R84" s="59">
        <f t="shared" si="55"/>
        <v>293.33333333333701</v>
      </c>
      <c r="S84" s="59">
        <f ca="1">AVERAGE(OFFSET($R$3,0,0,'Données projet'!$E$9+1,1))-AVERAGE(OFFSET($H$3,0,0,'Données projet'!$E$9+1,1))</f>
        <v>287.52077437571728</v>
      </c>
      <c r="T84" s="59">
        <f t="shared" si="88"/>
        <v>420.95891230839874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30.271638301559939</v>
      </c>
      <c r="AA84" s="21">
        <f>EXP(-LN(2)/25)*AA83+(1-EXP(-LN(2)/25))/(LN(2)/25)*Calculateur!V84*Calculateur!X84*VLOOKUP('Données projet'!$B$9,Paramètres!$A$1:$I$89,3,0)*0.475*44/12</f>
        <v>45.873432512993418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76.14507081455335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2.2737367544323206E-13</v>
      </c>
      <c r="O85" s="13">
        <f>N85*VLOOKUP('Données projet'!$B$9,Paramètres!$A$1:$I$89,3,0)*VLOOKUP('Données projet'!$B$9,Paramètres!$A$1:$I$89,5,0)</f>
        <v>1.3596945791505279E-13</v>
      </c>
      <c r="P85" s="13">
        <f t="shared" si="87"/>
        <v>1.9708830566360721E-12</v>
      </c>
      <c r="Q85" s="20">
        <f t="shared" si="54"/>
        <v>3.669434796176543E-12</v>
      </c>
      <c r="R85" s="59">
        <f t="shared" si="55"/>
        <v>293.33333333333701</v>
      </c>
      <c r="S85" s="59">
        <f ca="1">AVERAGE(OFFSET($R$3,0,0,'Données projet'!$E$9+1,1))-AVERAGE(OFFSET($H$3,0,0,'Données projet'!$E$9+1,1))</f>
        <v>287.52077437571728</v>
      </c>
      <c r="T85" s="59">
        <f t="shared" si="88"/>
        <v>420.95891230839874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29.678029938342558</v>
      </c>
      <c r="AA85" s="21">
        <f>EXP(-LN(2)/25)*AA84+(1-EXP(-LN(2)/25))/(LN(2)/25)*Calculateur!V85*Calculateur!X85*VLOOKUP('Données projet'!$B$9,Paramètres!$A$1:$I$89,3,0)*0.475*44/12</f>
        <v>44.619021088546639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74.297051026889193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2.2737367544323206E-13</v>
      </c>
      <c r="O86" s="13">
        <f>N86*VLOOKUP('Données projet'!$B$9,Paramètres!$A$1:$I$89,3,0)*VLOOKUP('Données projet'!$B$9,Paramètres!$A$1:$I$89,5,0)</f>
        <v>1.3596945791505279E-13</v>
      </c>
      <c r="P86" s="13">
        <f t="shared" si="87"/>
        <v>1.9708830566360721E-12</v>
      </c>
      <c r="Q86" s="20">
        <f t="shared" si="54"/>
        <v>3.669434796176543E-12</v>
      </c>
      <c r="R86" s="59">
        <f t="shared" si="55"/>
        <v>293.33333333333701</v>
      </c>
      <c r="S86" s="59">
        <f ca="1">AVERAGE(OFFSET($R$3,0,0,'Données projet'!$E$9+1,1))-AVERAGE(OFFSET($H$3,0,0,'Données projet'!$E$9+1,1))</f>
        <v>287.52077437571728</v>
      </c>
      <c r="T86" s="59">
        <f t="shared" si="88"/>
        <v>420.95891230839874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29.096061873062517</v>
      </c>
      <c r="AA86" s="21">
        <f>EXP(-LN(2)/25)*AA85+(1-EXP(-LN(2)/25))/(LN(2)/25)*Calculateur!V86*Calculateur!X86*VLOOKUP('Données projet'!$B$9,Paramètres!$A$1:$I$89,3,0)*0.475*44/12</f>
        <v>43.398911610467991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72.494973483530515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2.2737367544323206E-13</v>
      </c>
      <c r="O87" s="13">
        <f>N87*VLOOKUP('Données projet'!$B$9,Paramètres!$A$1:$I$89,3,0)*VLOOKUP('Données projet'!$B$9,Paramètres!$A$1:$I$89,5,0)</f>
        <v>1.3596945791505279E-13</v>
      </c>
      <c r="P87" s="13">
        <f t="shared" si="87"/>
        <v>1.9708830566360721E-12</v>
      </c>
      <c r="Q87" s="20">
        <f t="shared" si="54"/>
        <v>3.669434796176543E-12</v>
      </c>
      <c r="R87" s="59">
        <f t="shared" si="55"/>
        <v>293.33333333333701</v>
      </c>
      <c r="S87" s="59">
        <f ca="1">AVERAGE(OFFSET($R$3,0,0,'Données projet'!$E$9+1,1))-AVERAGE(OFFSET($H$3,0,0,'Données projet'!$E$9+1,1))</f>
        <v>287.52077437571728</v>
      </c>
      <c r="T87" s="59">
        <f t="shared" si="88"/>
        <v>420.95891230839874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28.525505846577147</v>
      </c>
      <c r="AA87" s="21">
        <f>EXP(-LN(2)/25)*AA86+(1-EXP(-LN(2)/25))/(LN(2)/25)*Calculateur!V87*Calculateur!X87*VLOOKUP('Données projet'!$B$9,Paramètres!$A$1:$I$89,3,0)*0.475*44/12</f>
        <v>42.21216609023017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70.737671936807317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2.2737367544323206E-13</v>
      </c>
      <c r="O88" s="13">
        <f>N88*VLOOKUP('Données projet'!$B$9,Paramètres!$A$1:$I$89,3,0)*VLOOKUP('Données projet'!$B$9,Paramètres!$A$1:$I$89,5,0)</f>
        <v>1.3596945791505279E-13</v>
      </c>
      <c r="P88" s="13">
        <f t="shared" si="87"/>
        <v>1.9708830566360721E-12</v>
      </c>
      <c r="Q88" s="20">
        <f t="shared" si="54"/>
        <v>3.669434796176543E-12</v>
      </c>
      <c r="R88" s="59">
        <f t="shared" si="55"/>
        <v>293.33333333333701</v>
      </c>
      <c r="S88" s="59">
        <f ca="1">AVERAGE(OFFSET($R$3,0,0,'Données projet'!$E$9+1,1))-AVERAGE(OFFSET($H$3,0,0,'Données projet'!$E$9+1,1))</f>
        <v>287.52077437571728</v>
      </c>
      <c r="T88" s="59">
        <f t="shared" si="88"/>
        <v>420.95891230839874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27.966138075766342</v>
      </c>
      <c r="AA88" s="21">
        <f>EXP(-LN(2)/25)*AA87+(1-EXP(-LN(2)/25))/(LN(2)/25)*Calculateur!V88*Calculateur!X88*VLOOKUP('Données projet'!$B$9,Paramètres!$A$1:$I$89,3,0)*0.475*44/12</f>
        <v>41.057872188651487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69.024010264417825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2.2737367544323206E-13</v>
      </c>
      <c r="O89" s="13">
        <f>N89*VLOOKUP('Données projet'!$B$9,Paramètres!$A$1:$I$89,3,0)*VLOOKUP('Données projet'!$B$9,Paramètres!$A$1:$I$89,5,0)</f>
        <v>1.3596945791505279E-13</v>
      </c>
      <c r="P89" s="13">
        <f t="shared" si="87"/>
        <v>1.9708830566360721E-12</v>
      </c>
      <c r="Q89" s="20">
        <f t="shared" si="54"/>
        <v>3.669434796176543E-12</v>
      </c>
      <c r="R89" s="59">
        <f t="shared" si="55"/>
        <v>293.33333333333701</v>
      </c>
      <c r="S89" s="59">
        <f ca="1">AVERAGE(OFFSET($R$3,0,0,'Données projet'!$E$9+1,1))-AVERAGE(OFFSET($H$3,0,0,'Données projet'!$E$9+1,1))</f>
        <v>287.52077437571728</v>
      </c>
      <c r="T89" s="59">
        <f t="shared" si="88"/>
        <v>420.95891230839874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27.417739165760487</v>
      </c>
      <c r="AA89" s="21">
        <f>EXP(-LN(2)/25)*AA88+(1-EXP(-LN(2)/25))/(LN(2)/25)*Calculateur!V89*Calculateur!X89*VLOOKUP('Données projet'!$B$9,Paramètres!$A$1:$I$89,3,0)*0.475*44/12</f>
        <v>39.935142514513153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67.35288168027364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2.2737367544323206E-13</v>
      </c>
      <c r="O90" s="13">
        <f>N90*VLOOKUP('Données projet'!$B$9,Paramètres!$A$1:$I$89,3,0)*VLOOKUP('Données projet'!$B$9,Paramètres!$A$1:$I$89,5,0)</f>
        <v>1.3596945791505279E-13</v>
      </c>
      <c r="P90" s="13">
        <f t="shared" si="87"/>
        <v>1.9708830566360721E-12</v>
      </c>
      <c r="Q90" s="20">
        <f t="shared" si="54"/>
        <v>3.669434796176543E-12</v>
      </c>
      <c r="R90" s="59">
        <f t="shared" si="55"/>
        <v>293.33333333333701</v>
      </c>
      <c r="S90" s="59">
        <f ca="1">AVERAGE(OFFSET($R$3,0,0,'Données projet'!$E$9+1,1))-AVERAGE(OFFSET($H$3,0,0,'Données projet'!$E$9+1,1))</f>
        <v>287.52077437571728</v>
      </c>
      <c r="T90" s="59">
        <f t="shared" si="88"/>
        <v>420.95891230839874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26.880094023889541</v>
      </c>
      <c r="AA90" s="21">
        <f>EXP(-LN(2)/25)*AA89+(1-EXP(-LN(2)/25))/(LN(2)/25)*Calculateur!V90*Calculateur!X90*VLOOKUP('Données projet'!$B$9,Paramètres!$A$1:$I$89,3,0)*0.475*44/12</f>
        <v>38.84311394235592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65.723207966245468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2.2737367544323206E-13</v>
      </c>
      <c r="O91" s="13">
        <f>N91*VLOOKUP('Données projet'!$B$9,Paramètres!$A$1:$I$89,3,0)*VLOOKUP('Données projet'!$B$9,Paramètres!$A$1:$I$89,5,0)</f>
        <v>1.3596945791505279E-13</v>
      </c>
      <c r="P91" s="13">
        <f t="shared" si="87"/>
        <v>1.9708830566360721E-12</v>
      </c>
      <c r="Q91" s="20">
        <f t="shared" si="54"/>
        <v>3.669434796176543E-12</v>
      </c>
      <c r="R91" s="59">
        <f t="shared" si="55"/>
        <v>293.33333333333701</v>
      </c>
      <c r="S91" s="59">
        <f ca="1">AVERAGE(OFFSET($R$3,0,0,'Données projet'!$E$9+1,1))-AVERAGE(OFFSET($H$3,0,0,'Données projet'!$E$9+1,1))</f>
        <v>287.52077437571728</v>
      </c>
      <c r="T91" s="59">
        <f t="shared" si="88"/>
        <v>420.95891230839874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26.352991775319527</v>
      </c>
      <c r="AA91" s="21">
        <f>EXP(-LN(2)/25)*AA90+(1-EXP(-LN(2)/25))/(LN(2)/25)*Calculateur!V91*Calculateur!X91*VLOOKUP('Données projet'!$B$9,Paramètres!$A$1:$I$89,3,0)*0.475*44/12</f>
        <v>37.780946948931614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64.133938724251138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2.2737367544323206E-13</v>
      </c>
      <c r="O92" s="13">
        <f>N92*VLOOKUP('Données projet'!$B$9,Paramètres!$A$1:$I$89,3,0)*VLOOKUP('Données projet'!$B$9,Paramètres!$A$1:$I$89,5,0)</f>
        <v>1.3596945791505279E-13</v>
      </c>
      <c r="P92" s="13">
        <f t="shared" si="87"/>
        <v>1.9708830566360721E-12</v>
      </c>
      <c r="Q92" s="20">
        <f t="shared" si="54"/>
        <v>3.669434796176543E-12</v>
      </c>
      <c r="R92" s="59">
        <f t="shared" si="55"/>
        <v>293.33333333333701</v>
      </c>
      <c r="S92" s="59">
        <f ca="1">AVERAGE(OFFSET($R$3,0,0,'Données projet'!$E$9+1,1))-AVERAGE(OFFSET($H$3,0,0,'Données projet'!$E$9+1,1))</f>
        <v>287.52077437571728</v>
      </c>
      <c r="T92" s="59">
        <f t="shared" si="88"/>
        <v>420.95891230839874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25.836225680343343</v>
      </c>
      <c r="AA92" s="21">
        <f>EXP(-LN(2)/25)*AA91+(1-EXP(-LN(2)/25))/(LN(2)/25)*Calculateur!V92*Calculateur!X92*VLOOKUP('Données projet'!$B$9,Paramètres!$A$1:$I$89,3,0)*0.475*44/12</f>
        <v>36.747824967799431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62.584050648142778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2.2737367544323206E-13</v>
      </c>
      <c r="O93" s="13">
        <f>N93*VLOOKUP('Données projet'!$B$9,Paramètres!$A$1:$I$89,3,0)*VLOOKUP('Données projet'!$B$9,Paramètres!$A$1:$I$89,5,0)</f>
        <v>1.3596945791505279E-13</v>
      </c>
      <c r="P93" s="13">
        <f t="shared" si="87"/>
        <v>1.9708830566360721E-12</v>
      </c>
      <c r="Q93" s="20">
        <f t="shared" si="54"/>
        <v>3.669434796176543E-12</v>
      </c>
      <c r="R93" s="59">
        <f t="shared" si="55"/>
        <v>293.33333333333701</v>
      </c>
      <c r="S93" s="59">
        <f ca="1">AVERAGE(OFFSET($R$3,0,0,'Données projet'!$E$9+1,1))-AVERAGE(OFFSET($H$3,0,0,'Données projet'!$E$9+1,1))</f>
        <v>287.52077437571728</v>
      </c>
      <c r="T93" s="59">
        <f t="shared" si="88"/>
        <v>420.95891230839874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25.329593053293447</v>
      </c>
      <c r="AA93" s="21">
        <f>EXP(-LN(2)/25)*AA92+(1-EXP(-LN(2)/25))/(LN(2)/25)*Calculateur!V93*Calculateur!X93*VLOOKUP('Données projet'!$B$9,Paramètres!$A$1:$I$89,3,0)*0.475*44/12</f>
        <v>35.742953761570831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61.072546814864282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2.2737367544323206E-13</v>
      </c>
      <c r="O94" s="13">
        <f>N94*VLOOKUP('Données projet'!$B$9,Paramètres!$A$1:$I$89,3,0)*VLOOKUP('Données projet'!$B$9,Paramètres!$A$1:$I$89,5,0)</f>
        <v>1.3596945791505279E-13</v>
      </c>
      <c r="P94" s="13">
        <f t="shared" si="87"/>
        <v>1.9708830566360721E-12</v>
      </c>
      <c r="Q94" s="20">
        <f t="shared" si="54"/>
        <v>3.669434796176543E-12</v>
      </c>
      <c r="R94" s="59">
        <f t="shared" si="55"/>
        <v>293.33333333333701</v>
      </c>
      <c r="S94" s="59">
        <f ca="1">AVERAGE(OFFSET($R$3,0,0,'Données projet'!$E$9+1,1))-AVERAGE(OFFSET($H$3,0,0,'Données projet'!$E$9+1,1))</f>
        <v>287.52077437571728</v>
      </c>
      <c r="T94" s="59">
        <f t="shared" si="88"/>
        <v>420.95891230839874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24.832895183044609</v>
      </c>
      <c r="AA94" s="21">
        <f>EXP(-LN(2)/25)*AA93+(1-EXP(-LN(2)/25))/(LN(2)/25)*Calculateur!V94*Calculateur!X94*VLOOKUP('Données projet'!$B$9,Paramètres!$A$1:$I$89,3,0)*0.475*44/12</f>
        <v>34.765560811320427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59.59845599436504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2.2737367544323206E-13</v>
      </c>
      <c r="O95" s="13">
        <f>N95*VLOOKUP('Données projet'!$B$9,Paramètres!$A$1:$I$89,3,0)*VLOOKUP('Données projet'!$B$9,Paramètres!$A$1:$I$89,5,0)</f>
        <v>1.3596945791505279E-13</v>
      </c>
      <c r="P95" s="13">
        <f t="shared" si="87"/>
        <v>1.9708830566360721E-12</v>
      </c>
      <c r="Q95" s="20">
        <f t="shared" si="54"/>
        <v>3.669434796176543E-12</v>
      </c>
      <c r="R95" s="59">
        <f t="shared" si="55"/>
        <v>293.33333333333701</v>
      </c>
      <c r="S95" s="59">
        <f ca="1">AVERAGE(OFFSET($R$3,0,0,'Données projet'!$E$9+1,1))-AVERAGE(OFFSET($H$3,0,0,'Données projet'!$E$9+1,1))</f>
        <v>287.52077437571728</v>
      </c>
      <c r="T95" s="59">
        <f t="shared" si="88"/>
        <v>420.95891230839874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24.345937255075565</v>
      </c>
      <c r="AA95" s="21">
        <f>EXP(-LN(2)/25)*AA94+(1-EXP(-LN(2)/25))/(LN(2)/25)*Calculateur!V95*Calculateur!X95*VLOOKUP('Données projet'!$B$9,Paramètres!$A$1:$I$89,3,0)*0.475*44/12</f>
        <v>33.814894722693481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58.16083197776905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2.2737367544323206E-13</v>
      </c>
      <c r="O96" s="13">
        <f>N96*VLOOKUP('Données projet'!$B$9,Paramètres!$A$1:$I$89,3,0)*VLOOKUP('Données projet'!$B$9,Paramètres!$A$1:$I$89,5,0)</f>
        <v>1.3596945791505279E-13</v>
      </c>
      <c r="P96" s="13">
        <f t="shared" si="87"/>
        <v>1.9708830566360721E-12</v>
      </c>
      <c r="Q96" s="20">
        <f t="shared" si="54"/>
        <v>3.669434796176543E-12</v>
      </c>
      <c r="R96" s="59">
        <f t="shared" si="55"/>
        <v>293.33333333333701</v>
      </c>
      <c r="S96" s="59">
        <f ca="1">AVERAGE(OFFSET($R$3,0,0,'Données projet'!$E$9+1,1))-AVERAGE(OFFSET($H$3,0,0,'Données projet'!$E$9+1,1))</f>
        <v>287.52077437571728</v>
      </c>
      <c r="T96" s="59">
        <f t="shared" si="88"/>
        <v>420.95891230839874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23.868528275058988</v>
      </c>
      <c r="AA96" s="21">
        <f>EXP(-LN(2)/25)*AA95+(1-EXP(-LN(2)/25))/(LN(2)/25)*Calculateur!V96*Calculateur!X96*VLOOKUP('Données projet'!$B$9,Paramètres!$A$1:$I$89,3,0)*0.475*44/12</f>
        <v>32.890224648253401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56.758752923312386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2.2737367544323206E-13</v>
      </c>
      <c r="O97" s="13">
        <f>N97*VLOOKUP('Données projet'!$B$9,Paramètres!$A$1:$I$89,3,0)*VLOOKUP('Données projet'!$B$9,Paramètres!$A$1:$I$89,5,0)</f>
        <v>1.3596945791505279E-13</v>
      </c>
      <c r="P97" s="13">
        <f t="shared" si="87"/>
        <v>1.9708830566360721E-12</v>
      </c>
      <c r="Q97" s="20">
        <f t="shared" si="54"/>
        <v>3.669434796176543E-12</v>
      </c>
      <c r="R97" s="59">
        <f t="shared" si="55"/>
        <v>293.33333333333701</v>
      </c>
      <c r="S97" s="59">
        <f ca="1">AVERAGE(OFFSET($R$3,0,0,'Données projet'!$E$9+1,1))-AVERAGE(OFFSET($H$3,0,0,'Données projet'!$E$9+1,1))</f>
        <v>287.52077437571728</v>
      </c>
      <c r="T97" s="59">
        <f t="shared" si="88"/>
        <v>420.95891230839874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23.40048099394981</v>
      </c>
      <c r="AA97" s="21">
        <f>EXP(-LN(2)/25)*AA96+(1-EXP(-LN(2)/25))/(LN(2)/25)*Calculateur!V97*Calculateur!X97*VLOOKUP('Données projet'!$B$9,Paramètres!$A$1:$I$89,3,0)*0.475*44/12</f>
        <v>31.990839725625168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55.391320719574978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2.2737367544323206E-13</v>
      </c>
      <c r="O98" s="13">
        <f>N98*VLOOKUP('Données projet'!$B$9,Paramètres!$A$1:$I$89,3,0)*VLOOKUP('Données projet'!$B$9,Paramètres!$A$1:$I$89,5,0)</f>
        <v>1.3596945791505279E-13</v>
      </c>
      <c r="P98" s="13">
        <f t="shared" si="87"/>
        <v>1.9708830566360721E-12</v>
      </c>
      <c r="Q98" s="20">
        <f t="shared" si="54"/>
        <v>3.669434796176543E-12</v>
      </c>
      <c r="R98" s="59">
        <f t="shared" si="55"/>
        <v>293.33333333333701</v>
      </c>
      <c r="S98" s="59">
        <f ca="1">AVERAGE(OFFSET($R$3,0,0,'Données projet'!$E$9+1,1))-AVERAGE(OFFSET($H$3,0,0,'Données projet'!$E$9+1,1))</f>
        <v>287.52077437571728</v>
      </c>
      <c r="T98" s="59">
        <f t="shared" si="88"/>
        <v>420.95891230839874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22.941611834542531</v>
      </c>
      <c r="AA98" s="21">
        <f>EXP(-LN(2)/25)*AA97+(1-EXP(-LN(2)/25))/(LN(2)/25)*Calculateur!V98*Calculateur!X98*VLOOKUP('Données projet'!$B$9,Paramètres!$A$1:$I$89,3,0)*0.475*44/12</f>
        <v>31.116048531002804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54.057660365545331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2.2737367544323206E-13</v>
      </c>
      <c r="O99" s="13">
        <f>N99*VLOOKUP('Données projet'!$B$9,Paramètres!$A$1:$I$89,3,0)*VLOOKUP('Données projet'!$B$9,Paramètres!$A$1:$I$89,5,0)</f>
        <v>1.3596945791505279E-13</v>
      </c>
      <c r="P99" s="13">
        <f t="shared" si="87"/>
        <v>1.9708830566360721E-12</v>
      </c>
      <c r="Q99" s="20">
        <f t="shared" ref="Q99:Q130" si="107">(O99+P99)*0.475*44/12</f>
        <v>3.669434796176543E-12</v>
      </c>
      <c r="R99" s="59">
        <f t="shared" si="55"/>
        <v>293.33333333333701</v>
      </c>
      <c r="S99" s="59">
        <f ca="1">AVERAGE(OFFSET($R$3,0,0,'Données projet'!$E$9+1,1))-AVERAGE(OFFSET($H$3,0,0,'Données projet'!$E$9+1,1))</f>
        <v>287.52077437571728</v>
      </c>
      <c r="T99" s="59">
        <f t="shared" si="88"/>
        <v>420.95891230839874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22.491740819468678</v>
      </c>
      <c r="AA99" s="21">
        <f>EXP(-LN(2)/25)*AA98+(1-EXP(-LN(2)/25))/(LN(2)/25)*Calculateur!V99*Calculateur!X99*VLOOKUP('Données projet'!$B$9,Paramètres!$A$1:$I$89,3,0)*0.475*44/12</f>
        <v>30.265178547600655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52.756919367069329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2.2737367544323206E-13</v>
      </c>
      <c r="O100" s="13">
        <f>N100*VLOOKUP('Données projet'!$B$9,Paramètres!$A$1:$I$89,3,0)*VLOOKUP('Données projet'!$B$9,Paramètres!$A$1:$I$89,5,0)</f>
        <v>1.3596945791505279E-13</v>
      </c>
      <c r="P100" s="13">
        <f t="shared" si="87"/>
        <v>1.9708830566360721E-12</v>
      </c>
      <c r="Q100" s="20">
        <f t="shared" si="107"/>
        <v>3.669434796176543E-12</v>
      </c>
      <c r="R100" s="59">
        <f t="shared" si="55"/>
        <v>293.33333333333701</v>
      </c>
      <c r="S100" s="59">
        <f ca="1">AVERAGE(OFFSET($R$3,0,0,'Données projet'!$E$9+1,1))-AVERAGE(OFFSET($H$3,0,0,'Données projet'!$E$9+1,1))</f>
        <v>287.52077437571728</v>
      </c>
      <c r="T100" s="59">
        <f t="shared" si="88"/>
        <v>420.95891230839874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22.050691500606199</v>
      </c>
      <c r="AA100" s="21">
        <f>EXP(-LN(2)/25)*AA99+(1-EXP(-LN(2)/25))/(LN(2)/25)*Calculateur!V100*Calculateur!X100*VLOOKUP('Données projet'!$B$9,Paramètres!$A$1:$I$89,3,0)*0.475*44/12</f>
        <v>29.437575648639946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51.488267149246141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2.2737367544323206E-13</v>
      </c>
      <c r="O101" s="13">
        <f>N101*VLOOKUP('Données projet'!$B$9,Paramètres!$A$1:$I$89,3,0)*VLOOKUP('Données projet'!$B$9,Paramètres!$A$1:$I$89,5,0)</f>
        <v>1.3596945791505279E-13</v>
      </c>
      <c r="P101" s="13">
        <f t="shared" si="87"/>
        <v>1.9708830566360721E-12</v>
      </c>
      <c r="Q101" s="20">
        <f t="shared" si="107"/>
        <v>3.669434796176543E-12</v>
      </c>
      <c r="R101" s="59">
        <f t="shared" si="55"/>
        <v>293.33333333333701</v>
      </c>
      <c r="S101" s="59">
        <f ca="1">AVERAGE(OFFSET($R$3,0,0,'Données projet'!$E$9+1,1))-AVERAGE(OFFSET($H$3,0,0,'Données projet'!$E$9+1,1))</f>
        <v>287.52077437571728</v>
      </c>
      <c r="T101" s="59">
        <f t="shared" si="88"/>
        <v>420.95891230839874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21.618290889873091</v>
      </c>
      <c r="AA101" s="21">
        <f>EXP(-LN(2)/25)*AA100+(1-EXP(-LN(2)/25))/(LN(2)/25)*Calculateur!V101*Calculateur!X101*VLOOKUP('Données projet'!$B$9,Paramètres!$A$1:$I$89,3,0)*0.475*44/12</f>
        <v>28.632603594473064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50.250894484346155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2.2737367544323206E-13</v>
      </c>
      <c r="O102" s="13">
        <f>N102*VLOOKUP('Données projet'!$B$9,Paramètres!$A$1:$I$89,3,0)*VLOOKUP('Données projet'!$B$9,Paramètres!$A$1:$I$89,5,0)</f>
        <v>1.3596945791505279E-13</v>
      </c>
      <c r="P102" s="13">
        <f t="shared" si="87"/>
        <v>1.9708830566360721E-12</v>
      </c>
      <c r="Q102" s="20">
        <f t="shared" si="107"/>
        <v>3.669434796176543E-12</v>
      </c>
      <c r="R102" s="59">
        <f t="shared" si="55"/>
        <v>293.33333333333701</v>
      </c>
      <c r="S102" s="59">
        <f ca="1">AVERAGE(OFFSET($R$3,0,0,'Données projet'!$E$9+1,1))-AVERAGE(OFFSET($H$3,0,0,'Données projet'!$E$9+1,1))</f>
        <v>287.52077437571728</v>
      </c>
      <c r="T102" s="59">
        <f t="shared" si="88"/>
        <v>420.95891230839874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21.194369391378128</v>
      </c>
      <c r="AA102" s="21">
        <f>EXP(-LN(2)/25)*AA101+(1-EXP(-LN(2)/25))/(LN(2)/25)*Calculateur!V102*Calculateur!X102*VLOOKUP('Données projet'!$B$9,Paramètres!$A$1:$I$89,3,0)*0.475*44/12</f>
        <v>27.849643543459017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49.044012934837141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2.2737367544323206E-13</v>
      </c>
      <c r="O103" s="13">
        <f>N103*VLOOKUP('Données projet'!$B$9,Paramètres!$A$1:$I$89,3,0)*VLOOKUP('Données projet'!$B$9,Paramètres!$A$1:$I$89,5,0)</f>
        <v>1.3596945791505279E-13</v>
      </c>
      <c r="P103" s="13">
        <f t="shared" si="87"/>
        <v>1.9708830566360721E-12</v>
      </c>
      <c r="Q103" s="20">
        <f t="shared" si="107"/>
        <v>3.669434796176543E-12</v>
      </c>
      <c r="R103" s="59">
        <f t="shared" si="55"/>
        <v>293.33333333333701</v>
      </c>
      <c r="S103" s="59">
        <f ca="1">AVERAGE(OFFSET($R$3,0,0,'Données projet'!$E$9+1,1))-AVERAGE(OFFSET($H$3,0,0,'Données projet'!$E$9+1,1))</f>
        <v>287.52077437571728</v>
      </c>
      <c r="T103" s="59">
        <f t="shared" si="88"/>
        <v>420.95891230839874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20.778760734902068</v>
      </c>
      <c r="AA103" s="21">
        <f>EXP(-LN(2)/25)*AA102+(1-EXP(-LN(2)/25))/(LN(2)/25)*Calculateur!V103*Calculateur!X103*VLOOKUP('Données projet'!$B$9,Paramètres!$A$1:$I$89,3,0)*0.475*44/12</f>
        <v>27.088093576214028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47.8668543111161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2.2737367544323206E-13</v>
      </c>
      <c r="O104" s="13">
        <f>N104*VLOOKUP('Données projet'!$B$9,Paramètres!$A$1:$I$89,3,0)*VLOOKUP('Données projet'!$B$9,Paramètres!$A$1:$I$89,5,0)</f>
        <v>1.3596945791505279E-13</v>
      </c>
      <c r="P104" s="13">
        <f t="shared" si="87"/>
        <v>1.9708830566360721E-12</v>
      </c>
      <c r="Q104" s="20">
        <f t="shared" si="107"/>
        <v>3.669434796176543E-12</v>
      </c>
      <c r="R104" s="59">
        <f t="shared" si="55"/>
        <v>293.33333333333701</v>
      </c>
      <c r="S104" s="59">
        <f ca="1">AVERAGE(OFFSET($R$3,0,0,'Données projet'!$E$9+1,1))-AVERAGE(OFFSET($H$3,0,0,'Données projet'!$E$9+1,1))</f>
        <v>287.52077437571728</v>
      </c>
      <c r="T104" s="59">
        <f t="shared" si="88"/>
        <v>420.95891230839874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20.371301910683254</v>
      </c>
      <c r="AA104" s="21">
        <f>EXP(-LN(2)/25)*AA103+(1-EXP(-LN(2)/25))/(LN(2)/25)*Calculateur!V104*Calculateur!X104*VLOOKUP('Données projet'!$B$9,Paramètres!$A$1:$I$89,3,0)*0.475*44/12</f>
        <v>26.347368232871524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46.718670143554775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2.2737367544323206E-13</v>
      </c>
      <c r="O105" s="13">
        <f>N105*VLOOKUP('Données projet'!$B$9,Paramètres!$A$1:$I$89,3,0)*VLOOKUP('Données projet'!$B$9,Paramètres!$A$1:$I$89,5,0)</f>
        <v>1.3596945791505279E-13</v>
      </c>
      <c r="P105" s="13">
        <f t="shared" si="87"/>
        <v>1.9708830566360721E-12</v>
      </c>
      <c r="Q105" s="20">
        <f t="shared" si="107"/>
        <v>3.669434796176543E-12</v>
      </c>
      <c r="R105" s="59">
        <f t="shared" si="55"/>
        <v>293.33333333333701</v>
      </c>
      <c r="S105" s="59">
        <f ca="1">AVERAGE(OFFSET($R$3,0,0,'Données projet'!$E$9+1,1))-AVERAGE(OFFSET($H$3,0,0,'Données projet'!$E$9+1,1))</f>
        <v>287.52077437571728</v>
      </c>
      <c r="T105" s="59">
        <f t="shared" si="88"/>
        <v>420.95891230839874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19.971833105482027</v>
      </c>
      <c r="AA105" s="21">
        <f>EXP(-LN(2)/25)*AA104+(1-EXP(-LN(2)/25))/(LN(2)/25)*Calculateur!V105*Calculateur!X105*VLOOKUP('Données projet'!$B$9,Paramètres!$A$1:$I$89,3,0)*0.475*44/12</f>
        <v>25.626898062995775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45.598731168477798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2.2737367544323206E-13</v>
      </c>
      <c r="O106" s="13">
        <f>N106*VLOOKUP('Données projet'!$B$9,Paramètres!$A$1:$I$89,3,0)*VLOOKUP('Données projet'!$B$9,Paramètres!$A$1:$I$89,5,0)</f>
        <v>1.3596945791505279E-13</v>
      </c>
      <c r="P106" s="13">
        <f t="shared" si="87"/>
        <v>1.9708830566360721E-12</v>
      </c>
      <c r="Q106" s="20">
        <f t="shared" si="107"/>
        <v>3.669434796176543E-12</v>
      </c>
      <c r="R106" s="59">
        <f t="shared" si="55"/>
        <v>293.33333333333701</v>
      </c>
      <c r="S106" s="59">
        <f ca="1">AVERAGE(OFFSET($R$3,0,0,'Données projet'!$E$9+1,1))-AVERAGE(OFFSET($H$3,0,0,'Données projet'!$E$9+1,1))</f>
        <v>287.52077437571728</v>
      </c>
      <c r="T106" s="59">
        <f t="shared" si="88"/>
        <v>420.95891230839874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19.580197639898884</v>
      </c>
      <c r="AA106" s="21">
        <f>EXP(-LN(2)/25)*AA105+(1-EXP(-LN(2)/25))/(LN(2)/25)*Calculateur!V106*Calculateur!X106*VLOOKUP('Données projet'!$B$9,Paramètres!$A$1:$I$89,3,0)*0.475*44/12</f>
        <v>24.926129187803156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44.50632682770204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2.2737367544323206E-13</v>
      </c>
      <c r="O107" s="13">
        <f>N107*VLOOKUP('Données projet'!$B$9,Paramètres!$A$1:$I$89,3,0)*VLOOKUP('Données projet'!$B$9,Paramètres!$A$1:$I$89,5,0)</f>
        <v>1.3596945791505279E-13</v>
      </c>
      <c r="P107" s="13">
        <f t="shared" si="87"/>
        <v>1.9708830566360721E-12</v>
      </c>
      <c r="Q107" s="20">
        <f t="shared" si="107"/>
        <v>3.669434796176543E-12</v>
      </c>
      <c r="R107" s="59">
        <f t="shared" si="55"/>
        <v>293.33333333333701</v>
      </c>
      <c r="S107" s="59">
        <f ca="1">AVERAGE(OFFSET($R$3,0,0,'Données projet'!$E$9+1,1))-AVERAGE(OFFSET($H$3,0,0,'Données projet'!$E$9+1,1))</f>
        <v>287.52077437571728</v>
      </c>
      <c r="T107" s="59">
        <f t="shared" si="88"/>
        <v>420.95891230839874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19.196241906921781</v>
      </c>
      <c r="AA107" s="21">
        <f>EXP(-LN(2)/25)*AA106+(1-EXP(-LN(2)/25))/(LN(2)/25)*Calculateur!V107*Calculateur!X107*VLOOKUP('Données projet'!$B$9,Paramètres!$A$1:$I$89,3,0)*0.475*44/12</f>
        <v>24.244522874354512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43.440764781276293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2.2737367544323206E-13</v>
      </c>
      <c r="O108" s="13">
        <f>N108*VLOOKUP('Données projet'!$B$9,Paramètres!$A$1:$I$89,3,0)*VLOOKUP('Données projet'!$B$9,Paramètres!$A$1:$I$89,5,0)</f>
        <v>1.3596945791505279E-13</v>
      </c>
      <c r="P108" s="13">
        <f t="shared" si="87"/>
        <v>1.9708830566360721E-12</v>
      </c>
      <c r="Q108" s="20">
        <f t="shared" si="107"/>
        <v>3.669434796176543E-12</v>
      </c>
      <c r="R108" s="59">
        <f t="shared" si="55"/>
        <v>293.33333333333701</v>
      </c>
      <c r="S108" s="59">
        <f ca="1">AVERAGE(OFFSET($R$3,0,0,'Données projet'!$E$9+1,1))-AVERAGE(OFFSET($H$3,0,0,'Données projet'!$E$9+1,1))</f>
        <v>287.52077437571728</v>
      </c>
      <c r="T108" s="59">
        <f t="shared" si="88"/>
        <v>420.95891230839874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18.819815311678486</v>
      </c>
      <c r="AA108" s="21">
        <f>EXP(-LN(2)/25)*AA107+(1-EXP(-LN(2)/25))/(LN(2)/25)*Calculateur!V108*Calculateur!X108*VLOOKUP('Données projet'!$B$9,Paramètres!$A$1:$I$89,3,0)*0.475*44/12</f>
        <v>23.58155512139124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42.401370433069729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2.2737367544323206E-13</v>
      </c>
      <c r="O109" s="13">
        <f>N109*VLOOKUP('Données projet'!$B$9,Paramètres!$A$1:$I$89,3,0)*VLOOKUP('Données projet'!$B$9,Paramètres!$A$1:$I$89,5,0)</f>
        <v>1.3596945791505279E-13</v>
      </c>
      <c r="P109" s="13">
        <f t="shared" si="87"/>
        <v>1.9708830566360721E-12</v>
      </c>
      <c r="Q109" s="20">
        <f t="shared" si="107"/>
        <v>3.669434796176543E-12</v>
      </c>
      <c r="R109" s="59">
        <f t="shared" si="55"/>
        <v>293.33333333333701</v>
      </c>
      <c r="S109" s="59">
        <f ca="1">AVERAGE(OFFSET($R$3,0,0,'Données projet'!$E$9+1,1))-AVERAGE(OFFSET($H$3,0,0,'Données projet'!$E$9+1,1))</f>
        <v>287.52077437571728</v>
      </c>
      <c r="T109" s="59">
        <f t="shared" si="88"/>
        <v>420.95891230839874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18.450770212370358</v>
      </c>
      <c r="AA109" s="21">
        <f>EXP(-LN(2)/25)*AA108+(1-EXP(-LN(2)/25))/(LN(2)/25)*Calculateur!V109*Calculateur!X109*VLOOKUP('Données projet'!$B$9,Paramètres!$A$1:$I$89,3,0)*0.475*44/12</f>
        <v>22.936716256496709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41.387486468867067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2.2737367544323206E-13</v>
      </c>
      <c r="O110" s="13">
        <f>N110*VLOOKUP('Données projet'!$B$9,Paramètres!$A$1:$I$89,3,0)*VLOOKUP('Données projet'!$B$9,Paramètres!$A$1:$I$89,5,0)</f>
        <v>1.3596945791505279E-13</v>
      </c>
      <c r="P110" s="13">
        <f t="shared" si="87"/>
        <v>1.9708830566360721E-12</v>
      </c>
      <c r="Q110" s="20">
        <f t="shared" si="107"/>
        <v>3.669434796176543E-12</v>
      </c>
      <c r="R110" s="59">
        <f t="shared" si="55"/>
        <v>293.33333333333701</v>
      </c>
      <c r="S110" s="59">
        <f ca="1">AVERAGE(OFFSET($R$3,0,0,'Données projet'!$E$9+1,1))-AVERAGE(OFFSET($H$3,0,0,'Données projet'!$E$9+1,1))</f>
        <v>287.52077437571728</v>
      </c>
      <c r="T110" s="59">
        <f t="shared" si="88"/>
        <v>420.95891230839874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18.088961862364378</v>
      </c>
      <c r="AA110" s="21">
        <f>EXP(-LN(2)/25)*AA109+(1-EXP(-LN(2)/25))/(LN(2)/25)*Calculateur!V110*Calculateur!X110*VLOOKUP('Données projet'!$B$9,Paramètres!$A$1:$I$89,3,0)*0.475*44/12</f>
        <v>22.309510544273319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40.398472406637694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2.2737367544323206E-13</v>
      </c>
      <c r="O111" s="13">
        <f>N111*VLOOKUP('Données projet'!$B$9,Paramètres!$A$1:$I$89,3,0)*VLOOKUP('Données projet'!$B$9,Paramètres!$A$1:$I$89,5,0)</f>
        <v>1.3596945791505279E-13</v>
      </c>
      <c r="P111" s="13">
        <f t="shared" si="87"/>
        <v>1.9708830566360721E-12</v>
      </c>
      <c r="Q111" s="20">
        <f t="shared" si="107"/>
        <v>3.669434796176543E-12</v>
      </c>
      <c r="R111" s="59">
        <f t="shared" si="55"/>
        <v>293.33333333333701</v>
      </c>
      <c r="S111" s="59">
        <f ca="1">AVERAGE(OFFSET($R$3,0,0,'Données projet'!$E$9+1,1))-AVERAGE(OFFSET($H$3,0,0,'Données projet'!$E$9+1,1))</f>
        <v>287.52077437571728</v>
      </c>
      <c r="T111" s="59">
        <f t="shared" si="88"/>
        <v>420.95891230839874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17.734248353420714</v>
      </c>
      <c r="AA111" s="21">
        <f>EXP(-LN(2)/25)*AA110+(1-EXP(-LN(2)/25))/(LN(2)/25)*Calculateur!V111*Calculateur!X111*VLOOKUP('Données projet'!$B$9,Paramètres!$A$1:$I$89,3,0)*0.475*44/12</f>
        <v>21.699455805233995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39.433704158654706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2.2737367544323206E-13</v>
      </c>
      <c r="O112" s="13">
        <f>N112*VLOOKUP('Données projet'!$B$9,Paramètres!$A$1:$I$89,3,0)*VLOOKUP('Données projet'!$B$9,Paramètres!$A$1:$I$89,5,0)</f>
        <v>1.3596945791505279E-13</v>
      </c>
      <c r="P112" s="13">
        <f t="shared" si="87"/>
        <v>1.9708830566360721E-12</v>
      </c>
      <c r="Q112" s="20">
        <f t="shared" si="107"/>
        <v>3.669434796176543E-12</v>
      </c>
      <c r="R112" s="59">
        <f t="shared" si="55"/>
        <v>293.33333333333701</v>
      </c>
      <c r="S112" s="59">
        <f ca="1">AVERAGE(OFFSET($R$3,0,0,'Données projet'!$E$9+1,1))-AVERAGE(OFFSET($H$3,0,0,'Données projet'!$E$9+1,1))</f>
        <v>287.52077437571728</v>
      </c>
      <c r="T112" s="59">
        <f t="shared" si="88"/>
        <v>420.95891230839874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17.386490560033558</v>
      </c>
      <c r="AA112" s="21">
        <f>EXP(-LN(2)/25)*AA111+(1-EXP(-LN(2)/25))/(LN(2)/25)*Calculateur!V112*Calculateur!X112*VLOOKUP('Données projet'!$B$9,Paramètres!$A$1:$I$89,3,0)*0.475*44/12</f>
        <v>21.106083045115085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38.492573605148642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2.2737367544323206E-13</v>
      </c>
      <c r="O113" s="13">
        <f>N113*VLOOKUP('Données projet'!$B$9,Paramètres!$A$1:$I$89,3,0)*VLOOKUP('Données projet'!$B$9,Paramètres!$A$1:$I$89,5,0)</f>
        <v>1.3596945791505279E-13</v>
      </c>
      <c r="P113" s="13">
        <f t="shared" si="87"/>
        <v>1.9708830566360721E-12</v>
      </c>
      <c r="Q113" s="20">
        <f t="shared" si="107"/>
        <v>3.669434796176543E-12</v>
      </c>
      <c r="R113" s="59">
        <f t="shared" si="55"/>
        <v>293.33333333333701</v>
      </c>
      <c r="S113" s="59">
        <f ca="1">AVERAGE(OFFSET($R$3,0,0,'Données projet'!$E$9+1,1))-AVERAGE(OFFSET($H$3,0,0,'Données projet'!$E$9+1,1))</f>
        <v>287.52077437571728</v>
      </c>
      <c r="T113" s="59">
        <f t="shared" si="88"/>
        <v>420.95891230839874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17.045552084863413</v>
      </c>
      <c r="AA113" s="21">
        <f>EXP(-LN(2)/25)*AA112+(1-EXP(-LN(2)/25))/(LN(2)/25)*Calculateur!V113*Calculateur!X113*VLOOKUP('Données projet'!$B$9,Paramètres!$A$1:$I$89,3,0)*0.475*44/12</f>
        <v>20.528936094325744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37.57448817918916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2.2737367544323206E-13</v>
      </c>
      <c r="O114" s="13">
        <f>N114*VLOOKUP('Données projet'!$B$9,Paramètres!$A$1:$I$89,3,0)*VLOOKUP('Données projet'!$B$9,Paramètres!$A$1:$I$89,5,0)</f>
        <v>1.3596945791505279E-13</v>
      </c>
      <c r="P114" s="13">
        <f t="shared" si="87"/>
        <v>1.9708830566360721E-12</v>
      </c>
      <c r="Q114" s="20">
        <f t="shared" si="107"/>
        <v>3.669434796176543E-12</v>
      </c>
      <c r="R114" s="59">
        <f t="shared" si="55"/>
        <v>293.33333333333701</v>
      </c>
      <c r="S114" s="59">
        <f ca="1">AVERAGE(OFFSET($R$3,0,0,'Données projet'!$E$9+1,1))-AVERAGE(OFFSET($H$3,0,0,'Données projet'!$E$9+1,1))</f>
        <v>287.52077437571728</v>
      </c>
      <c r="T114" s="59">
        <f t="shared" si="88"/>
        <v>420.95891230839874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16.711299205239417</v>
      </c>
      <c r="AA114" s="21">
        <f>EXP(-LN(2)/25)*AA113+(1-EXP(-LN(2)/25))/(LN(2)/25)*Calculateur!V114*Calculateur!X114*VLOOKUP('Données projet'!$B$9,Paramètres!$A$1:$I$89,3,0)*0.475*44/12</f>
        <v>19.967571257256576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36.678870462495993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2.2737367544323206E-13</v>
      </c>
      <c r="O115" s="13">
        <f>N115*VLOOKUP('Données projet'!$B$9,Paramètres!$A$1:$I$89,3,0)*VLOOKUP('Données projet'!$B$9,Paramètres!$A$1:$I$89,5,0)</f>
        <v>1.3596945791505279E-13</v>
      </c>
      <c r="P115" s="13">
        <f t="shared" si="87"/>
        <v>1.9708830566360721E-12</v>
      </c>
      <c r="Q115" s="20">
        <f t="shared" si="107"/>
        <v>3.669434796176543E-12</v>
      </c>
      <c r="R115" s="59">
        <f t="shared" si="55"/>
        <v>293.33333333333701</v>
      </c>
      <c r="S115" s="59">
        <f ca="1">AVERAGE(OFFSET($R$3,0,0,'Données projet'!$E$9+1,1))-AVERAGE(OFFSET($H$3,0,0,'Données projet'!$E$9+1,1))</f>
        <v>287.52077437571728</v>
      </c>
      <c r="T115" s="59">
        <f t="shared" si="88"/>
        <v>420.95891230839874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16.383600820710722</v>
      </c>
      <c r="AA115" s="21">
        <f>EXP(-LN(2)/25)*AA114+(1-EXP(-LN(2)/25))/(LN(2)/25)*Calculateur!V115*Calculateur!X115*VLOOKUP('Données projet'!$B$9,Paramètres!$A$1:$I$89,3,0)*0.475*44/12</f>
        <v>19.42155697117796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35.805157791888682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2.2737367544323206E-13</v>
      </c>
      <c r="O116" s="13">
        <f>N116*VLOOKUP('Données projet'!$B$9,Paramètres!$A$1:$I$89,3,0)*VLOOKUP('Données projet'!$B$9,Paramètres!$A$1:$I$89,5,0)</f>
        <v>1.3596945791505279E-13</v>
      </c>
      <c r="P116" s="13">
        <f t="shared" si="87"/>
        <v>1.9708830566360721E-12</v>
      </c>
      <c r="Q116" s="20">
        <f t="shared" si="107"/>
        <v>3.669434796176543E-12</v>
      </c>
      <c r="R116" s="59">
        <f t="shared" si="55"/>
        <v>293.33333333333701</v>
      </c>
      <c r="S116" s="59">
        <f ca="1">AVERAGE(OFFSET($R$3,0,0,'Données projet'!$E$9+1,1))-AVERAGE(OFFSET($H$3,0,0,'Données projet'!$E$9+1,1))</f>
        <v>287.52077437571728</v>
      </c>
      <c r="T116" s="59">
        <f t="shared" si="88"/>
        <v>420.95891230839874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16.062328401626356</v>
      </c>
      <c r="AA116" s="21">
        <f>EXP(-LN(2)/25)*AA115+(1-EXP(-LN(2)/25))/(LN(2)/25)*Calculateur!V116*Calculateur!X116*VLOOKUP('Données projet'!$B$9,Paramètres!$A$1:$I$89,3,0)*0.475*44/12</f>
        <v>18.890473474465807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34.952801876092167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2.2737367544323206E-13</v>
      </c>
      <c r="O117" s="13">
        <f>N117*VLOOKUP('Données projet'!$B$9,Paramètres!$A$1:$I$89,3,0)*VLOOKUP('Données projet'!$B$9,Paramètres!$A$1:$I$89,5,0)</f>
        <v>1.3596945791505279E-13</v>
      </c>
      <c r="P117" s="13">
        <f t="shared" si="87"/>
        <v>1.9708830566360721E-12</v>
      </c>
      <c r="Q117" s="20">
        <f t="shared" si="107"/>
        <v>3.669434796176543E-12</v>
      </c>
      <c r="R117" s="59">
        <f t="shared" si="55"/>
        <v>293.33333333333701</v>
      </c>
      <c r="S117" s="59">
        <f ca="1">AVERAGE(OFFSET($R$3,0,0,'Données projet'!$E$9+1,1))-AVERAGE(OFFSET($H$3,0,0,'Données projet'!$E$9+1,1))</f>
        <v>287.52077437571728</v>
      </c>
      <c r="T117" s="59">
        <f t="shared" si="88"/>
        <v>420.95891230839874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15.747355938723409</v>
      </c>
      <c r="AA117" s="21">
        <f>EXP(-LN(2)/25)*AA116+(1-EXP(-LN(2)/25))/(LN(2)/25)*Calculateur!V117*Calculateur!X117*VLOOKUP('Données projet'!$B$9,Paramètres!$A$1:$I$89,3,0)*0.475*44/12</f>
        <v>18.373912483899716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34.121268422623125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2.2737367544323206E-13</v>
      </c>
      <c r="O118" s="13">
        <f>N118*VLOOKUP('Données projet'!$B$9,Paramètres!$A$1:$I$89,3,0)*VLOOKUP('Données projet'!$B$9,Paramètres!$A$1:$I$89,5,0)</f>
        <v>1.3596945791505279E-13</v>
      </c>
      <c r="P118" s="13">
        <f t="shared" si="87"/>
        <v>1.9708830566360721E-12</v>
      </c>
      <c r="Q118" s="20">
        <f t="shared" si="107"/>
        <v>3.669434796176543E-12</v>
      </c>
      <c r="R118" s="59">
        <f t="shared" si="55"/>
        <v>293.33333333333701</v>
      </c>
      <c r="S118" s="59">
        <f ca="1">AVERAGE(OFFSET($R$3,0,0,'Données projet'!$E$9+1,1))-AVERAGE(OFFSET($H$3,0,0,'Données projet'!$E$9+1,1))</f>
        <v>287.52077437571728</v>
      </c>
      <c r="T118" s="59">
        <f t="shared" si="88"/>
        <v>420.95891230839874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15.438559893703756</v>
      </c>
      <c r="AA118" s="21">
        <f>EXP(-LN(2)/25)*AA117+(1-EXP(-LN(2)/25))/(LN(2)/25)*Calculateur!V118*Calculateur!X118*VLOOKUP('Données projet'!$B$9,Paramètres!$A$1:$I$89,3,0)*0.475*44/12</f>
        <v>17.871476880785416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33.31003677448917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2.2737367544323206E-13</v>
      </c>
      <c r="O119" s="13">
        <f>N119*VLOOKUP('Données projet'!$B$9,Paramètres!$A$1:$I$89,3,0)*VLOOKUP('Données projet'!$B$9,Paramètres!$A$1:$I$89,5,0)</f>
        <v>1.3596945791505279E-13</v>
      </c>
      <c r="P119" s="13">
        <f t="shared" si="87"/>
        <v>1.9708830566360721E-12</v>
      </c>
      <c r="Q119" s="20">
        <f t="shared" si="107"/>
        <v>3.669434796176543E-12</v>
      </c>
      <c r="R119" s="59">
        <f t="shared" si="55"/>
        <v>293.33333333333701</v>
      </c>
      <c r="S119" s="59">
        <f ca="1">AVERAGE(OFFSET($R$3,0,0,'Données projet'!$E$9+1,1))-AVERAGE(OFFSET($H$3,0,0,'Données projet'!$E$9+1,1))</f>
        <v>287.52077437571728</v>
      </c>
      <c r="T119" s="59">
        <f t="shared" si="88"/>
        <v>420.95891230839874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15.13581915077995</v>
      </c>
      <c r="AA119" s="21">
        <f>EXP(-LN(2)/25)*AA118+(1-EXP(-LN(2)/25))/(LN(2)/25)*Calculateur!V119*Calculateur!X119*VLOOKUP('Données projet'!$B$9,Paramètres!$A$1:$I$89,3,0)*0.475*44/12</f>
        <v>17.382780405660213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32.518599556440165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2.2737367544323206E-13</v>
      </c>
      <c r="O120" s="13">
        <f>N120*VLOOKUP('Données projet'!$B$9,Paramètres!$A$1:$I$89,3,0)*VLOOKUP('Données projet'!$B$9,Paramètres!$A$1:$I$89,5,0)</f>
        <v>1.3596945791505279E-13</v>
      </c>
      <c r="P120" s="13">
        <f t="shared" si="87"/>
        <v>1.9708830566360721E-12</v>
      </c>
      <c r="Q120" s="20">
        <f t="shared" si="107"/>
        <v>3.669434796176543E-12</v>
      </c>
      <c r="R120" s="59">
        <f t="shared" si="55"/>
        <v>293.33333333333701</v>
      </c>
      <c r="S120" s="59">
        <f ca="1">AVERAGE(OFFSET($R$3,0,0,'Données projet'!$E$9+1,1))-AVERAGE(OFFSET($H$3,0,0,'Données projet'!$E$9+1,1))</f>
        <v>287.52077437571728</v>
      </c>
      <c r="T120" s="59">
        <f t="shared" si="88"/>
        <v>420.95891230839874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14.839014969171259</v>
      </c>
      <c r="AA120" s="21">
        <f>EXP(-LN(2)/25)*AA119+(1-EXP(-LN(2)/25))/(LN(2)/25)*Calculateur!V120*Calculateur!X120*VLOOKUP('Données projet'!$B$9,Paramètres!$A$1:$I$89,3,0)*0.475*44/12</f>
        <v>16.90744736134674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31.746462330518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2.2737367544323206E-13</v>
      </c>
      <c r="O121" s="13">
        <f>N121*VLOOKUP('Données projet'!$B$9,Paramètres!$A$1:$I$89,3,0)*VLOOKUP('Données projet'!$B$9,Paramètres!$A$1:$I$89,5,0)</f>
        <v>1.3596945791505279E-13</v>
      </c>
      <c r="P121" s="13">
        <f t="shared" si="87"/>
        <v>1.9708830566360721E-12</v>
      </c>
      <c r="Q121" s="20">
        <f t="shared" si="107"/>
        <v>3.669434796176543E-12</v>
      </c>
      <c r="R121" s="59">
        <f t="shared" si="55"/>
        <v>293.33333333333701</v>
      </c>
      <c r="S121" s="59">
        <f ca="1">AVERAGE(OFFSET($R$3,0,0,'Données projet'!$E$9+1,1))-AVERAGE(OFFSET($H$3,0,0,'Données projet'!$E$9+1,1))</f>
        <v>287.52077437571728</v>
      </c>
      <c r="T121" s="59">
        <f t="shared" si="88"/>
        <v>420.95891230839874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14.548030936531239</v>
      </c>
      <c r="AA121" s="21">
        <f>EXP(-LN(2)/25)*AA120+(1-EXP(-LN(2)/25))/(LN(2)/25)*Calculateur!V121*Calculateur!X121*VLOOKUP('Données projet'!$B$9,Paramètres!$A$1:$I$89,3,0)*0.475*44/12</f>
        <v>16.445112324126701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30.993143260657938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2.2737367544323206E-13</v>
      </c>
      <c r="O122" s="13">
        <f>N122*VLOOKUP('Données projet'!$B$9,Paramètres!$A$1:$I$89,3,0)*VLOOKUP('Données projet'!$B$9,Paramètres!$A$1:$I$89,5,0)</f>
        <v>1.3596945791505279E-13</v>
      </c>
      <c r="P122" s="13">
        <f t="shared" si="87"/>
        <v>1.9708830566360721E-12</v>
      </c>
      <c r="Q122" s="20">
        <f t="shared" si="107"/>
        <v>3.669434796176543E-12</v>
      </c>
      <c r="R122" s="59">
        <f t="shared" si="55"/>
        <v>293.33333333333701</v>
      </c>
      <c r="S122" s="59">
        <f ca="1">AVERAGE(OFFSET($R$3,0,0,'Données projet'!$E$9+1,1))-AVERAGE(OFFSET($H$3,0,0,'Données projet'!$E$9+1,1))</f>
        <v>287.52077437571728</v>
      </c>
      <c r="T122" s="59">
        <f t="shared" si="88"/>
        <v>420.95891230839874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14.262752923288556</v>
      </c>
      <c r="AA122" s="21">
        <f>EXP(-LN(2)/25)*AA121+(1-EXP(-LN(2)/25))/(LN(2)/25)*Calculateur!V122*Calculateur!X122*VLOOKUP('Données projet'!$B$9,Paramètres!$A$1:$I$89,3,0)*0.475*44/12</f>
        <v>15.995419862812584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30.258172786101142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2.2737367544323206E-13</v>
      </c>
      <c r="O123" s="13">
        <f>N123*VLOOKUP('Données projet'!$B$9,Paramètres!$A$1:$I$89,3,0)*VLOOKUP('Données projet'!$B$9,Paramètres!$A$1:$I$89,5,0)</f>
        <v>1.3596945791505279E-13</v>
      </c>
      <c r="P123" s="13">
        <f t="shared" si="87"/>
        <v>1.9708830566360721E-12</v>
      </c>
      <c r="Q123" s="20">
        <f t="shared" si="107"/>
        <v>3.669434796176543E-12</v>
      </c>
      <c r="R123" s="59">
        <f t="shared" si="55"/>
        <v>293.33333333333701</v>
      </c>
      <c r="S123" s="59">
        <f ca="1">AVERAGE(OFFSET($R$3,0,0,'Données projet'!$E$9+1,1))-AVERAGE(OFFSET($H$3,0,0,'Données projet'!$E$9+1,1))</f>
        <v>287.52077437571728</v>
      </c>
      <c r="T123" s="59">
        <f t="shared" si="88"/>
        <v>420.95891230839874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13.983069037883155</v>
      </c>
      <c r="AA123" s="21">
        <f>EXP(-LN(2)/25)*AA122+(1-EXP(-LN(2)/25))/(LN(2)/25)*Calculateur!V123*Calculateur!X123*VLOOKUP('Données projet'!$B$9,Paramètres!$A$1:$I$89,3,0)*0.475*44/12</f>
        <v>15.558024265501402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29.541093303384557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2.2737367544323206E-13</v>
      </c>
      <c r="O124" s="13">
        <f>N124*VLOOKUP('Données projet'!$B$9,Paramètres!$A$1:$I$89,3,0)*VLOOKUP('Données projet'!$B$9,Paramètres!$A$1:$I$89,5,0)</f>
        <v>1.3596945791505279E-13</v>
      </c>
      <c r="P124" s="13">
        <f t="shared" si="87"/>
        <v>1.9708830566360721E-12</v>
      </c>
      <c r="Q124" s="20">
        <f t="shared" si="107"/>
        <v>3.669434796176543E-12</v>
      </c>
      <c r="R124" s="59">
        <f t="shared" si="55"/>
        <v>293.33333333333701</v>
      </c>
      <c r="S124" s="59">
        <f ca="1">AVERAGE(OFFSET($R$3,0,0,'Données projet'!$E$9+1,1))-AVERAGE(OFFSET($H$3,0,0,'Données projet'!$E$9+1,1))</f>
        <v>287.52077437571728</v>
      </c>
      <c r="T124" s="59">
        <f t="shared" si="88"/>
        <v>420.95891230839874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13.708869582880228</v>
      </c>
      <c r="AA124" s="21">
        <f>EXP(-LN(2)/25)*AA123+(1-EXP(-LN(2)/25))/(LN(2)/25)*Calculateur!V124*Calculateur!X124*VLOOKUP('Données projet'!$B$9,Paramètres!$A$1:$I$89,3,0)*0.475*44/12</f>
        <v>15.132589273800328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28.841458856680553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2.2737367544323206E-13</v>
      </c>
      <c r="O125" s="13">
        <f>N125*VLOOKUP('Données projet'!$B$9,Paramètres!$A$1:$I$89,3,0)*VLOOKUP('Données projet'!$B$9,Paramètres!$A$1:$I$89,5,0)</f>
        <v>1.3596945791505279E-13</v>
      </c>
      <c r="P125" s="13">
        <f t="shared" si="87"/>
        <v>1.9708830566360721E-12</v>
      </c>
      <c r="Q125" s="20">
        <f t="shared" si="107"/>
        <v>3.669434796176543E-12</v>
      </c>
      <c r="R125" s="59">
        <f t="shared" si="55"/>
        <v>293.33333333333701</v>
      </c>
      <c r="S125" s="59">
        <f ca="1">AVERAGE(OFFSET($R$3,0,0,'Données projet'!$E$9+1,1))-AVERAGE(OFFSET($H$3,0,0,'Données projet'!$E$9+1,1))</f>
        <v>287.52077437571728</v>
      </c>
      <c r="T125" s="59">
        <f t="shared" si="88"/>
        <v>420.95891230839874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13.440047011944754</v>
      </c>
      <c r="AA125" s="21">
        <f>EXP(-LN(2)/25)*AA124+(1-EXP(-LN(2)/25))/(LN(2)/25)*Calculateur!V125*Calculateur!X125*VLOOKUP('Données projet'!$B$9,Paramètres!$A$1:$I$89,3,0)*0.475*44/12</f>
        <v>14.718787824319973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28.158834836264727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2.2737367544323206E-13</v>
      </c>
      <c r="O126" s="13">
        <f>N126*VLOOKUP('Données projet'!$B$9,Paramètres!$A$1:$I$89,3,0)*VLOOKUP('Données projet'!$B$9,Paramètres!$A$1:$I$89,5,0)</f>
        <v>1.3596945791505279E-13</v>
      </c>
      <c r="P126" s="13">
        <f t="shared" si="87"/>
        <v>1.9708830566360721E-12</v>
      </c>
      <c r="Q126" s="20">
        <f t="shared" si="107"/>
        <v>3.669434796176543E-12</v>
      </c>
      <c r="R126" s="59">
        <f t="shared" si="55"/>
        <v>293.33333333333701</v>
      </c>
      <c r="S126" s="59">
        <f ca="1">AVERAGE(OFFSET($R$3,0,0,'Données projet'!$E$9+1,1))-AVERAGE(OFFSET($H$3,0,0,'Données projet'!$E$9+1,1))</f>
        <v>287.52077437571728</v>
      </c>
      <c r="T126" s="59">
        <f t="shared" si="88"/>
        <v>420.95891230839874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13.176495887659748</v>
      </c>
      <c r="AA126" s="21">
        <f>EXP(-LN(2)/25)*AA125+(1-EXP(-LN(2)/25))/(LN(2)/25)*Calculateur!V126*Calculateur!X126*VLOOKUP('Données projet'!$B$9,Paramètres!$A$1:$I$89,3,0)*0.475*44/12</f>
        <v>14.316301797236532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27.492797684896281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2.2737367544323206E-13</v>
      </c>
      <c r="O127" s="13">
        <f>N127*VLOOKUP('Données projet'!$B$9,Paramètres!$A$1:$I$89,3,0)*VLOOKUP('Données projet'!$B$9,Paramètres!$A$1:$I$89,5,0)</f>
        <v>1.3596945791505279E-13</v>
      </c>
      <c r="P127" s="13">
        <f t="shared" si="87"/>
        <v>1.9708830566360721E-12</v>
      </c>
      <c r="Q127" s="20">
        <f t="shared" si="107"/>
        <v>3.669434796176543E-12</v>
      </c>
      <c r="R127" s="59">
        <f t="shared" si="55"/>
        <v>293.33333333333701</v>
      </c>
      <c r="S127" s="59">
        <f ca="1">AVERAGE(OFFSET($R$3,0,0,'Données projet'!$E$9+1,1))-AVERAGE(OFFSET($H$3,0,0,'Données projet'!$E$9+1,1))</f>
        <v>287.52077437571728</v>
      </c>
      <c r="T127" s="59">
        <f t="shared" si="88"/>
        <v>420.95891230839874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12.918112840171656</v>
      </c>
      <c r="AA127" s="21">
        <f>EXP(-LN(2)/25)*AA126+(1-EXP(-LN(2)/25))/(LN(2)/25)*Calculateur!V127*Calculateur!X127*VLOOKUP('Données projet'!$B$9,Paramètres!$A$1:$I$89,3,0)*0.475*44/12</f>
        <v>13.924821771729508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26.842934611901164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2.2737367544323206E-13</v>
      </c>
      <c r="O128" s="13">
        <f>N128*VLOOKUP('Données projet'!$B$9,Paramètres!$A$1:$I$89,3,0)*VLOOKUP('Données projet'!$B$9,Paramètres!$A$1:$I$89,5,0)</f>
        <v>1.3596945791505279E-13</v>
      </c>
      <c r="P128" s="13">
        <f t="shared" si="87"/>
        <v>1.9708830566360721E-12</v>
      </c>
      <c r="Q128" s="20">
        <f t="shared" si="107"/>
        <v>3.669434796176543E-12</v>
      </c>
      <c r="R128" s="59">
        <f t="shared" si="55"/>
        <v>293.33333333333701</v>
      </c>
      <c r="S128" s="59">
        <f ca="1">AVERAGE(OFFSET($R$3,0,0,'Données projet'!$E$9+1,1))-AVERAGE(OFFSET($H$3,0,0,'Données projet'!$E$9+1,1))</f>
        <v>287.52077437571728</v>
      </c>
      <c r="T128" s="59">
        <f t="shared" si="88"/>
        <v>420.95891230839874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12.664796526646709</v>
      </c>
      <c r="AA128" s="21">
        <f>EXP(-LN(2)/25)*AA127+(1-EXP(-LN(2)/25))/(LN(2)/25)*Calculateur!V128*Calculateur!X128*VLOOKUP('Données projet'!$B$9,Paramètres!$A$1:$I$89,3,0)*0.475*44/12</f>
        <v>13.544046788107014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26.208843314753722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2.2737367544323206E-13</v>
      </c>
      <c r="O129" s="13">
        <f>N129*VLOOKUP('Données projet'!$B$9,Paramètres!$A$1:$I$89,3,0)*VLOOKUP('Données projet'!$B$9,Paramètres!$A$1:$I$89,5,0)</f>
        <v>1.3596945791505279E-13</v>
      </c>
      <c r="P129" s="13">
        <f t="shared" si="87"/>
        <v>1.9708830566360721E-12</v>
      </c>
      <c r="Q129" s="20">
        <f t="shared" si="107"/>
        <v>3.669434796176543E-12</v>
      </c>
      <c r="R129" s="59">
        <f t="shared" si="55"/>
        <v>293.33333333333701</v>
      </c>
      <c r="S129" s="59">
        <f ca="1">AVERAGE(OFFSET($R$3,0,0,'Données projet'!$E$9+1,1))-AVERAGE(OFFSET($H$3,0,0,'Données projet'!$E$9+1,1))</f>
        <v>287.52077437571728</v>
      </c>
      <c r="T129" s="59">
        <f t="shared" si="88"/>
        <v>420.95891230839874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12.416447591522292</v>
      </c>
      <c r="AA129" s="21">
        <f>EXP(-LN(2)/25)*AA128+(1-EXP(-LN(2)/25))/(LN(2)/25)*Calculateur!V129*Calculateur!X129*VLOOKUP('Données projet'!$B$9,Paramètres!$A$1:$I$89,3,0)*0.475*44/12</f>
        <v>13.173684116435762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25.590131707958054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2.2737367544323206E-13</v>
      </c>
      <c r="O130" s="13">
        <f>N130*VLOOKUP('Données projet'!$B$9,Paramètres!$A$1:$I$89,3,0)*VLOOKUP('Données projet'!$B$9,Paramètres!$A$1:$I$89,5,0)</f>
        <v>1.3596945791505279E-13</v>
      </c>
      <c r="P130" s="13">
        <f t="shared" si="87"/>
        <v>1.9708830566360721E-12</v>
      </c>
      <c r="Q130" s="20">
        <f t="shared" si="107"/>
        <v>3.669434796176543E-12</v>
      </c>
      <c r="R130" s="59">
        <f t="shared" si="55"/>
        <v>293.33333333333701</v>
      </c>
      <c r="S130" s="59">
        <f ca="1">AVERAGE(OFFSET($R$3,0,0,'Données projet'!$E$9+1,1))-AVERAGE(OFFSET($H$3,0,0,'Données projet'!$E$9+1,1))</f>
        <v>287.52077437571728</v>
      </c>
      <c r="T130" s="59">
        <f t="shared" si="88"/>
        <v>420.95891230839874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12.172968627537772</v>
      </c>
      <c r="AA130" s="21">
        <f>EXP(-LN(2)/25)*AA129+(1-EXP(-LN(2)/25))/(LN(2)/25)*Calculateur!V130*Calculateur!X130*VLOOKUP('Données projet'!$B$9,Paramètres!$A$1:$I$89,3,0)*0.475*44/12</f>
        <v>12.813449031497887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24.986417659035659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2.2737367544323206E-13</v>
      </c>
      <c r="O131" s="13">
        <f>N131*VLOOKUP('Données projet'!$B$9,Paramètres!$A$1:$I$89,3,0)*VLOOKUP('Données projet'!$B$9,Paramètres!$A$1:$I$89,5,0)</f>
        <v>1.3596945791505279E-13</v>
      </c>
      <c r="P131" s="13">
        <f t="shared" si="87"/>
        <v>1.9708830566360721E-12</v>
      </c>
      <c r="Q131" s="20">
        <f t="shared" ref="Q131:Q153" si="108">(O131+P131)*0.475*44/12</f>
        <v>3.669434796176543E-12</v>
      </c>
      <c r="R131" s="59">
        <f t="shared" ref="R131:R194" si="109">Q131+(I131+J131)*44/12</f>
        <v>293.33333333333701</v>
      </c>
      <c r="S131" s="59">
        <f ca="1">AVERAGE(OFFSET($R$3,0,0,'Données projet'!$E$9+1,1))-AVERAGE(OFFSET($H$3,0,0,'Données projet'!$E$9+1,1))</f>
        <v>287.52077437571728</v>
      </c>
      <c r="T131" s="59">
        <f t="shared" si="88"/>
        <v>420.95891230839874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11.934264137529484</v>
      </c>
      <c r="AA131" s="21">
        <f>EXP(-LN(2)/25)*AA130+(1-EXP(-LN(2)/25))/(LN(2)/25)*Calculateur!V131*Calculateur!X131*VLOOKUP('Données projet'!$B$9,Paramètres!$A$1:$I$89,3,0)*0.475*44/12</f>
        <v>12.463064593901578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24.39732873143106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2.2737367544323206E-13</v>
      </c>
      <c r="O132" s="13">
        <f>N132*VLOOKUP('Données projet'!$B$9,Paramètres!$A$1:$I$89,3,0)*VLOOKUP('Données projet'!$B$9,Paramètres!$A$1:$I$89,5,0)</f>
        <v>1.3596945791505279E-13</v>
      </c>
      <c r="P132" s="13">
        <f t="shared" si="87"/>
        <v>1.9708830566360721E-12</v>
      </c>
      <c r="Q132" s="20">
        <f t="shared" si="108"/>
        <v>3.669434796176543E-12</v>
      </c>
      <c r="R132" s="59">
        <f t="shared" si="109"/>
        <v>293.33333333333701</v>
      </c>
      <c r="S132" s="59">
        <f ca="1">AVERAGE(OFFSET($R$3,0,0,'Données projet'!$E$9+1,1))-AVERAGE(OFFSET($H$3,0,0,'Données projet'!$E$9+1,1))</f>
        <v>287.52077437571728</v>
      </c>
      <c r="T132" s="59">
        <f t="shared" si="88"/>
        <v>420.95891230839874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11.700240496974894</v>
      </c>
      <c r="AA132" s="21">
        <f>EXP(-LN(2)/25)*AA131+(1-EXP(-LN(2)/25))/(LN(2)/25)*Calculateur!V132*Calculateur!X132*VLOOKUP('Données projet'!$B$9,Paramètres!$A$1:$I$89,3,0)*0.475*44/12</f>
        <v>12.122261437177256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23.82250193415215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2.2737367544323206E-13</v>
      </c>
      <c r="O133" s="13">
        <f>N133*VLOOKUP('Données projet'!$B$9,Paramètres!$A$1:$I$89,3,0)*VLOOKUP('Données projet'!$B$9,Paramètres!$A$1:$I$89,5,0)</f>
        <v>1.3596945791505279E-13</v>
      </c>
      <c r="P133" s="13">
        <f t="shared" ref="P133:P196" si="141">EXP(-1.0587+0.8836*LN(O133)+0.284)</f>
        <v>1.9708830566360721E-12</v>
      </c>
      <c r="Q133" s="20">
        <f t="shared" si="108"/>
        <v>3.669434796176543E-12</v>
      </c>
      <c r="R133" s="59">
        <f t="shared" si="109"/>
        <v>293.33333333333701</v>
      </c>
      <c r="S133" s="59">
        <f ca="1">AVERAGE(OFFSET($R$3,0,0,'Données projet'!$E$9+1,1))-AVERAGE(OFFSET($H$3,0,0,'Données projet'!$E$9+1,1))</f>
        <v>287.52077437571728</v>
      </c>
      <c r="T133" s="59">
        <f t="shared" ref="T133:T196" si="142">$T$3</f>
        <v>420.95891230839874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11.470805917271255</v>
      </c>
      <c r="AA133" s="21">
        <f>EXP(-LN(2)/25)*AA132+(1-EXP(-LN(2)/25))/(LN(2)/25)*Calculateur!V133*Calculateur!X133*VLOOKUP('Données projet'!$B$9,Paramètres!$A$1:$I$89,3,0)*0.475*44/12</f>
        <v>11.79077756069562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23.261583477966873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2.2737367544323206E-13</v>
      </c>
      <c r="O134" s="13">
        <f>N134*VLOOKUP('Données projet'!$B$9,Paramètres!$A$1:$I$89,3,0)*VLOOKUP('Données projet'!$B$9,Paramètres!$A$1:$I$89,5,0)</f>
        <v>1.3596945791505279E-13</v>
      </c>
      <c r="P134" s="13">
        <f t="shared" si="141"/>
        <v>1.9708830566360721E-12</v>
      </c>
      <c r="Q134" s="20">
        <f t="shared" si="108"/>
        <v>3.669434796176543E-12</v>
      </c>
      <c r="R134" s="59">
        <f t="shared" si="109"/>
        <v>293.33333333333701</v>
      </c>
      <c r="S134" s="59">
        <f ca="1">AVERAGE(OFFSET($R$3,0,0,'Données projet'!$E$9+1,1))-AVERAGE(OFFSET($H$3,0,0,'Données projet'!$E$9+1,1))</f>
        <v>287.52077437571728</v>
      </c>
      <c r="T134" s="59">
        <f t="shared" si="142"/>
        <v>420.95891230839874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11.245870409734328</v>
      </c>
      <c r="AA134" s="21">
        <f>EXP(-LN(2)/25)*AA133+(1-EXP(-LN(2)/25))/(LN(2)/25)*Calculateur!V134*Calculateur!X134*VLOOKUP('Données projet'!$B$9,Paramètres!$A$1:$I$89,3,0)*0.475*44/12</f>
        <v>11.468358128248354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22.714228537982684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2.2737367544323206E-13</v>
      </c>
      <c r="O135" s="13">
        <f>N135*VLOOKUP('Données projet'!$B$9,Paramètres!$A$1:$I$89,3,0)*VLOOKUP('Données projet'!$B$9,Paramètres!$A$1:$I$89,5,0)</f>
        <v>1.3596945791505279E-13</v>
      </c>
      <c r="P135" s="13">
        <f t="shared" si="141"/>
        <v>1.9708830566360721E-12</v>
      </c>
      <c r="Q135" s="20">
        <f t="shared" si="108"/>
        <v>3.669434796176543E-12</v>
      </c>
      <c r="R135" s="59">
        <f t="shared" si="109"/>
        <v>293.33333333333701</v>
      </c>
      <c r="S135" s="59">
        <f ca="1">AVERAGE(OFFSET($R$3,0,0,'Données projet'!$E$9+1,1))-AVERAGE(OFFSET($H$3,0,0,'Données projet'!$E$9+1,1))</f>
        <v>287.52077437571728</v>
      </c>
      <c r="T135" s="59">
        <f t="shared" si="142"/>
        <v>420.95891230839874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11.025345750303089</v>
      </c>
      <c r="AA135" s="21">
        <f>EXP(-LN(2)/25)*AA134+(1-EXP(-LN(2)/25))/(LN(2)/25)*Calculateur!V135*Calculateur!X135*VLOOKUP('Données projet'!$B$9,Paramètres!$A$1:$I$89,3,0)*0.475*44/12</f>
        <v>11.15475527213666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22.18010102243975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2.2737367544323206E-13</v>
      </c>
      <c r="O136" s="13">
        <f>N136*VLOOKUP('Données projet'!$B$9,Paramètres!$A$1:$I$89,3,0)*VLOOKUP('Données projet'!$B$9,Paramètres!$A$1:$I$89,5,0)</f>
        <v>1.3596945791505279E-13</v>
      </c>
      <c r="P136" s="13">
        <f t="shared" si="141"/>
        <v>1.9708830566360721E-12</v>
      </c>
      <c r="Q136" s="20">
        <f t="shared" si="108"/>
        <v>3.669434796176543E-12</v>
      </c>
      <c r="R136" s="59">
        <f t="shared" si="109"/>
        <v>293.33333333333701</v>
      </c>
      <c r="S136" s="59">
        <f ca="1">AVERAGE(OFFSET($R$3,0,0,'Données projet'!$E$9+1,1))-AVERAGE(OFFSET($H$3,0,0,'Données projet'!$E$9+1,1))</f>
        <v>287.52077437571728</v>
      </c>
      <c r="T136" s="59">
        <f t="shared" si="142"/>
        <v>420.95891230839874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10.809145444936535</v>
      </c>
      <c r="AA136" s="21">
        <f>EXP(-LN(2)/25)*AA135+(1-EXP(-LN(2)/25))/(LN(2)/25)*Calculateur!V136*Calculateur!X136*VLOOKUP('Données projet'!$B$9,Paramètres!$A$1:$I$89,3,0)*0.475*44/12</f>
        <v>10.849727902616998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21.658873347553531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2.2737367544323206E-13</v>
      </c>
      <c r="O137" s="13">
        <f>N137*VLOOKUP('Données projet'!$B$9,Paramètres!$A$1:$I$89,3,0)*VLOOKUP('Données projet'!$B$9,Paramètres!$A$1:$I$89,5,0)</f>
        <v>1.3596945791505279E-13</v>
      </c>
      <c r="P137" s="13">
        <f t="shared" si="141"/>
        <v>1.9708830566360721E-12</v>
      </c>
      <c r="Q137" s="20">
        <f t="shared" si="108"/>
        <v>3.669434796176543E-12</v>
      </c>
      <c r="R137" s="59">
        <f t="shared" si="109"/>
        <v>293.33333333333701</v>
      </c>
      <c r="S137" s="59">
        <f ca="1">AVERAGE(OFFSET($R$3,0,0,'Données projet'!$E$9+1,1))-AVERAGE(OFFSET($H$3,0,0,'Données projet'!$E$9+1,1))</f>
        <v>287.52077437571728</v>
      </c>
      <c r="T137" s="59">
        <f t="shared" si="142"/>
        <v>420.95891230839874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10.597184695689053</v>
      </c>
      <c r="AA137" s="21">
        <f>EXP(-LN(2)/25)*AA136+(1-EXP(-LN(2)/25))/(LN(2)/25)*Calculateur!V137*Calculateur!X137*VLOOKUP('Données projet'!$B$9,Paramètres!$A$1:$I$89,3,0)*0.475*44/12</f>
        <v>10.553041522557542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21.150226218246594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2.2737367544323206E-13</v>
      </c>
      <c r="O138" s="13">
        <f>N138*VLOOKUP('Données projet'!$B$9,Paramètres!$A$1:$I$89,3,0)*VLOOKUP('Données projet'!$B$9,Paramètres!$A$1:$I$89,5,0)</f>
        <v>1.3596945791505279E-13</v>
      </c>
      <c r="P138" s="13">
        <f t="shared" si="141"/>
        <v>1.9708830566360721E-12</v>
      </c>
      <c r="Q138" s="20">
        <f t="shared" si="108"/>
        <v>3.669434796176543E-12</v>
      </c>
      <c r="R138" s="59">
        <f t="shared" si="109"/>
        <v>293.33333333333701</v>
      </c>
      <c r="S138" s="59">
        <f ca="1">AVERAGE(OFFSET($R$3,0,0,'Données projet'!$E$9+1,1))-AVERAGE(OFFSET($H$3,0,0,'Données projet'!$E$9+1,1))</f>
        <v>287.52077437571728</v>
      </c>
      <c r="T138" s="59">
        <f t="shared" si="142"/>
        <v>420.95891230839874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10.389380367451023</v>
      </c>
      <c r="AA138" s="21">
        <f>EXP(-LN(2)/25)*AA137+(1-EXP(-LN(2)/25))/(LN(2)/25)*Calculateur!V138*Calculateur!X138*VLOOKUP('Données projet'!$B$9,Paramètres!$A$1:$I$89,3,0)*0.475*44/12</f>
        <v>10.264468047162872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20.653848414613897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2.2737367544323206E-13</v>
      </c>
      <c r="O139" s="13">
        <f>N139*VLOOKUP('Données projet'!$B$9,Paramètres!$A$1:$I$89,3,0)*VLOOKUP('Données projet'!$B$9,Paramètres!$A$1:$I$89,5,0)</f>
        <v>1.3596945791505279E-13</v>
      </c>
      <c r="P139" s="13">
        <f t="shared" si="141"/>
        <v>1.9708830566360721E-12</v>
      </c>
      <c r="Q139" s="20">
        <f t="shared" si="108"/>
        <v>3.669434796176543E-12</v>
      </c>
      <c r="R139" s="59">
        <f t="shared" si="109"/>
        <v>293.33333333333701</v>
      </c>
      <c r="S139" s="59">
        <f ca="1">AVERAGE(OFFSET($R$3,0,0,'Données projet'!$E$9+1,1))-AVERAGE(OFFSET($H$3,0,0,'Données projet'!$E$9+1,1))</f>
        <v>287.52077437571728</v>
      </c>
      <c r="T139" s="59">
        <f t="shared" si="142"/>
        <v>420.95891230839874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10.185650955341616</v>
      </c>
      <c r="AA139" s="21">
        <f>EXP(-LN(2)/25)*AA138+(1-EXP(-LN(2)/25))/(LN(2)/25)*Calculateur!V139*Calculateur!X139*VLOOKUP('Données projet'!$B$9,Paramètres!$A$1:$I$89,3,0)*0.475*44/12</f>
        <v>9.9837856286282882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20.169436583969905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2.2737367544323206E-13</v>
      </c>
      <c r="O140" s="13">
        <f>N140*VLOOKUP('Données projet'!$B$9,Paramètres!$A$1:$I$89,3,0)*VLOOKUP('Données projet'!$B$9,Paramètres!$A$1:$I$89,5,0)</f>
        <v>1.3596945791505279E-13</v>
      </c>
      <c r="P140" s="13">
        <f t="shared" si="141"/>
        <v>1.9708830566360721E-12</v>
      </c>
      <c r="Q140" s="20">
        <f t="shared" si="108"/>
        <v>3.669434796176543E-12</v>
      </c>
      <c r="R140" s="59">
        <f t="shared" si="109"/>
        <v>293.33333333333701</v>
      </c>
      <c r="S140" s="59">
        <f ca="1">AVERAGE(OFFSET($R$3,0,0,'Données projet'!$E$9+1,1))-AVERAGE(OFFSET($H$3,0,0,'Données projet'!$E$9+1,1))</f>
        <v>287.52077437571728</v>
      </c>
      <c r="T140" s="59">
        <f t="shared" si="142"/>
        <v>420.95891230839874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9.9859165527410028</v>
      </c>
      <c r="AA140" s="21">
        <f>EXP(-LN(2)/25)*AA139+(1-EXP(-LN(2)/25))/(LN(2)/25)*Calculateur!V140*Calculateur!X140*VLOOKUP('Données projet'!$B$9,Paramètres!$A$1:$I$89,3,0)*0.475*44/12</f>
        <v>9.71077848558898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19.696695038329985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2.2737367544323206E-13</v>
      </c>
      <c r="O141" s="13">
        <f>N141*VLOOKUP('Données projet'!$B$9,Paramètres!$A$1:$I$89,3,0)*VLOOKUP('Données projet'!$B$9,Paramètres!$A$1:$I$89,5,0)</f>
        <v>1.3596945791505279E-13</v>
      </c>
      <c r="P141" s="13">
        <f t="shared" si="141"/>
        <v>1.9708830566360721E-12</v>
      </c>
      <c r="Q141" s="20">
        <f t="shared" si="108"/>
        <v>3.669434796176543E-12</v>
      </c>
      <c r="R141" s="59">
        <f t="shared" si="109"/>
        <v>293.33333333333701</v>
      </c>
      <c r="S141" s="59">
        <f ca="1">AVERAGE(OFFSET($R$3,0,0,'Données projet'!$E$9+1,1))-AVERAGE(OFFSET($H$3,0,0,'Données projet'!$E$9+1,1))</f>
        <v>287.52077437571728</v>
      </c>
      <c r="T141" s="59">
        <f t="shared" si="142"/>
        <v>420.95891230839874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9.7900988199494314</v>
      </c>
      <c r="AA141" s="21">
        <f>EXP(-LN(2)/25)*AA140+(1-EXP(-LN(2)/25))/(LN(2)/25)*Calculateur!V141*Calculateur!X141*VLOOKUP('Données projet'!$B$9,Paramètres!$A$1:$I$89,3,0)*0.475*44/12</f>
        <v>9.4452367372329036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19.235335557182335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2.2737367544323206E-13</v>
      </c>
      <c r="O142" s="13">
        <f>N142*VLOOKUP('Données projet'!$B$9,Paramètres!$A$1:$I$89,3,0)*VLOOKUP('Données projet'!$B$9,Paramètres!$A$1:$I$89,5,0)</f>
        <v>1.3596945791505279E-13</v>
      </c>
      <c r="P142" s="13">
        <f t="shared" si="141"/>
        <v>1.9708830566360721E-12</v>
      </c>
      <c r="Q142" s="20">
        <f t="shared" si="108"/>
        <v>3.669434796176543E-12</v>
      </c>
      <c r="R142" s="59">
        <f t="shared" si="109"/>
        <v>293.33333333333701</v>
      </c>
      <c r="S142" s="59">
        <f ca="1">AVERAGE(OFFSET($R$3,0,0,'Données projet'!$E$9+1,1))-AVERAGE(OFFSET($H$3,0,0,'Données projet'!$E$9+1,1))</f>
        <v>287.52077437571728</v>
      </c>
      <c r="T142" s="59">
        <f t="shared" si="142"/>
        <v>420.95891230839874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9.5981209534608798</v>
      </c>
      <c r="AA142" s="21">
        <f>EXP(-LN(2)/25)*AA141+(1-EXP(-LN(2)/25))/(LN(2)/25)*Calculateur!V142*Calculateur!X142*VLOOKUP('Données projet'!$B$9,Paramètres!$A$1:$I$89,3,0)*0.475*44/12</f>
        <v>9.1869562419498578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18.785077195410736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2.2737367544323206E-13</v>
      </c>
      <c r="O143" s="13">
        <f>N143*VLOOKUP('Données projet'!$B$9,Paramètres!$A$1:$I$89,3,0)*VLOOKUP('Données projet'!$B$9,Paramètres!$A$1:$I$89,5,0)</f>
        <v>1.3596945791505279E-13</v>
      </c>
      <c r="P143" s="13">
        <f t="shared" si="141"/>
        <v>1.9708830566360721E-12</v>
      </c>
      <c r="Q143" s="20">
        <f t="shared" si="108"/>
        <v>3.669434796176543E-12</v>
      </c>
      <c r="R143" s="59">
        <f t="shared" si="109"/>
        <v>293.33333333333701</v>
      </c>
      <c r="S143" s="59">
        <f ca="1">AVERAGE(OFFSET($R$3,0,0,'Données projet'!$E$9+1,1))-AVERAGE(OFFSET($H$3,0,0,'Données projet'!$E$9+1,1))</f>
        <v>287.52077437571728</v>
      </c>
      <c r="T143" s="59">
        <f t="shared" si="142"/>
        <v>420.95891230839874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9.4099076558392323</v>
      </c>
      <c r="AA143" s="21">
        <f>EXP(-LN(2)/25)*AA142+(1-EXP(-LN(2)/25))/(LN(2)/25)*Calculateur!V143*Calculateur!X143*VLOOKUP('Données projet'!$B$9,Paramètres!$A$1:$I$89,3,0)*0.475*44/12</f>
        <v>8.9357384403927078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18.345646096231938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2.2737367544323206E-13</v>
      </c>
      <c r="O144" s="13">
        <f>N144*VLOOKUP('Données projet'!$B$9,Paramètres!$A$1:$I$89,3,0)*VLOOKUP('Données projet'!$B$9,Paramètres!$A$1:$I$89,5,0)</f>
        <v>1.3596945791505279E-13</v>
      </c>
      <c r="P144" s="13">
        <f t="shared" si="141"/>
        <v>1.9708830566360721E-12</v>
      </c>
      <c r="Q144" s="20">
        <f t="shared" si="108"/>
        <v>3.669434796176543E-12</v>
      </c>
      <c r="R144" s="59">
        <f t="shared" si="109"/>
        <v>293.33333333333701</v>
      </c>
      <c r="S144" s="59">
        <f ca="1">AVERAGE(OFFSET($R$3,0,0,'Données projet'!$E$9+1,1))-AVERAGE(OFFSET($H$3,0,0,'Données projet'!$E$9+1,1))</f>
        <v>287.52077437571728</v>
      </c>
      <c r="T144" s="59">
        <f t="shared" si="142"/>
        <v>420.95891230839874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9.2253851061851684</v>
      </c>
      <c r="AA144" s="21">
        <f>EXP(-LN(2)/25)*AA143+(1-EXP(-LN(2)/25))/(LN(2)/25)*Calculateur!V144*Calculateur!X144*VLOOKUP('Données projet'!$B$9,Paramètres!$A$1:$I$89,3,0)*0.475*44/12</f>
        <v>8.6913902028301067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17.916775309015275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2.2737367544323206E-13</v>
      </c>
      <c r="O145" s="13">
        <f>N145*VLOOKUP('Données projet'!$B$9,Paramètres!$A$1:$I$89,3,0)*VLOOKUP('Données projet'!$B$9,Paramètres!$A$1:$I$89,5,0)</f>
        <v>1.3596945791505279E-13</v>
      </c>
      <c r="P145" s="13">
        <f t="shared" si="141"/>
        <v>1.9708830566360721E-12</v>
      </c>
      <c r="Q145" s="20">
        <f t="shared" si="108"/>
        <v>3.669434796176543E-12</v>
      </c>
      <c r="R145" s="59">
        <f t="shared" si="109"/>
        <v>293.33333333333701</v>
      </c>
      <c r="S145" s="59">
        <f ca="1">AVERAGE(OFFSET($R$3,0,0,'Données projet'!$E$9+1,1))-AVERAGE(OFFSET($H$3,0,0,'Données projet'!$E$9+1,1))</f>
        <v>287.52077437571728</v>
      </c>
      <c r="T145" s="59">
        <f t="shared" si="142"/>
        <v>420.95891230839874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9.0444809311821786</v>
      </c>
      <c r="AA145" s="21">
        <f>EXP(-LN(2)/25)*AA144+(1-EXP(-LN(2)/25))/(LN(2)/25)*Calculateur!V145*Calculateur!X145*VLOOKUP('Données projet'!$B$9,Paramètres!$A$1:$I$89,3,0)*0.475*44/12</f>
        <v>8.4537236806733702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17.498204611855549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2.2737367544323206E-13</v>
      </c>
      <c r="O146" s="13">
        <f>N146*VLOOKUP('Données projet'!$B$9,Paramètres!$A$1:$I$89,3,0)*VLOOKUP('Données projet'!$B$9,Paramètres!$A$1:$I$89,5,0)</f>
        <v>1.3596945791505279E-13</v>
      </c>
      <c r="P146" s="13">
        <f t="shared" si="141"/>
        <v>1.9708830566360721E-12</v>
      </c>
      <c r="Q146" s="20">
        <f t="shared" si="108"/>
        <v>3.669434796176543E-12</v>
      </c>
      <c r="R146" s="59">
        <f t="shared" si="109"/>
        <v>293.33333333333701</v>
      </c>
      <c r="S146" s="59">
        <f ca="1">AVERAGE(OFFSET($R$3,0,0,'Données projet'!$E$9+1,1))-AVERAGE(OFFSET($H$3,0,0,'Données projet'!$E$9+1,1))</f>
        <v>287.52077437571728</v>
      </c>
      <c r="T146" s="59">
        <f t="shared" si="142"/>
        <v>420.95891230839874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8.8671241767103464</v>
      </c>
      <c r="AA146" s="21">
        <f>EXP(-LN(2)/25)*AA145+(1-EXP(-LN(2)/25))/(LN(2)/25)*Calculateur!V146*Calculateur!X146*VLOOKUP('Données projet'!$B$9,Paramètres!$A$1:$I$89,3,0)*0.475*44/12</f>
        <v>8.2225561620633503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17.089680338773697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2.2737367544323206E-13</v>
      </c>
      <c r="O147" s="13">
        <f>N147*VLOOKUP('Données projet'!$B$9,Paramètres!$A$1:$I$89,3,0)*VLOOKUP('Données projet'!$B$9,Paramètres!$A$1:$I$89,5,0)</f>
        <v>1.3596945791505279E-13</v>
      </c>
      <c r="P147" s="13">
        <f t="shared" si="141"/>
        <v>1.9708830566360721E-12</v>
      </c>
      <c r="Q147" s="20">
        <f t="shared" si="108"/>
        <v>3.669434796176543E-12</v>
      </c>
      <c r="R147" s="59">
        <f t="shared" si="109"/>
        <v>293.33333333333701</v>
      </c>
      <c r="S147" s="59">
        <f ca="1">AVERAGE(OFFSET($R$3,0,0,'Données projet'!$E$9+1,1))-AVERAGE(OFFSET($H$3,0,0,'Données projet'!$E$9+1,1))</f>
        <v>287.52077437571728</v>
      </c>
      <c r="T147" s="59">
        <f t="shared" si="142"/>
        <v>420.95891230839874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8.6932452800167681</v>
      </c>
      <c r="AA147" s="21">
        <f>EXP(-LN(2)/25)*AA146+(1-EXP(-LN(2)/25))/(LN(2)/25)*Calculateur!V147*Calculateur!X147*VLOOKUP('Données projet'!$B$9,Paramètres!$A$1:$I$89,3,0)*0.475*44/12</f>
        <v>7.997709931406292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16.690955211423059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2.2737367544323206E-13</v>
      </c>
      <c r="O148" s="13">
        <f>N148*VLOOKUP('Données projet'!$B$9,Paramètres!$A$1:$I$89,3,0)*VLOOKUP('Données projet'!$B$9,Paramètres!$A$1:$I$89,5,0)</f>
        <v>1.3596945791505279E-13</v>
      </c>
      <c r="P148" s="13">
        <f t="shared" si="141"/>
        <v>1.9708830566360721E-12</v>
      </c>
      <c r="Q148" s="20">
        <f t="shared" si="108"/>
        <v>3.669434796176543E-12</v>
      </c>
      <c r="R148" s="59">
        <f t="shared" si="109"/>
        <v>293.33333333333701</v>
      </c>
      <c r="S148" s="59">
        <f ca="1">AVERAGE(OFFSET($R$3,0,0,'Données projet'!$E$9+1,1))-AVERAGE(OFFSET($H$3,0,0,'Données projet'!$E$9+1,1))</f>
        <v>287.52077437571728</v>
      </c>
      <c r="T148" s="59">
        <f t="shared" si="142"/>
        <v>420.95891230839874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8.5227760424316958</v>
      </c>
      <c r="AA148" s="21">
        <f>EXP(-LN(2)/25)*AA147+(1-EXP(-LN(2)/25))/(LN(2)/25)*Calculateur!V148*Calculateur!X148*VLOOKUP('Données projet'!$B$9,Paramètres!$A$1:$I$89,3,0)*0.475*44/12</f>
        <v>7.7790121327507009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16.301788175182395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2.2737367544323206E-13</v>
      </c>
      <c r="O149" s="13">
        <f>N149*VLOOKUP('Données projet'!$B$9,Paramètres!$A$1:$I$89,3,0)*VLOOKUP('Données projet'!$B$9,Paramètres!$A$1:$I$89,5,0)</f>
        <v>1.3596945791505279E-13</v>
      </c>
      <c r="P149" s="13">
        <f t="shared" si="141"/>
        <v>1.9708830566360721E-12</v>
      </c>
      <c r="Q149" s="20">
        <f t="shared" si="108"/>
        <v>3.669434796176543E-12</v>
      </c>
      <c r="R149" s="59">
        <f t="shared" si="109"/>
        <v>293.33333333333701</v>
      </c>
      <c r="S149" s="59">
        <f ca="1">AVERAGE(OFFSET($R$3,0,0,'Données projet'!$E$9+1,1))-AVERAGE(OFFSET($H$3,0,0,'Données projet'!$E$9+1,1))</f>
        <v>287.52077437571728</v>
      </c>
      <c r="T149" s="59">
        <f t="shared" si="142"/>
        <v>420.95891230839874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8.3556496026196996</v>
      </c>
      <c r="AA149" s="21">
        <f>EXP(-LN(2)/25)*AA148+(1-EXP(-LN(2)/25))/(LN(2)/25)*Calculateur!V149*Calculateur!X149*VLOOKUP('Données projet'!$B$9,Paramètres!$A$1:$I$89,3,0)*0.475*44/12</f>
        <v>7.5662946369001638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15.921944239519863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2.2737367544323206E-13</v>
      </c>
      <c r="O150" s="13">
        <f>N150*VLOOKUP('Données projet'!$B$9,Paramètres!$A$1:$I$89,3,0)*VLOOKUP('Données projet'!$B$9,Paramètres!$A$1:$I$89,5,0)</f>
        <v>1.3596945791505279E-13</v>
      </c>
      <c r="P150" s="13">
        <f t="shared" si="141"/>
        <v>1.9708830566360721E-12</v>
      </c>
      <c r="Q150" s="20">
        <f t="shared" si="108"/>
        <v>3.669434796176543E-12</v>
      </c>
      <c r="R150" s="59">
        <f t="shared" si="109"/>
        <v>293.33333333333701</v>
      </c>
      <c r="S150" s="59">
        <f ca="1">AVERAGE(OFFSET($R$3,0,0,'Données projet'!$E$9+1,1))-AVERAGE(OFFSET($H$3,0,0,'Données projet'!$E$9+1,1))</f>
        <v>287.52077437571728</v>
      </c>
      <c r="T150" s="59">
        <f t="shared" si="142"/>
        <v>420.95891230839874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8.1918004103553521</v>
      </c>
      <c r="AA150" s="21">
        <f>EXP(-LN(2)/25)*AA149+(1-EXP(-LN(2)/25))/(LN(2)/25)*Calculateur!V150*Calculateur!X150*VLOOKUP('Données projet'!$B$9,Paramètres!$A$1:$I$89,3,0)*0.475*44/12</f>
        <v>7.3593939121599865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15.55119432251534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2.2737367544323206E-13</v>
      </c>
      <c r="O151" s="13">
        <f>N151*VLOOKUP('Données projet'!$B$9,Paramètres!$A$1:$I$89,3,0)*VLOOKUP('Données projet'!$B$9,Paramètres!$A$1:$I$89,5,0)</f>
        <v>1.3596945791505279E-13</v>
      </c>
      <c r="P151" s="13">
        <f t="shared" si="141"/>
        <v>1.9708830566360721E-12</v>
      </c>
      <c r="Q151" s="20">
        <f t="shared" si="108"/>
        <v>3.669434796176543E-12</v>
      </c>
      <c r="R151" s="59">
        <f t="shared" si="109"/>
        <v>293.33333333333701</v>
      </c>
      <c r="S151" s="59">
        <f ca="1">AVERAGE(OFFSET($R$3,0,0,'Données projet'!$E$9+1,1))-AVERAGE(OFFSET($H$3,0,0,'Données projet'!$E$9+1,1))</f>
        <v>287.52077437571728</v>
      </c>
      <c r="T151" s="59">
        <f t="shared" si="142"/>
        <v>420.95891230839874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8.031164200813171</v>
      </c>
      <c r="AA151" s="21">
        <f>EXP(-LN(2)/25)*AA150+(1-EXP(-LN(2)/25))/(LN(2)/25)*Calculateur!V151*Calculateur!X151*VLOOKUP('Données projet'!$B$9,Paramètres!$A$1:$I$89,3,0)*0.475*44/12</f>
        <v>7.158150898618266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15.189315099431436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2.2737367544323206E-13</v>
      </c>
      <c r="O152" s="13">
        <f>N152*VLOOKUP('Données projet'!$B$9,Paramètres!$A$1:$I$89,3,0)*VLOOKUP('Données projet'!$B$9,Paramètres!$A$1:$I$89,5,0)</f>
        <v>1.3596945791505279E-13</v>
      </c>
      <c r="P152" s="13">
        <f t="shared" si="141"/>
        <v>1.9708830566360721E-12</v>
      </c>
      <c r="Q152" s="20">
        <f t="shared" si="108"/>
        <v>3.669434796176543E-12</v>
      </c>
      <c r="R152" s="59">
        <f t="shared" si="109"/>
        <v>293.33333333333701</v>
      </c>
      <c r="S152" s="59">
        <f ca="1">AVERAGE(OFFSET($R$3,0,0,'Données projet'!$E$9+1,1))-AVERAGE(OFFSET($H$3,0,0,'Données projet'!$E$9+1,1))</f>
        <v>287.52077437571728</v>
      </c>
      <c r="T152" s="59">
        <f t="shared" si="142"/>
        <v>420.95891230839874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7.8736779693616983</v>
      </c>
      <c r="AA152" s="21">
        <f>EXP(-LN(2)/25)*AA151+(1-EXP(-LN(2)/25))/(LN(2)/25)*Calculateur!V152*Calculateur!X152*VLOOKUP('Données projet'!$B$9,Paramètres!$A$1:$I$89,3,0)*0.475*44/12</f>
        <v>6.9624108858647542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14.836088855226453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2.2737367544323206E-13</v>
      </c>
      <c r="O153" s="13">
        <f>N153*VLOOKUP('Données projet'!$B$9,Paramètres!$A$1:$I$89,3,0)*VLOOKUP('Données projet'!$B$9,Paramètres!$A$1:$I$89,5,0)</f>
        <v>1.3596945791505279E-13</v>
      </c>
      <c r="P153" s="13">
        <f t="shared" si="141"/>
        <v>1.9708830566360721E-12</v>
      </c>
      <c r="Q153" s="20">
        <f t="shared" si="108"/>
        <v>3.669434796176543E-12</v>
      </c>
      <c r="R153" s="59">
        <f t="shared" si="109"/>
        <v>293.33333333333701</v>
      </c>
      <c r="S153" s="59">
        <f ca="1">AVERAGE(OFFSET($R$3,0,0,'Données projet'!$E$9+1,1))-AVERAGE(OFFSET($H$3,0,0,'Données projet'!$E$9+1,1))</f>
        <v>287.52077437571728</v>
      </c>
      <c r="T153" s="59">
        <f t="shared" si="142"/>
        <v>420.95891230839874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7.7192799468518718</v>
      </c>
      <c r="AA153" s="21">
        <f>EXP(-LN(2)/25)*AA152+(1-EXP(-LN(2)/25))/(LN(2)/25)*Calculateur!V153*Calculateur!X153*VLOOKUP('Données projet'!$B$9,Paramètres!$A$1:$I$89,3,0)*0.475*44/12</f>
        <v>6.7720233940535071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14.491303340905379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2.2737367544323206E-13</v>
      </c>
      <c r="O154" s="13">
        <f>N154*VLOOKUP('Données projet'!$B$9,Paramètres!$A$1:$I$89,3,0)*VLOOKUP('Données projet'!$B$9,Paramètres!$A$1:$I$89,5,0)</f>
        <v>1.3596945791505279E-13</v>
      </c>
      <c r="P154" s="13">
        <f t="shared" si="141"/>
        <v>1.9708830566360721E-12</v>
      </c>
      <c r="Q154" s="20">
        <f t="shared" ref="Q154:Q203" si="162">(O154+P154)*0.475*44/12</f>
        <v>3.669434796176543E-12</v>
      </c>
      <c r="R154" s="59">
        <f t="shared" si="109"/>
        <v>293.33333333333701</v>
      </c>
      <c r="S154" s="59">
        <f ca="1">AVERAGE(OFFSET($R$3,0,0,'Données projet'!$E$9+1,1))-AVERAGE(OFFSET($H$3,0,0,'Données projet'!$E$9+1,1))</f>
        <v>287.52077437571728</v>
      </c>
      <c r="T154" s="59">
        <f t="shared" si="142"/>
        <v>420.95891230839874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7.5679095753899688</v>
      </c>
      <c r="AA154" s="21">
        <f>EXP(-LN(2)/25)*AA153+(1-EXP(-LN(2)/25))/(LN(2)/25)*Calculateur!V154*Calculateur!X154*VLOOKUP('Données projet'!$B$9,Paramètres!$A$1:$I$89,3,0)*0.475*44/12</f>
        <v>6.586842058217881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14.15475163360785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2.2737367544323206E-13</v>
      </c>
      <c r="O155" s="13">
        <f>N155*VLOOKUP('Données projet'!$B$9,Paramètres!$A$1:$I$89,3,0)*VLOOKUP('Données projet'!$B$9,Paramètres!$A$1:$I$89,5,0)</f>
        <v>1.3596945791505279E-13</v>
      </c>
      <c r="P155" s="13">
        <f t="shared" si="141"/>
        <v>1.9708830566360721E-12</v>
      </c>
      <c r="Q155" s="20">
        <f t="shared" si="162"/>
        <v>3.669434796176543E-12</v>
      </c>
      <c r="R155" s="59">
        <f t="shared" si="109"/>
        <v>293.33333333333701</v>
      </c>
      <c r="S155" s="59">
        <f ca="1">AVERAGE(OFFSET($R$3,0,0,'Données projet'!$E$9+1,1))-AVERAGE(OFFSET($H$3,0,0,'Données projet'!$E$9+1,1))</f>
        <v>287.52077437571728</v>
      </c>
      <c r="T155" s="59">
        <f t="shared" si="142"/>
        <v>420.95891230839874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7.4195074845856235</v>
      </c>
      <c r="AA155" s="21">
        <f>EXP(-LN(2)/25)*AA154+(1-EXP(-LN(2)/25))/(LN(2)/25)*Calculateur!V155*Calculateur!X155*VLOOKUP('Données projet'!$B$9,Paramètres!$A$1:$I$89,3,0)*0.475*44/12</f>
        <v>6.4067245157489436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13.826232000334567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2.2737367544323206E-13</v>
      </c>
      <c r="O156" s="13">
        <f>N156*VLOOKUP('Données projet'!$B$9,Paramètres!$A$1:$I$89,3,0)*VLOOKUP('Données projet'!$B$9,Paramètres!$A$1:$I$89,5,0)</f>
        <v>1.3596945791505279E-13</v>
      </c>
      <c r="P156" s="13">
        <f t="shared" si="141"/>
        <v>1.9708830566360721E-12</v>
      </c>
      <c r="Q156" s="20">
        <f t="shared" si="162"/>
        <v>3.669434796176543E-12</v>
      </c>
      <c r="R156" s="59">
        <f t="shared" si="109"/>
        <v>293.33333333333701</v>
      </c>
      <c r="S156" s="59">
        <f ca="1">AVERAGE(OFFSET($R$3,0,0,'Données projet'!$E$9+1,1))-AVERAGE(OFFSET($H$3,0,0,'Données projet'!$E$9+1,1))</f>
        <v>287.52077437571728</v>
      </c>
      <c r="T156" s="59">
        <f t="shared" si="142"/>
        <v>420.95891230839874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7.2740154682656133</v>
      </c>
      <c r="AA156" s="21">
        <f>EXP(-LN(2)/25)*AA155+(1-EXP(-LN(2)/25))/(LN(2)/25)*Calculateur!V156*Calculateur!X156*VLOOKUP('Données projet'!$B$9,Paramètres!$A$1:$I$89,3,0)*0.475*44/12</f>
        <v>6.2315322969507889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13.505547765216402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2.2737367544323206E-13</v>
      </c>
      <c r="O157" s="13">
        <f>N157*VLOOKUP('Données projet'!$B$9,Paramètres!$A$1:$I$89,3,0)*VLOOKUP('Données projet'!$B$9,Paramètres!$A$1:$I$89,5,0)</f>
        <v>1.3596945791505279E-13</v>
      </c>
      <c r="P157" s="13">
        <f t="shared" si="141"/>
        <v>1.9708830566360721E-12</v>
      </c>
      <c r="Q157" s="20">
        <f t="shared" si="162"/>
        <v>3.669434796176543E-12</v>
      </c>
      <c r="R157" s="59">
        <f t="shared" si="109"/>
        <v>293.33333333333701</v>
      </c>
      <c r="S157" s="59">
        <f ca="1">AVERAGE(OFFSET($R$3,0,0,'Données projet'!$E$9+1,1))-AVERAGE(OFFSET($H$3,0,0,'Données projet'!$E$9+1,1))</f>
        <v>287.52077437571728</v>
      </c>
      <c r="T157" s="59">
        <f t="shared" si="142"/>
        <v>420.95891230839874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7.1313764616442716</v>
      </c>
      <c r="AA157" s="21">
        <f>EXP(-LN(2)/25)*AA156+(1-EXP(-LN(2)/25))/(LN(2)/25)*Calculateur!V157*Calculateur!X157*VLOOKUP('Données projet'!$B$9,Paramètres!$A$1:$I$89,3,0)*0.475*44/12</f>
        <v>6.0611307185886281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13.1925071802329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2.2737367544323206E-13</v>
      </c>
      <c r="O158" s="13">
        <f>N158*VLOOKUP('Données projet'!$B$9,Paramètres!$A$1:$I$89,3,0)*VLOOKUP('Données projet'!$B$9,Paramètres!$A$1:$I$89,5,0)</f>
        <v>1.3596945791505279E-13</v>
      </c>
      <c r="P158" s="13">
        <f t="shared" si="141"/>
        <v>1.9708830566360721E-12</v>
      </c>
      <c r="Q158" s="20">
        <f t="shared" si="162"/>
        <v>3.669434796176543E-12</v>
      </c>
      <c r="R158" s="59">
        <f t="shared" si="109"/>
        <v>293.33333333333701</v>
      </c>
      <c r="S158" s="59">
        <f ca="1">AVERAGE(OFFSET($R$3,0,0,'Données projet'!$E$9+1,1))-AVERAGE(OFFSET($H$3,0,0,'Données projet'!$E$9+1,1))</f>
        <v>287.52077437571728</v>
      </c>
      <c r="T158" s="59">
        <f t="shared" si="142"/>
        <v>420.95891230839874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6.9915345189415712</v>
      </c>
      <c r="AA158" s="21">
        <f>EXP(-LN(2)/25)*AA157+(1-EXP(-LN(2)/25))/(LN(2)/25)*Calculateur!V158*Calculateur!X158*VLOOKUP('Données projet'!$B$9,Paramètres!$A$1:$I$89,3,0)*0.475*44/12</f>
        <v>5.89538878034781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12.886923299289382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2.2737367544323206E-13</v>
      </c>
      <c r="O159" s="13">
        <f>N159*VLOOKUP('Données projet'!$B$9,Paramètres!$A$1:$I$89,3,0)*VLOOKUP('Données projet'!$B$9,Paramètres!$A$1:$I$89,5,0)</f>
        <v>1.3596945791505279E-13</v>
      </c>
      <c r="P159" s="13">
        <f t="shared" si="141"/>
        <v>1.9708830566360721E-12</v>
      </c>
      <c r="Q159" s="20">
        <f t="shared" si="162"/>
        <v>3.669434796176543E-12</v>
      </c>
      <c r="R159" s="59">
        <f t="shared" si="109"/>
        <v>293.33333333333701</v>
      </c>
      <c r="S159" s="59">
        <f ca="1">AVERAGE(OFFSET($R$3,0,0,'Données projet'!$E$9+1,1))-AVERAGE(OFFSET($H$3,0,0,'Données projet'!$E$9+1,1))</f>
        <v>287.52077437571728</v>
      </c>
      <c r="T159" s="59">
        <f t="shared" si="142"/>
        <v>420.95891230839874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6.8544347914401076</v>
      </c>
      <c r="AA159" s="21">
        <f>EXP(-LN(2)/25)*AA158+(1-EXP(-LN(2)/25))/(LN(2)/25)*Calculateur!V159*Calculateur!X159*VLOOKUP('Données projet'!$B$9,Paramètres!$A$1:$I$89,3,0)*0.475*44/12</f>
        <v>5.7341790641241772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12.588613855564285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2.2737367544323206E-13</v>
      </c>
      <c r="O160" s="13">
        <f>N160*VLOOKUP('Données projet'!$B$9,Paramètres!$A$1:$I$89,3,0)*VLOOKUP('Données projet'!$B$9,Paramètres!$A$1:$I$89,5,0)</f>
        <v>1.3596945791505279E-13</v>
      </c>
      <c r="P160" s="13">
        <f t="shared" si="141"/>
        <v>1.9708830566360721E-12</v>
      </c>
      <c r="Q160" s="20">
        <f t="shared" si="162"/>
        <v>3.669434796176543E-12</v>
      </c>
      <c r="R160" s="59">
        <f t="shared" si="109"/>
        <v>293.33333333333701</v>
      </c>
      <c r="S160" s="59">
        <f ca="1">AVERAGE(OFFSET($R$3,0,0,'Données projet'!$E$9+1,1))-AVERAGE(OFFSET($H$3,0,0,'Données projet'!$E$9+1,1))</f>
        <v>287.52077437571728</v>
      </c>
      <c r="T160" s="59">
        <f t="shared" si="142"/>
        <v>420.95891230839874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6.720023505972371</v>
      </c>
      <c r="AA160" s="21">
        <f>EXP(-LN(2)/25)*AA159+(1-EXP(-LN(2)/25))/(LN(2)/25)*Calculateur!V160*Calculateur!X160*VLOOKUP('Données projet'!$B$9,Paramètres!$A$1:$I$89,3,0)*0.475*44/12</f>
        <v>5.5773776360683298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12.297401142040702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2.2737367544323206E-13</v>
      </c>
      <c r="O161" s="13">
        <f>N161*VLOOKUP('Données projet'!$B$9,Paramètres!$A$1:$I$89,3,0)*VLOOKUP('Données projet'!$B$9,Paramètres!$A$1:$I$89,5,0)</f>
        <v>1.3596945791505279E-13</v>
      </c>
      <c r="P161" s="13">
        <f t="shared" si="141"/>
        <v>1.9708830566360721E-12</v>
      </c>
      <c r="Q161" s="20">
        <f t="shared" si="162"/>
        <v>3.669434796176543E-12</v>
      </c>
      <c r="R161" s="59">
        <f t="shared" si="109"/>
        <v>293.33333333333701</v>
      </c>
      <c r="S161" s="59">
        <f ca="1">AVERAGE(OFFSET($R$3,0,0,'Données projet'!$E$9+1,1))-AVERAGE(OFFSET($H$3,0,0,'Données projet'!$E$9+1,1))</f>
        <v>287.52077437571728</v>
      </c>
      <c r="T161" s="59">
        <f t="shared" si="142"/>
        <v>420.95891230839874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6.5882479438298676</v>
      </c>
      <c r="AA161" s="21">
        <f>EXP(-LN(2)/25)*AA160+(1-EXP(-LN(2)/25))/(LN(2)/25)*Calculateur!V161*Calculateur!X161*VLOOKUP('Données projet'!$B$9,Paramètres!$A$1:$I$89,3,0)*0.475*44/12</f>
        <v>5.4248639513084989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12.013111895138366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2.2737367544323206E-13</v>
      </c>
      <c r="O162" s="13">
        <f>N162*VLOOKUP('Données projet'!$B$9,Paramètres!$A$1:$I$89,3,0)*VLOOKUP('Données projet'!$B$9,Paramètres!$A$1:$I$89,5,0)</f>
        <v>1.3596945791505279E-13</v>
      </c>
      <c r="P162" s="13">
        <f t="shared" si="141"/>
        <v>1.9708830566360721E-12</v>
      </c>
      <c r="Q162" s="20">
        <f t="shared" si="162"/>
        <v>3.669434796176543E-12</v>
      </c>
      <c r="R162" s="59">
        <f t="shared" si="109"/>
        <v>293.33333333333701</v>
      </c>
      <c r="S162" s="59">
        <f ca="1">AVERAGE(OFFSET($R$3,0,0,'Données projet'!$E$9+1,1))-AVERAGE(OFFSET($H$3,0,0,'Données projet'!$E$9+1,1))</f>
        <v>287.52077437571728</v>
      </c>
      <c r="T162" s="59">
        <f t="shared" si="142"/>
        <v>420.95891230839874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6.4590564200858225</v>
      </c>
      <c r="AA162" s="21">
        <f>EXP(-LN(2)/25)*AA161+(1-EXP(-LN(2)/25))/(LN(2)/25)*Calculateur!V162*Calculateur!X162*VLOOKUP('Données projet'!$B$9,Paramètres!$A$1:$I$89,3,0)*0.475*44/12</f>
        <v>5.2765207612787712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11.735577181364594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2.2737367544323206E-13</v>
      </c>
      <c r="O163" s="13">
        <f>N163*VLOOKUP('Données projet'!$B$9,Paramètres!$A$1:$I$89,3,0)*VLOOKUP('Données projet'!$B$9,Paramètres!$A$1:$I$89,5,0)</f>
        <v>1.3596945791505279E-13</v>
      </c>
      <c r="P163" s="13">
        <f t="shared" si="141"/>
        <v>1.9708830566360721E-12</v>
      </c>
      <c r="Q163" s="20">
        <f t="shared" si="162"/>
        <v>3.669434796176543E-12</v>
      </c>
      <c r="R163" s="59">
        <f t="shared" si="109"/>
        <v>293.33333333333701</v>
      </c>
      <c r="S163" s="59">
        <f ca="1">AVERAGE(OFFSET($R$3,0,0,'Données projet'!$E$9+1,1))-AVERAGE(OFFSET($H$3,0,0,'Données projet'!$E$9+1,1))</f>
        <v>287.52077437571728</v>
      </c>
      <c r="T163" s="59">
        <f t="shared" si="142"/>
        <v>420.95891230839874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6.3323982633233493</v>
      </c>
      <c r="AA163" s="21">
        <f>EXP(-LN(2)/25)*AA162+(1-EXP(-LN(2)/25))/(LN(2)/25)*Calculateur!V163*Calculateur!X163*VLOOKUP('Données projet'!$B$9,Paramètres!$A$1:$I$89,3,0)*0.475*44/12</f>
        <v>5.1322340235814359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11.464632286904784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2.2737367544323206E-13</v>
      </c>
      <c r="O164" s="13">
        <f>N164*VLOOKUP('Données projet'!$B$9,Paramètres!$A$1:$I$89,3,0)*VLOOKUP('Données projet'!$B$9,Paramètres!$A$1:$I$89,5,0)</f>
        <v>1.3596945791505279E-13</v>
      </c>
      <c r="P164" s="13">
        <f t="shared" si="141"/>
        <v>1.9708830566360721E-12</v>
      </c>
      <c r="Q164" s="20">
        <f t="shared" si="162"/>
        <v>3.669434796176543E-12</v>
      </c>
      <c r="R164" s="59">
        <f t="shared" si="109"/>
        <v>293.33333333333701</v>
      </c>
      <c r="S164" s="59">
        <f ca="1">AVERAGE(OFFSET($R$3,0,0,'Données projet'!$E$9+1,1))-AVERAGE(OFFSET($H$3,0,0,'Données projet'!$E$9+1,1))</f>
        <v>287.52077437571728</v>
      </c>
      <c r="T164" s="59">
        <f t="shared" si="142"/>
        <v>420.95891230839874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6.2082237957611408</v>
      </c>
      <c r="AA164" s="21">
        <f>EXP(-LN(2)/25)*AA163+(1-EXP(-LN(2)/25))/(LN(2)/25)*Calculateur!V164*Calculateur!X164*VLOOKUP('Données projet'!$B$9,Paramètres!$A$1:$I$89,3,0)*0.475*44/12</f>
        <v>4.9918928143141441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11.200116610075284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2.2737367544323206E-13</v>
      </c>
      <c r="O165" s="13">
        <f>N165*VLOOKUP('Données projet'!$B$9,Paramètres!$A$1:$I$89,3,0)*VLOOKUP('Données projet'!$B$9,Paramètres!$A$1:$I$89,5,0)</f>
        <v>1.3596945791505279E-13</v>
      </c>
      <c r="P165" s="13">
        <f t="shared" si="141"/>
        <v>1.9708830566360721E-12</v>
      </c>
      <c r="Q165" s="20">
        <f t="shared" si="162"/>
        <v>3.669434796176543E-12</v>
      </c>
      <c r="R165" s="59">
        <f t="shared" si="109"/>
        <v>293.33333333333701</v>
      </c>
      <c r="S165" s="59">
        <f ca="1">AVERAGE(OFFSET($R$3,0,0,'Données projet'!$E$9+1,1))-AVERAGE(OFFSET($H$3,0,0,'Données projet'!$E$9+1,1))</f>
        <v>287.52077437571728</v>
      </c>
      <c r="T165" s="59">
        <f t="shared" si="142"/>
        <v>420.95891230839874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6.0864843137688807</v>
      </c>
      <c r="AA165" s="21">
        <f>EXP(-LN(2)/25)*AA164+(1-EXP(-LN(2)/25))/(LN(2)/25)*Calculateur!V165*Calculateur!X165*VLOOKUP('Données projet'!$B$9,Paramètres!$A$1:$I$89,3,0)*0.475*44/12</f>
        <v>4.85538924279449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10.941873556563371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2.2737367544323206E-13</v>
      </c>
      <c r="O166" s="13">
        <f>N166*VLOOKUP('Données projet'!$B$9,Paramètres!$A$1:$I$89,3,0)*VLOOKUP('Données projet'!$B$9,Paramètres!$A$1:$I$89,5,0)</f>
        <v>1.3596945791505279E-13</v>
      </c>
      <c r="P166" s="13">
        <f t="shared" si="141"/>
        <v>1.9708830566360721E-12</v>
      </c>
      <c r="Q166" s="20">
        <f t="shared" si="162"/>
        <v>3.669434796176543E-12</v>
      </c>
      <c r="R166" s="59">
        <f t="shared" si="109"/>
        <v>293.33333333333701</v>
      </c>
      <c r="S166" s="59">
        <f ca="1">AVERAGE(OFFSET($R$3,0,0,'Données projet'!$E$9+1,1))-AVERAGE(OFFSET($H$3,0,0,'Données projet'!$E$9+1,1))</f>
        <v>287.52077437571728</v>
      </c>
      <c r="T166" s="59">
        <f t="shared" si="142"/>
        <v>420.95891230839874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5.9671320687647365</v>
      </c>
      <c r="AA166" s="21">
        <f>EXP(-LN(2)/25)*AA165+(1-EXP(-LN(2)/25))/(LN(2)/25)*Calculateur!V166*Calculateur!X166*VLOOKUP('Données projet'!$B$9,Paramètres!$A$1:$I$89,3,0)*0.475*44/12</f>
        <v>4.7226183686164518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10.689750437381189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2.2737367544323206E-13</v>
      </c>
      <c r="O167" s="13">
        <f>N167*VLOOKUP('Données projet'!$B$9,Paramètres!$A$1:$I$89,3,0)*VLOOKUP('Données projet'!$B$9,Paramètres!$A$1:$I$89,5,0)</f>
        <v>1.3596945791505279E-13</v>
      </c>
      <c r="P167" s="13">
        <f t="shared" si="141"/>
        <v>1.9708830566360721E-12</v>
      </c>
      <c r="Q167" s="20">
        <f t="shared" si="162"/>
        <v>3.669434796176543E-12</v>
      </c>
      <c r="R167" s="59">
        <f t="shared" si="109"/>
        <v>293.33333333333701</v>
      </c>
      <c r="S167" s="59">
        <f ca="1">AVERAGE(OFFSET($R$3,0,0,'Données projet'!$E$9+1,1))-AVERAGE(OFFSET($H$3,0,0,'Données projet'!$E$9+1,1))</f>
        <v>287.52077437571728</v>
      </c>
      <c r="T167" s="59">
        <f t="shared" si="142"/>
        <v>420.95891230839874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5.8501202484874417</v>
      </c>
      <c r="AA167" s="21">
        <f>EXP(-LN(2)/25)*AA166+(1-EXP(-LN(2)/25))/(LN(2)/25)*Calculateur!V167*Calculateur!X167*VLOOKUP('Données projet'!$B$9,Paramètres!$A$1:$I$89,3,0)*0.475*44/12</f>
        <v>4.5934781209749289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10.443598369462372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2.2737367544323206E-13</v>
      </c>
      <c r="O168" s="13">
        <f>N168*VLOOKUP('Données projet'!$B$9,Paramètres!$A$1:$I$89,3,0)*VLOOKUP('Données projet'!$B$9,Paramètres!$A$1:$I$89,5,0)</f>
        <v>1.3596945791505279E-13</v>
      </c>
      <c r="P168" s="13">
        <f t="shared" si="141"/>
        <v>1.9708830566360721E-12</v>
      </c>
      <c r="Q168" s="20">
        <f t="shared" si="162"/>
        <v>3.669434796176543E-12</v>
      </c>
      <c r="R168" s="59">
        <f t="shared" si="109"/>
        <v>293.33333333333701</v>
      </c>
      <c r="S168" s="59">
        <f ca="1">AVERAGE(OFFSET($R$3,0,0,'Données projet'!$E$9+1,1))-AVERAGE(OFFSET($H$3,0,0,'Données projet'!$E$9+1,1))</f>
        <v>287.52077437571728</v>
      </c>
      <c r="T168" s="59">
        <f t="shared" si="142"/>
        <v>420.95891230839874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5.7354029586356221</v>
      </c>
      <c r="AA168" s="21">
        <f>EXP(-LN(2)/25)*AA167+(1-EXP(-LN(2)/25))/(LN(2)/25)*Calculateur!V168*Calculateur!X168*VLOOKUP('Données projet'!$B$9,Paramètres!$A$1:$I$89,3,0)*0.475*44/12</f>
        <v>4.4678692201963539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10.203272178831977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2.2737367544323206E-13</v>
      </c>
      <c r="O169" s="13">
        <f>N169*VLOOKUP('Données projet'!$B$9,Paramètres!$A$1:$I$89,3,0)*VLOOKUP('Données projet'!$B$9,Paramètres!$A$1:$I$89,5,0)</f>
        <v>1.3596945791505279E-13</v>
      </c>
      <c r="P169" s="13">
        <f t="shared" si="141"/>
        <v>1.9708830566360721E-12</v>
      </c>
      <c r="Q169" s="20">
        <f t="shared" si="162"/>
        <v>3.669434796176543E-12</v>
      </c>
      <c r="R169" s="59">
        <f t="shared" si="109"/>
        <v>293.33333333333701</v>
      </c>
      <c r="S169" s="59">
        <f ca="1">AVERAGE(OFFSET($R$3,0,0,'Données projet'!$E$9+1,1))-AVERAGE(OFFSET($H$3,0,0,'Données projet'!$E$9+1,1))</f>
        <v>287.52077437571728</v>
      </c>
      <c r="T169" s="59">
        <f t="shared" si="142"/>
        <v>420.95891230839874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5.6229352048671588</v>
      </c>
      <c r="AA169" s="21">
        <f>EXP(-LN(2)/25)*AA168+(1-EXP(-LN(2)/25))/(LN(2)/25)*Calculateur!V169*Calculateur!X169*VLOOKUP('Données projet'!$B$9,Paramètres!$A$1:$I$89,3,0)*0.475*44/12</f>
        <v>4.3456951014150533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9.9686303062822113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2.2737367544323206E-13</v>
      </c>
      <c r="O170" s="13">
        <f>N170*VLOOKUP('Données projet'!$B$9,Paramètres!$A$1:$I$89,3,0)*VLOOKUP('Données projet'!$B$9,Paramètres!$A$1:$I$89,5,0)</f>
        <v>1.3596945791505279E-13</v>
      </c>
      <c r="P170" s="13">
        <f t="shared" si="141"/>
        <v>1.9708830566360721E-12</v>
      </c>
      <c r="Q170" s="20">
        <f t="shared" si="162"/>
        <v>3.669434796176543E-12</v>
      </c>
      <c r="R170" s="59">
        <f t="shared" si="109"/>
        <v>293.33333333333701</v>
      </c>
      <c r="S170" s="59">
        <f ca="1">AVERAGE(OFFSET($R$3,0,0,'Données projet'!$E$9+1,1))-AVERAGE(OFFSET($H$3,0,0,'Données projet'!$E$9+1,1))</f>
        <v>287.52077437571728</v>
      </c>
      <c r="T170" s="59">
        <f t="shared" si="142"/>
        <v>420.95891230839874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5.512672875151539</v>
      </c>
      <c r="AA170" s="21">
        <f>EXP(-LN(2)/25)*AA169+(1-EXP(-LN(2)/25))/(LN(2)/25)*Calculateur!V170*Calculateur!X170*VLOOKUP('Données projet'!$B$9,Paramètres!$A$1:$I$89,3,0)*0.475*44/12</f>
        <v>4.2268618403366851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9.7395347154882241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2.2737367544323206E-13</v>
      </c>
      <c r="O171" s="13">
        <f>N171*VLOOKUP('Données projet'!$B$9,Paramètres!$A$1:$I$89,3,0)*VLOOKUP('Données projet'!$B$9,Paramètres!$A$1:$I$89,5,0)</f>
        <v>1.3596945791505279E-13</v>
      </c>
      <c r="P171" s="13">
        <f t="shared" si="141"/>
        <v>1.9708830566360721E-12</v>
      </c>
      <c r="Q171" s="20">
        <f t="shared" si="162"/>
        <v>3.669434796176543E-12</v>
      </c>
      <c r="R171" s="59">
        <f t="shared" si="109"/>
        <v>293.33333333333701</v>
      </c>
      <c r="S171" s="59">
        <f ca="1">AVERAGE(OFFSET($R$3,0,0,'Données projet'!$E$9+1,1))-AVERAGE(OFFSET($H$3,0,0,'Données projet'!$E$9+1,1))</f>
        <v>287.52077437571728</v>
      </c>
      <c r="T171" s="59">
        <f t="shared" si="142"/>
        <v>420.95891230839874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5.404572722468262</v>
      </c>
      <c r="AA171" s="21">
        <f>EXP(-LN(2)/25)*AA170+(1-EXP(-LN(2)/25))/(LN(2)/25)*Calculateur!V171*Calculateur!X171*VLOOKUP('Données projet'!$B$9,Paramètres!$A$1:$I$89,3,0)*0.475*44/12</f>
        <v>4.1112780810316751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9.5158508034999372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2.2737367544323206E-13</v>
      </c>
      <c r="O172" s="13">
        <f>N172*VLOOKUP('Données projet'!$B$9,Paramètres!$A$1:$I$89,3,0)*VLOOKUP('Données projet'!$B$9,Paramètres!$A$1:$I$89,5,0)</f>
        <v>1.3596945791505279E-13</v>
      </c>
      <c r="P172" s="13">
        <f t="shared" si="141"/>
        <v>1.9708830566360721E-12</v>
      </c>
      <c r="Q172" s="20">
        <f t="shared" si="162"/>
        <v>3.669434796176543E-12</v>
      </c>
      <c r="R172" s="59">
        <f t="shared" si="109"/>
        <v>293.33333333333701</v>
      </c>
      <c r="S172" s="59">
        <f ca="1">AVERAGE(OFFSET($R$3,0,0,'Données projet'!$E$9+1,1))-AVERAGE(OFFSET($H$3,0,0,'Données projet'!$E$9+1,1))</f>
        <v>287.52077437571728</v>
      </c>
      <c r="T172" s="59">
        <f t="shared" si="142"/>
        <v>420.95891230839874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5.2985923478445214</v>
      </c>
      <c r="AA172" s="21">
        <f>EXP(-LN(2)/25)*AA171+(1-EXP(-LN(2)/25))/(LN(2)/25)*Calculateur!V172*Calculateur!X172*VLOOKUP('Données projet'!$B$9,Paramètres!$A$1:$I$89,3,0)*0.475*44/12</f>
        <v>3.998854965703146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9.2974473135476678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2.2737367544323206E-13</v>
      </c>
      <c r="O173" s="13">
        <f>N173*VLOOKUP('Données projet'!$B$9,Paramètres!$A$1:$I$89,3,0)*VLOOKUP('Données projet'!$B$9,Paramètres!$A$1:$I$89,5,0)</f>
        <v>1.3596945791505279E-13</v>
      </c>
      <c r="P173" s="13">
        <f t="shared" si="141"/>
        <v>1.9708830566360721E-12</v>
      </c>
      <c r="Q173" s="20">
        <f t="shared" si="162"/>
        <v>3.669434796176543E-12</v>
      </c>
      <c r="R173" s="59">
        <f t="shared" si="109"/>
        <v>293.33333333333701</v>
      </c>
      <c r="S173" s="59">
        <f ca="1">AVERAGE(OFFSET($R$3,0,0,'Données projet'!$E$9+1,1))-AVERAGE(OFFSET($H$3,0,0,'Données projet'!$E$9+1,1))</f>
        <v>287.52077437571728</v>
      </c>
      <c r="T173" s="59">
        <f t="shared" si="142"/>
        <v>420.95891230839874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5.1946901837255064</v>
      </c>
      <c r="AA173" s="21">
        <f>EXP(-LN(2)/25)*AA172+(1-EXP(-LN(2)/25))/(LN(2)/25)*Calculateur!V173*Calculateur!X173*VLOOKUP('Données projet'!$B$9,Paramètres!$A$1:$I$89,3,0)*0.475*44/12</f>
        <v>3.8895060663753505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9.084196250100856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2.2737367544323206E-13</v>
      </c>
      <c r="O174" s="13">
        <f>N174*VLOOKUP('Données projet'!$B$9,Paramètres!$A$1:$I$89,3,0)*VLOOKUP('Données projet'!$B$9,Paramètres!$A$1:$I$89,5,0)</f>
        <v>1.3596945791505279E-13</v>
      </c>
      <c r="P174" s="13">
        <f t="shared" si="141"/>
        <v>1.9708830566360721E-12</v>
      </c>
      <c r="Q174" s="20">
        <f t="shared" si="162"/>
        <v>3.669434796176543E-12</v>
      </c>
      <c r="R174" s="59">
        <f t="shared" si="109"/>
        <v>293.33333333333701</v>
      </c>
      <c r="S174" s="59">
        <f ca="1">AVERAGE(OFFSET($R$3,0,0,'Données projet'!$E$9+1,1))-AVERAGE(OFFSET($H$3,0,0,'Données projet'!$E$9+1,1))</f>
        <v>287.52077437571728</v>
      </c>
      <c r="T174" s="59">
        <f t="shared" si="142"/>
        <v>420.95891230839874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5.0928254776708028</v>
      </c>
      <c r="AA174" s="21">
        <f>EXP(-LN(2)/25)*AA173+(1-EXP(-LN(2)/25))/(LN(2)/25)*Calculateur!V174*Calculateur!X174*VLOOKUP('Données projet'!$B$9,Paramètres!$A$1:$I$89,3,0)*0.475*44/12</f>
        <v>3.7831473184500819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8.8759727961208839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2.2737367544323206E-13</v>
      </c>
      <c r="O175" s="13">
        <f>N175*VLOOKUP('Données projet'!$B$9,Paramètres!$A$1:$I$89,3,0)*VLOOKUP('Données projet'!$B$9,Paramètres!$A$1:$I$89,5,0)</f>
        <v>1.3596945791505279E-13</v>
      </c>
      <c r="P175" s="13">
        <f t="shared" si="141"/>
        <v>1.9708830566360721E-12</v>
      </c>
      <c r="Q175" s="20">
        <f t="shared" si="162"/>
        <v>3.669434796176543E-12</v>
      </c>
      <c r="R175" s="59">
        <f t="shared" si="109"/>
        <v>293.33333333333701</v>
      </c>
      <c r="S175" s="59">
        <f ca="1">AVERAGE(OFFSET($R$3,0,0,'Données projet'!$E$9+1,1))-AVERAGE(OFFSET($H$3,0,0,'Données projet'!$E$9+1,1))</f>
        <v>287.52077437571728</v>
      </c>
      <c r="T175" s="59">
        <f t="shared" si="142"/>
        <v>420.95891230839874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4.9929582763704961</v>
      </c>
      <c r="AA175" s="21">
        <f>EXP(-LN(2)/25)*AA174+(1-EXP(-LN(2)/25))/(LN(2)/25)*Calculateur!V175*Calculateur!X175*VLOOKUP('Données projet'!$B$9,Paramètres!$A$1:$I$89,3,0)*0.475*44/12</f>
        <v>3.6796969560799933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8.6726552324504897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2.2737367544323206E-13</v>
      </c>
      <c r="O176" s="13">
        <f>N176*VLOOKUP('Données projet'!$B$9,Paramètres!$A$1:$I$89,3,0)*VLOOKUP('Données projet'!$B$9,Paramètres!$A$1:$I$89,5,0)</f>
        <v>1.3596945791505279E-13</v>
      </c>
      <c r="P176" s="13">
        <f t="shared" si="141"/>
        <v>1.9708830566360721E-12</v>
      </c>
      <c r="Q176" s="20">
        <f t="shared" si="162"/>
        <v>3.669434796176543E-12</v>
      </c>
      <c r="R176" s="59">
        <f t="shared" si="109"/>
        <v>293.33333333333701</v>
      </c>
      <c r="S176" s="59">
        <f ca="1">AVERAGE(OFFSET($R$3,0,0,'Données projet'!$E$9+1,1))-AVERAGE(OFFSET($H$3,0,0,'Données projet'!$E$9+1,1))</f>
        <v>287.52077437571728</v>
      </c>
      <c r="T176" s="59">
        <f t="shared" si="142"/>
        <v>420.95891230839874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4.8950494099747104</v>
      </c>
      <c r="AA176" s="21">
        <f>EXP(-LN(2)/25)*AA175+(1-EXP(-LN(2)/25))/(LN(2)/25)*Calculateur!V176*Calculateur!X176*VLOOKUP('Données projet'!$B$9,Paramètres!$A$1:$I$89,3,0)*0.475*44/12</f>
        <v>3.579075449309133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8.4741248592838438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2.2737367544323206E-13</v>
      </c>
      <c r="O177" s="13">
        <f>N177*VLOOKUP('Données projet'!$B$9,Paramètres!$A$1:$I$89,3,0)*VLOOKUP('Données projet'!$B$9,Paramètres!$A$1:$I$89,5,0)</f>
        <v>1.3596945791505279E-13</v>
      </c>
      <c r="P177" s="13">
        <f t="shared" si="141"/>
        <v>1.9708830566360721E-12</v>
      </c>
      <c r="Q177" s="20">
        <f t="shared" si="162"/>
        <v>3.669434796176543E-12</v>
      </c>
      <c r="R177" s="59">
        <f t="shared" si="109"/>
        <v>293.33333333333701</v>
      </c>
      <c r="S177" s="59">
        <f ca="1">AVERAGE(OFFSET($R$3,0,0,'Données projet'!$E$9+1,1))-AVERAGE(OFFSET($H$3,0,0,'Données projet'!$E$9+1,1))</f>
        <v>287.52077437571728</v>
      </c>
      <c r="T177" s="59">
        <f t="shared" si="142"/>
        <v>420.95891230839874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4.7990604767304346</v>
      </c>
      <c r="AA177" s="21">
        <f>EXP(-LN(2)/25)*AA176+(1-EXP(-LN(2)/25))/(LN(2)/25)*Calculateur!V177*Calculateur!X177*VLOOKUP('Données projet'!$B$9,Paramètres!$A$1:$I$89,3,0)*0.475*44/12</f>
        <v>3.4812054429323771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8.2802659196628117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2.2737367544323206E-13</v>
      </c>
      <c r="O178" s="13">
        <f>N178*VLOOKUP('Données projet'!$B$9,Paramètres!$A$1:$I$89,3,0)*VLOOKUP('Données projet'!$B$9,Paramètres!$A$1:$I$89,5,0)</f>
        <v>1.3596945791505279E-13</v>
      </c>
      <c r="P178" s="13">
        <f t="shared" si="141"/>
        <v>1.9708830566360721E-12</v>
      </c>
      <c r="Q178" s="20">
        <f t="shared" si="162"/>
        <v>3.669434796176543E-12</v>
      </c>
      <c r="R178" s="59">
        <f t="shared" si="109"/>
        <v>293.33333333333701</v>
      </c>
      <c r="S178" s="59">
        <f ca="1">AVERAGE(OFFSET($R$3,0,0,'Données projet'!$E$9+1,1))-AVERAGE(OFFSET($H$3,0,0,'Données projet'!$E$9+1,1))</f>
        <v>287.52077437571728</v>
      </c>
      <c r="T178" s="59">
        <f t="shared" si="142"/>
        <v>420.95891230839874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4.7049538279196108</v>
      </c>
      <c r="AA178" s="21">
        <f>EXP(-LN(2)/25)*AA177+(1-EXP(-LN(2)/25))/(LN(2)/25)*Calculateur!V178*Calculateur!X178*VLOOKUP('Données projet'!$B$9,Paramètres!$A$1:$I$89,3,0)*0.475*44/12</f>
        <v>3.3860116970267535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8.0909655249463643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2.2737367544323206E-13</v>
      </c>
      <c r="O179" s="13">
        <f>N179*VLOOKUP('Données projet'!$B$9,Paramètres!$A$1:$I$89,3,0)*VLOOKUP('Données projet'!$B$9,Paramètres!$A$1:$I$89,5,0)</f>
        <v>1.3596945791505279E-13</v>
      </c>
      <c r="P179" s="13">
        <f t="shared" si="141"/>
        <v>1.9708830566360721E-12</v>
      </c>
      <c r="Q179" s="20">
        <f t="shared" si="162"/>
        <v>3.669434796176543E-12</v>
      </c>
      <c r="R179" s="59">
        <f t="shared" si="109"/>
        <v>293.33333333333701</v>
      </c>
      <c r="S179" s="59">
        <f ca="1">AVERAGE(OFFSET($R$3,0,0,'Données projet'!$E$9+1,1))-AVERAGE(OFFSET($H$3,0,0,'Données projet'!$E$9+1,1))</f>
        <v>287.52077437571728</v>
      </c>
      <c r="T179" s="59">
        <f t="shared" si="142"/>
        <v>420.95891230839874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4.6126925530925789</v>
      </c>
      <c r="AA179" s="21">
        <f>EXP(-LN(2)/25)*AA178+(1-EXP(-LN(2)/25))/(LN(2)/25)*Calculateur!V179*Calculateur!X179*VLOOKUP('Données projet'!$B$9,Paramètres!$A$1:$I$89,3,0)*0.475*44/12</f>
        <v>3.2934210291089405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7.9061135822015194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2.2737367544323206E-13</v>
      </c>
      <c r="O180" s="13">
        <f>N180*VLOOKUP('Données projet'!$B$9,Paramètres!$A$1:$I$89,3,0)*VLOOKUP('Données projet'!$B$9,Paramètres!$A$1:$I$89,5,0)</f>
        <v>1.3596945791505279E-13</v>
      </c>
      <c r="P180" s="13">
        <f t="shared" si="141"/>
        <v>1.9708830566360721E-12</v>
      </c>
      <c r="Q180" s="20">
        <f t="shared" si="162"/>
        <v>3.669434796176543E-12</v>
      </c>
      <c r="R180" s="59">
        <f t="shared" si="109"/>
        <v>293.33333333333701</v>
      </c>
      <c r="S180" s="59">
        <f ca="1">AVERAGE(OFFSET($R$3,0,0,'Données projet'!$E$9+1,1))-AVERAGE(OFFSET($H$3,0,0,'Données projet'!$E$9+1,1))</f>
        <v>287.52077437571728</v>
      </c>
      <c r="T180" s="59">
        <f t="shared" si="142"/>
        <v>420.95891230839874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4.5222404655910839</v>
      </c>
      <c r="AA180" s="21">
        <f>EXP(-LN(2)/25)*AA179+(1-EXP(-LN(2)/25))/(LN(2)/25)*Calculateur!V180*Calculateur!X180*VLOOKUP('Données projet'!$B$9,Paramètres!$A$1:$I$89,3,0)*0.475*44/12</f>
        <v>3.2033622578744718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7.7256027234655562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2.2737367544323206E-13</v>
      </c>
      <c r="O181" s="13">
        <f>N181*VLOOKUP('Données projet'!$B$9,Paramètres!$A$1:$I$89,3,0)*VLOOKUP('Données projet'!$B$9,Paramètres!$A$1:$I$89,5,0)</f>
        <v>1.3596945791505279E-13</v>
      </c>
      <c r="P181" s="13">
        <f t="shared" si="141"/>
        <v>1.9708830566360721E-12</v>
      </c>
      <c r="Q181" s="20">
        <f t="shared" si="162"/>
        <v>3.669434796176543E-12</v>
      </c>
      <c r="R181" s="59">
        <f t="shared" si="109"/>
        <v>293.33333333333701</v>
      </c>
      <c r="S181" s="59">
        <f ca="1">AVERAGE(OFFSET($R$3,0,0,'Données projet'!$E$9+1,1))-AVERAGE(OFFSET($H$3,0,0,'Données projet'!$E$9+1,1))</f>
        <v>287.52077437571728</v>
      </c>
      <c r="T181" s="59">
        <f t="shared" si="142"/>
        <v>420.95891230839874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4.4335620883551679</v>
      </c>
      <c r="AA181" s="21">
        <f>EXP(-LN(2)/25)*AA180+(1-EXP(-LN(2)/25))/(LN(2)/25)*Calculateur!V181*Calculateur!X181*VLOOKUP('Données projet'!$B$9,Paramètres!$A$1:$I$89,3,0)*0.475*44/12</f>
        <v>3.1157661484753945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7.5493282368305623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2.2737367544323206E-13</v>
      </c>
      <c r="O182" s="13">
        <f>N182*VLOOKUP('Données projet'!$B$9,Paramètres!$A$1:$I$89,3,0)*VLOOKUP('Données projet'!$B$9,Paramètres!$A$1:$I$89,5,0)</f>
        <v>1.3596945791505279E-13</v>
      </c>
      <c r="P182" s="13">
        <f t="shared" si="141"/>
        <v>1.9708830566360721E-12</v>
      </c>
      <c r="Q182" s="20">
        <f t="shared" si="162"/>
        <v>3.669434796176543E-12</v>
      </c>
      <c r="R182" s="59">
        <f t="shared" si="109"/>
        <v>293.33333333333701</v>
      </c>
      <c r="S182" s="59">
        <f ca="1">AVERAGE(OFFSET($R$3,0,0,'Données projet'!$E$9+1,1))-AVERAGE(OFFSET($H$3,0,0,'Données projet'!$E$9+1,1))</f>
        <v>287.52077437571728</v>
      </c>
      <c r="T182" s="59">
        <f t="shared" si="142"/>
        <v>420.95891230839874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4.3466226400083787</v>
      </c>
      <c r="AA182" s="21">
        <f>EXP(-LN(2)/25)*AA181+(1-EXP(-LN(2)/25))/(LN(2)/25)*Calculateur!V182*Calculateur!X182*VLOOKUP('Données projet'!$B$9,Paramètres!$A$1:$I$89,3,0)*0.475*44/12</f>
        <v>3.030565359294314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7.3771879993026932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2.2737367544323206E-13</v>
      </c>
      <c r="O183" s="13">
        <f>N183*VLOOKUP('Données projet'!$B$9,Paramètres!$A$1:$I$89,3,0)*VLOOKUP('Données projet'!$B$9,Paramètres!$A$1:$I$89,5,0)</f>
        <v>1.3596945791505279E-13</v>
      </c>
      <c r="P183" s="13">
        <f t="shared" si="141"/>
        <v>1.9708830566360721E-12</v>
      </c>
      <c r="Q183" s="20">
        <f t="shared" si="162"/>
        <v>3.669434796176543E-12</v>
      </c>
      <c r="R183" s="59">
        <f t="shared" si="109"/>
        <v>293.33333333333701</v>
      </c>
      <c r="S183" s="59">
        <f ca="1">AVERAGE(OFFSET($R$3,0,0,'Données projet'!$E$9+1,1))-AVERAGE(OFFSET($H$3,0,0,'Données projet'!$E$9+1,1))</f>
        <v>287.52077437571728</v>
      </c>
      <c r="T183" s="59">
        <f t="shared" si="142"/>
        <v>420.95891230839874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4.2613880212158426</v>
      </c>
      <c r="AA183" s="21">
        <f>EXP(-LN(2)/25)*AA182+(1-EXP(-LN(2)/25))/(LN(2)/25)*Calculateur!V183*Calculateur!X183*VLOOKUP('Données projet'!$B$9,Paramètres!$A$1:$I$89,3,0)*0.475*44/12</f>
        <v>2.947694390173905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7.2090824113897476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2.2737367544323206E-13</v>
      </c>
      <c r="O184" s="13">
        <f>N184*VLOOKUP('Données projet'!$B$9,Paramètres!$A$1:$I$89,3,0)*VLOOKUP('Données projet'!$B$9,Paramètres!$A$1:$I$89,5,0)</f>
        <v>1.3596945791505279E-13</v>
      </c>
      <c r="P184" s="13">
        <f t="shared" si="141"/>
        <v>1.9708830566360721E-12</v>
      </c>
      <c r="Q184" s="20">
        <f t="shared" si="162"/>
        <v>3.669434796176543E-12</v>
      </c>
      <c r="R184" s="59">
        <f t="shared" si="109"/>
        <v>293.33333333333701</v>
      </c>
      <c r="S184" s="59">
        <f ca="1">AVERAGE(OFFSET($R$3,0,0,'Données projet'!$E$9+1,1))-AVERAGE(OFFSET($H$3,0,0,'Données projet'!$E$9+1,1))</f>
        <v>287.52077437571728</v>
      </c>
      <c r="T184" s="59">
        <f t="shared" si="142"/>
        <v>420.95891230839874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4.1778248013098445</v>
      </c>
      <c r="AA184" s="21">
        <f>EXP(-LN(2)/25)*AA183+(1-EXP(-LN(2)/25))/(LN(2)/25)*Calculateur!V184*Calculateur!X184*VLOOKUP('Données projet'!$B$9,Paramètres!$A$1:$I$89,3,0)*0.475*44/12</f>
        <v>2.8670895320620886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7.0449143333719331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2.2737367544323206E-13</v>
      </c>
      <c r="O185" s="13">
        <f>N185*VLOOKUP('Données projet'!$B$9,Paramètres!$A$1:$I$89,3,0)*VLOOKUP('Données projet'!$B$9,Paramètres!$A$1:$I$89,5,0)</f>
        <v>1.3596945791505279E-13</v>
      </c>
      <c r="P185" s="13">
        <f t="shared" si="141"/>
        <v>1.9708830566360721E-12</v>
      </c>
      <c r="Q185" s="20">
        <f t="shared" si="162"/>
        <v>3.669434796176543E-12</v>
      </c>
      <c r="R185" s="59">
        <f t="shared" si="109"/>
        <v>293.33333333333701</v>
      </c>
      <c r="S185" s="59">
        <f ca="1">AVERAGE(OFFSET($R$3,0,0,'Données projet'!$E$9+1,1))-AVERAGE(OFFSET($H$3,0,0,'Données projet'!$E$9+1,1))</f>
        <v>287.52077437571728</v>
      </c>
      <c r="T185" s="59">
        <f t="shared" si="142"/>
        <v>420.95891230839874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4.0959002051776716</v>
      </c>
      <c r="AA185" s="21">
        <f>EXP(-LN(2)/25)*AA184+(1-EXP(-LN(2)/25))/(LN(2)/25)*Calculateur!V185*Calculateur!X185*VLOOKUP('Données projet'!$B$9,Paramètres!$A$1:$I$89,3,0)*0.475*44/12</f>
        <v>2.7886888180341649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6.8845890232118361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2.2737367544323206E-13</v>
      </c>
      <c r="O186" s="13">
        <f>N186*VLOOKUP('Données projet'!$B$9,Paramètres!$A$1:$I$89,3,0)*VLOOKUP('Données projet'!$B$9,Paramètres!$A$1:$I$89,5,0)</f>
        <v>1.3596945791505279E-13</v>
      </c>
      <c r="P186" s="13">
        <f t="shared" si="141"/>
        <v>1.9708830566360721E-12</v>
      </c>
      <c r="Q186" s="20">
        <f t="shared" si="162"/>
        <v>3.669434796176543E-12</v>
      </c>
      <c r="R186" s="59">
        <f t="shared" si="109"/>
        <v>293.33333333333701</v>
      </c>
      <c r="S186" s="59">
        <f ca="1">AVERAGE(OFFSET($R$3,0,0,'Données projet'!$E$9+1,1))-AVERAGE(OFFSET($H$3,0,0,'Données projet'!$E$9+1,1))</f>
        <v>287.52077437571728</v>
      </c>
      <c r="T186" s="59">
        <f t="shared" si="142"/>
        <v>420.95891230839874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4.015582100406581</v>
      </c>
      <c r="AA186" s="21">
        <f>EXP(-LN(2)/25)*AA185+(1-EXP(-LN(2)/25))/(LN(2)/25)*Calculateur!V186*Calculateur!X186*VLOOKUP('Données projet'!$B$9,Paramètres!$A$1:$I$89,3,0)*0.475*44/12</f>
        <v>2.7124319756542494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6.7280140760608305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2.2737367544323206E-13</v>
      </c>
      <c r="O187" s="13">
        <f>N187*VLOOKUP('Données projet'!$B$9,Paramètres!$A$1:$I$89,3,0)*VLOOKUP('Données projet'!$B$9,Paramètres!$A$1:$I$89,5,0)</f>
        <v>1.3596945791505279E-13</v>
      </c>
      <c r="P187" s="13">
        <f t="shared" si="141"/>
        <v>1.9708830566360721E-12</v>
      </c>
      <c r="Q187" s="20">
        <f t="shared" si="162"/>
        <v>3.669434796176543E-12</v>
      </c>
      <c r="R187" s="59">
        <f t="shared" si="109"/>
        <v>293.33333333333701</v>
      </c>
      <c r="S187" s="59">
        <f ca="1">AVERAGE(OFFSET($R$3,0,0,'Données projet'!$E$9+1,1))-AVERAGE(OFFSET($H$3,0,0,'Données projet'!$E$9+1,1))</f>
        <v>287.52077437571728</v>
      </c>
      <c r="T187" s="59">
        <f t="shared" si="142"/>
        <v>420.95891230839874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3.9368389846808447</v>
      </c>
      <c r="AA187" s="21">
        <f>EXP(-LN(2)/25)*AA186+(1-EXP(-LN(2)/25))/(LN(2)/25)*Calculateur!V187*Calculateur!X187*VLOOKUP('Données projet'!$B$9,Paramètres!$A$1:$I$89,3,0)*0.475*44/12</f>
        <v>2.6382603806393856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6.5750993653202308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2.2737367544323206E-13</v>
      </c>
      <c r="O188" s="13">
        <f>N188*VLOOKUP('Données projet'!$B$9,Paramètres!$A$1:$I$89,3,0)*VLOOKUP('Données projet'!$B$9,Paramètres!$A$1:$I$89,5,0)</f>
        <v>1.3596945791505279E-13</v>
      </c>
      <c r="P188" s="13">
        <f t="shared" si="141"/>
        <v>1.9708830566360721E-12</v>
      </c>
      <c r="Q188" s="20">
        <f t="shared" si="162"/>
        <v>3.669434796176543E-12</v>
      </c>
      <c r="R188" s="59">
        <f t="shared" si="109"/>
        <v>293.33333333333701</v>
      </c>
      <c r="S188" s="59">
        <f ca="1">AVERAGE(OFFSET($R$3,0,0,'Données projet'!$E$9+1,1))-AVERAGE(OFFSET($H$3,0,0,'Données projet'!$E$9+1,1))</f>
        <v>287.52077437571728</v>
      </c>
      <c r="T188" s="59">
        <f t="shared" si="142"/>
        <v>420.95891230839874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3.8596399734259319</v>
      </c>
      <c r="AA188" s="21">
        <f>EXP(-LN(2)/25)*AA187+(1-EXP(-LN(2)/25))/(LN(2)/25)*Calculateur!V188*Calculateur!X188*VLOOKUP('Données projet'!$B$9,Paramètres!$A$1:$I$89,3,0)*0.475*44/12</f>
        <v>2.5661170117907179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6.4257569852166494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2.2737367544323206E-13</v>
      </c>
      <c r="O189" s="13">
        <f>N189*VLOOKUP('Données projet'!$B$9,Paramètres!$A$1:$I$89,3,0)*VLOOKUP('Données projet'!$B$9,Paramètres!$A$1:$I$89,5,0)</f>
        <v>1.3596945791505279E-13</v>
      </c>
      <c r="P189" s="13">
        <f t="shared" si="141"/>
        <v>1.9708830566360721E-12</v>
      </c>
      <c r="Q189" s="20">
        <f t="shared" si="162"/>
        <v>3.669434796176543E-12</v>
      </c>
      <c r="R189" s="59">
        <f t="shared" si="109"/>
        <v>293.33333333333701</v>
      </c>
      <c r="S189" s="59">
        <f ca="1">AVERAGE(OFFSET($R$3,0,0,'Données projet'!$E$9+1,1))-AVERAGE(OFFSET($H$3,0,0,'Données projet'!$E$9+1,1))</f>
        <v>287.52077437571728</v>
      </c>
      <c r="T189" s="59">
        <f t="shared" si="142"/>
        <v>420.95891230839874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3.7839547876949804</v>
      </c>
      <c r="AA189" s="21">
        <f>EXP(-LN(2)/25)*AA188+(1-EXP(-LN(2)/25))/(LN(2)/25)*Calculateur!V189*Calculateur!X189*VLOOKUP('Données projet'!$B$9,Paramètres!$A$1:$I$89,3,0)*0.475*44/12</f>
        <v>2.4959464071570721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6.2799011948520524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2.2737367544323206E-13</v>
      </c>
      <c r="O190" s="13">
        <f>N190*VLOOKUP('Données projet'!$B$9,Paramètres!$A$1:$I$89,3,0)*VLOOKUP('Données projet'!$B$9,Paramètres!$A$1:$I$89,5,0)</f>
        <v>1.3596945791505279E-13</v>
      </c>
      <c r="P190" s="13">
        <f t="shared" si="141"/>
        <v>1.9708830566360721E-12</v>
      </c>
      <c r="Q190" s="20">
        <f t="shared" si="162"/>
        <v>3.669434796176543E-12</v>
      </c>
      <c r="R190" s="59">
        <f t="shared" si="109"/>
        <v>293.33333333333701</v>
      </c>
      <c r="S190" s="59">
        <f ca="1">AVERAGE(OFFSET($R$3,0,0,'Données projet'!$E$9+1,1))-AVERAGE(OFFSET($H$3,0,0,'Données projet'!$E$9+1,1))</f>
        <v>287.52077437571728</v>
      </c>
      <c r="T190" s="59">
        <f t="shared" si="142"/>
        <v>420.95891230839874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3.7097537422928077</v>
      </c>
      <c r="AA190" s="21">
        <f>EXP(-LN(2)/25)*AA189+(1-EXP(-LN(2)/25))/(LN(2)/25)*Calculateur!V190*Calculateur!X190*VLOOKUP('Données projet'!$B$9,Paramètres!$A$1:$I$89,3,0)*0.475*44/12</f>
        <v>2.427694621397245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6.1374483636900532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2.2737367544323206E-13</v>
      </c>
      <c r="O191" s="13">
        <f>N191*VLOOKUP('Données projet'!$B$9,Paramètres!$A$1:$I$89,3,0)*VLOOKUP('Données projet'!$B$9,Paramètres!$A$1:$I$89,5,0)</f>
        <v>1.3596945791505279E-13</v>
      </c>
      <c r="P191" s="13">
        <f t="shared" si="141"/>
        <v>1.9708830566360721E-12</v>
      </c>
      <c r="Q191" s="20">
        <f t="shared" si="162"/>
        <v>3.669434796176543E-12</v>
      </c>
      <c r="R191" s="59">
        <f t="shared" si="109"/>
        <v>293.33333333333701</v>
      </c>
      <c r="S191" s="59">
        <f ca="1">AVERAGE(OFFSET($R$3,0,0,'Données projet'!$E$9+1,1))-AVERAGE(OFFSET($H$3,0,0,'Données projet'!$E$9+1,1))</f>
        <v>287.52077437571728</v>
      </c>
      <c r="T191" s="59">
        <f t="shared" si="142"/>
        <v>420.95891230839874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3.6370077341328031</v>
      </c>
      <c r="AA191" s="21">
        <f>EXP(-LN(2)/25)*AA190+(1-EXP(-LN(2)/25))/(LN(2)/25)*Calculateur!V191*Calculateur!X191*VLOOKUP('Données projet'!$B$9,Paramètres!$A$1:$I$89,3,0)*0.475*44/12</f>
        <v>2.3613091843082259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5.998316918441029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2.2737367544323206E-13</v>
      </c>
      <c r="O192" s="13">
        <f>N192*VLOOKUP('Données projet'!$B$9,Paramètres!$A$1:$I$89,3,0)*VLOOKUP('Données projet'!$B$9,Paramètres!$A$1:$I$89,5,0)</f>
        <v>1.3596945791505279E-13</v>
      </c>
      <c r="P192" s="13">
        <f t="shared" si="141"/>
        <v>1.9708830566360721E-12</v>
      </c>
      <c r="Q192" s="20">
        <f t="shared" si="162"/>
        <v>3.669434796176543E-12</v>
      </c>
      <c r="R192" s="59">
        <f t="shared" si="109"/>
        <v>293.33333333333701</v>
      </c>
      <c r="S192" s="59">
        <f ca="1">AVERAGE(OFFSET($R$3,0,0,'Données projet'!$E$9+1,1))-AVERAGE(OFFSET($H$3,0,0,'Données projet'!$E$9+1,1))</f>
        <v>287.52077437571728</v>
      </c>
      <c r="T192" s="59">
        <f t="shared" si="142"/>
        <v>420.95891230839874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3.5656882308221323</v>
      </c>
      <c r="AA192" s="21">
        <f>EXP(-LN(2)/25)*AA191+(1-EXP(-LN(2)/25))/(LN(2)/25)*Calculateur!V192*Calculateur!X192*VLOOKUP('Données projet'!$B$9,Paramètres!$A$1:$I$89,3,0)*0.475*44/12</f>
        <v>2.2967390604874645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5.8624272913095972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2.2737367544323206E-13</v>
      </c>
      <c r="O193" s="13">
        <f>N193*VLOOKUP('Données projet'!$B$9,Paramètres!$A$1:$I$89,3,0)*VLOOKUP('Données projet'!$B$9,Paramètres!$A$1:$I$89,5,0)</f>
        <v>1.3596945791505279E-13</v>
      </c>
      <c r="P193" s="13">
        <f t="shared" si="141"/>
        <v>1.9708830566360721E-12</v>
      </c>
      <c r="Q193" s="20">
        <f t="shared" si="162"/>
        <v>3.669434796176543E-12</v>
      </c>
      <c r="R193" s="59">
        <f t="shared" si="109"/>
        <v>293.33333333333701</v>
      </c>
      <c r="S193" s="59">
        <f ca="1">AVERAGE(OFFSET($R$3,0,0,'Données projet'!$E$9+1,1))-AVERAGE(OFFSET($H$3,0,0,'Données projet'!$E$9+1,1))</f>
        <v>287.52077437571728</v>
      </c>
      <c r="T193" s="59">
        <f t="shared" si="142"/>
        <v>420.95891230839874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3.495767259470782</v>
      </c>
      <c r="AA193" s="21">
        <f>EXP(-LN(2)/25)*AA192+(1-EXP(-LN(2)/25))/(LN(2)/25)*Calculateur!V193*Calculateur!X193*VLOOKUP('Données projet'!$B$9,Paramètres!$A$1:$I$89,3,0)*0.475*44/12</f>
        <v>2.233934610098177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5.7297018695689594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2.2737367544323206E-13</v>
      </c>
      <c r="O194" s="13">
        <f>N194*VLOOKUP('Données projet'!$B$9,Paramètres!$A$1:$I$89,3,0)*VLOOKUP('Données projet'!$B$9,Paramètres!$A$1:$I$89,5,0)</f>
        <v>1.3596945791505279E-13</v>
      </c>
      <c r="P194" s="13">
        <f t="shared" si="141"/>
        <v>1.9708830566360721E-12</v>
      </c>
      <c r="Q194" s="20">
        <f t="shared" si="162"/>
        <v>3.669434796176543E-12</v>
      </c>
      <c r="R194" s="59">
        <f t="shared" si="109"/>
        <v>293.33333333333701</v>
      </c>
      <c r="S194" s="59">
        <f ca="1">AVERAGE(OFFSET($R$3,0,0,'Données projet'!$E$9+1,1))-AVERAGE(OFFSET($H$3,0,0,'Données projet'!$E$9+1,1))</f>
        <v>287.52077437571728</v>
      </c>
      <c r="T194" s="59">
        <f t="shared" si="142"/>
        <v>420.95891230839874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3.4272173957200502</v>
      </c>
      <c r="AA194" s="21">
        <f>EXP(-LN(2)/25)*AA193+(1-EXP(-LN(2)/25))/(LN(2)/25)*Calculateur!V194*Calculateur!X194*VLOOKUP('Données projet'!$B$9,Paramètres!$A$1:$I$89,3,0)*0.475*44/12</f>
        <v>2.1728475507075267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5.6000649464275769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2.2737367544323206E-13</v>
      </c>
      <c r="O195" s="13">
        <f>N195*VLOOKUP('Données projet'!$B$9,Paramètres!$A$1:$I$89,3,0)*VLOOKUP('Données projet'!$B$9,Paramètres!$A$1:$I$89,5,0)</f>
        <v>1.3596945791505279E-13</v>
      </c>
      <c r="P195" s="13">
        <f t="shared" si="141"/>
        <v>1.9708830566360721E-12</v>
      </c>
      <c r="Q195" s="20">
        <f t="shared" si="162"/>
        <v>3.669434796176543E-12</v>
      </c>
      <c r="R195" s="59">
        <f t="shared" ref="R195:R203" si="191">Q195+(I195+J195)*44/12</f>
        <v>293.33333333333701</v>
      </c>
      <c r="S195" s="59">
        <f ca="1">AVERAGE(OFFSET($R$3,0,0,'Données projet'!$E$9+1,1))-AVERAGE(OFFSET($H$3,0,0,'Données projet'!$E$9+1,1))</f>
        <v>287.52077437571728</v>
      </c>
      <c r="T195" s="59">
        <f t="shared" si="142"/>
        <v>420.95891230839874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3.3600117529861819</v>
      </c>
      <c r="AA195" s="21">
        <f>EXP(-LN(2)/25)*AA194+(1-EXP(-LN(2)/25))/(LN(2)/25)*Calculateur!V195*Calculateur!X195*VLOOKUP('Données projet'!$B$9,Paramètres!$A$1:$I$89,3,0)*0.475*44/12</f>
        <v>2.1134309201683426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5.4734426731545245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2.2737367544323206E-13</v>
      </c>
      <c r="O196" s="13">
        <f>N196*VLOOKUP('Données projet'!$B$9,Paramètres!$A$1:$I$89,3,0)*VLOOKUP('Données projet'!$B$9,Paramètres!$A$1:$I$89,5,0)</f>
        <v>1.3596945791505279E-13</v>
      </c>
      <c r="P196" s="13">
        <f t="shared" si="141"/>
        <v>1.9708830566360721E-12</v>
      </c>
      <c r="Q196" s="20">
        <f t="shared" si="162"/>
        <v>3.669434796176543E-12</v>
      </c>
      <c r="R196" s="59">
        <f t="shared" si="191"/>
        <v>293.33333333333701</v>
      </c>
      <c r="S196" s="59">
        <f ca="1">AVERAGE(OFFSET($R$3,0,0,'Données projet'!$E$9+1,1))-AVERAGE(OFFSET($H$3,0,0,'Données projet'!$E$9+1,1))</f>
        <v>287.52077437571728</v>
      </c>
      <c r="T196" s="59">
        <f t="shared" si="142"/>
        <v>420.95891230839874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3.2941239719149302</v>
      </c>
      <c r="AA196" s="21">
        <f>EXP(-LN(2)/25)*AA195+(1-EXP(-LN(2)/25))/(LN(2)/25)*Calculateur!V196*Calculateur!X196*VLOOKUP('Données projet'!$B$9,Paramètres!$A$1:$I$89,3,0)*0.475*44/12</f>
        <v>2.0556390405158376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5.3497630124307678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2.2737367544323206E-13</v>
      </c>
      <c r="O197" s="13">
        <f>N197*VLOOKUP('Données projet'!$B$9,Paramètres!$A$1:$I$89,3,0)*VLOOKUP('Données projet'!$B$9,Paramètres!$A$1:$I$89,5,0)</f>
        <v>1.3596945791505279E-13</v>
      </c>
      <c r="P197" s="13">
        <f t="shared" ref="P197:P203" si="203">EXP(-1.0587+0.8836*LN(O197)+0.284)</f>
        <v>1.9708830566360721E-12</v>
      </c>
      <c r="Q197" s="20">
        <f t="shared" si="162"/>
        <v>3.669434796176543E-12</v>
      </c>
      <c r="R197" s="59">
        <f t="shared" si="191"/>
        <v>293.33333333333701</v>
      </c>
      <c r="S197" s="59">
        <f ca="1">AVERAGE(OFFSET($R$3,0,0,'Données projet'!$E$9+1,1))-AVERAGE(OFFSET($H$3,0,0,'Données projet'!$E$9+1,1))</f>
        <v>287.52077437571728</v>
      </c>
      <c r="T197" s="59">
        <f t="shared" ref="T197:T203" si="204">$T$3</f>
        <v>420.95891230839874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3.2295282100429077</v>
      </c>
      <c r="AA197" s="21">
        <f>EXP(-LN(2)/25)*AA196+(1-EXP(-LN(2)/25))/(LN(2)/25)*Calculateur!V197*Calculateur!X197*VLOOKUP('Données projet'!$B$9,Paramètres!$A$1:$I$89,3,0)*0.475*44/12</f>
        <v>1.999427482851573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5.2289556928944805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2.2737367544323206E-13</v>
      </c>
      <c r="O198" s="13">
        <f>N198*VLOOKUP('Données projet'!$B$9,Paramètres!$A$1:$I$89,3,0)*VLOOKUP('Données projet'!$B$9,Paramètres!$A$1:$I$89,5,0)</f>
        <v>1.3596945791505279E-13</v>
      </c>
      <c r="P198" s="13">
        <f t="shared" si="203"/>
        <v>1.9708830566360721E-12</v>
      </c>
      <c r="Q198" s="20">
        <f t="shared" si="162"/>
        <v>3.669434796176543E-12</v>
      </c>
      <c r="R198" s="59">
        <f t="shared" si="191"/>
        <v>293.33333333333701</v>
      </c>
      <c r="S198" s="59">
        <f ca="1">AVERAGE(OFFSET($R$3,0,0,'Données projet'!$E$9+1,1))-AVERAGE(OFFSET($H$3,0,0,'Données projet'!$E$9+1,1))</f>
        <v>287.52077437571728</v>
      </c>
      <c r="T198" s="59">
        <f t="shared" si="204"/>
        <v>420.95891230839874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3.1661991316616711</v>
      </c>
      <c r="AA198" s="21">
        <f>EXP(-LN(2)/25)*AA197+(1-EXP(-LN(2)/25))/(LN(2)/25)*Calculateur!V198*Calculateur!X198*VLOOKUP('Données projet'!$B$9,Paramètres!$A$1:$I$89,3,0)*0.475*44/12</f>
        <v>1.9447530331876752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5.1109521648493459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2.2737367544323206E-13</v>
      </c>
      <c r="O199" s="13">
        <f>N199*VLOOKUP('Données projet'!$B$9,Paramètres!$A$1:$I$89,3,0)*VLOOKUP('Données projet'!$B$9,Paramètres!$A$1:$I$89,5,0)</f>
        <v>1.3596945791505279E-13</v>
      </c>
      <c r="P199" s="13">
        <f t="shared" si="203"/>
        <v>1.9708830566360721E-12</v>
      </c>
      <c r="Q199" s="20">
        <f t="shared" si="162"/>
        <v>3.669434796176543E-12</v>
      </c>
      <c r="R199" s="59">
        <f t="shared" si="191"/>
        <v>293.33333333333701</v>
      </c>
      <c r="S199" s="59">
        <f ca="1">AVERAGE(OFFSET($R$3,0,0,'Données projet'!$E$9+1,1))-AVERAGE(OFFSET($H$3,0,0,'Données projet'!$E$9+1,1))</f>
        <v>287.52077437571728</v>
      </c>
      <c r="T199" s="59">
        <f t="shared" si="204"/>
        <v>420.95891230839874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3.1041118978805669</v>
      </c>
      <c r="AA199" s="21">
        <f>EXP(-LN(2)/25)*AA198+(1-EXP(-LN(2)/25))/(LN(2)/25)*Calculateur!V199*Calculateur!X199*VLOOKUP('Données projet'!$B$9,Paramètres!$A$1:$I$89,3,0)*0.475*44/12</f>
        <v>1.8915736592250409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4.9956855571056078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2.2737367544323206E-13</v>
      </c>
      <c r="O200" s="13">
        <f>N200*VLOOKUP('Données projet'!$B$9,Paramètres!$A$1:$I$89,3,0)*VLOOKUP('Données projet'!$B$9,Paramètres!$A$1:$I$89,5,0)</f>
        <v>1.3596945791505279E-13</v>
      </c>
      <c r="P200" s="13">
        <f t="shared" si="203"/>
        <v>1.9708830566360721E-12</v>
      </c>
      <c r="Q200" s="20">
        <f t="shared" si="162"/>
        <v>3.669434796176543E-12</v>
      </c>
      <c r="R200" s="59">
        <f t="shared" si="191"/>
        <v>293.33333333333701</v>
      </c>
      <c r="S200" s="59">
        <f ca="1">AVERAGE(OFFSET($R$3,0,0,'Données projet'!$E$9+1,1))-AVERAGE(OFFSET($H$3,0,0,'Données projet'!$E$9+1,1))</f>
        <v>287.52077437571728</v>
      </c>
      <c r="T200" s="59">
        <f t="shared" si="204"/>
        <v>420.95891230839874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3.0432421568844368</v>
      </c>
      <c r="AA200" s="21">
        <f>EXP(-LN(2)/25)*AA199+(1-EXP(-LN(2)/25))/(LN(2)/25)*Calculateur!V200*Calculateur!X200*VLOOKUP('Données projet'!$B$9,Paramètres!$A$1:$I$89,3,0)*0.475*44/12</f>
        <v>1.8398484780399966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4.8830906349244332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2.2737367544323206E-13</v>
      </c>
      <c r="O201" s="13">
        <f>N201*VLOOKUP('Données projet'!$B$9,Paramètres!$A$1:$I$89,3,0)*VLOOKUP('Données projet'!$B$9,Paramètres!$A$1:$I$89,5,0)</f>
        <v>1.3596945791505279E-13</v>
      </c>
      <c r="P201" s="13">
        <f t="shared" si="203"/>
        <v>1.9708830566360721E-12</v>
      </c>
      <c r="Q201" s="20">
        <f t="shared" si="162"/>
        <v>3.669434796176543E-12</v>
      </c>
      <c r="R201" s="59">
        <f t="shared" si="191"/>
        <v>293.33333333333701</v>
      </c>
      <c r="S201" s="59">
        <f ca="1">AVERAGE(OFFSET($R$3,0,0,'Données projet'!$E$9+1,1))-AVERAGE(OFFSET($H$3,0,0,'Données projet'!$E$9+1,1))</f>
        <v>287.52077437571728</v>
      </c>
      <c r="T201" s="59">
        <f t="shared" si="204"/>
        <v>420.95891230839874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2.9835660343823647</v>
      </c>
      <c r="AA201" s="21">
        <f>EXP(-LN(2)/25)*AA200+(1-EXP(-LN(2)/25))/(LN(2)/25)*Calculateur!V201*Calculateur!X201*VLOOKUP('Données projet'!$B$9,Paramètres!$A$1:$I$89,3,0)*0.475*44/12</f>
        <v>1.7895377246545665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4.773103759036931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2.2737367544323206E-13</v>
      </c>
      <c r="O202" s="13">
        <f>N202*VLOOKUP('Données projet'!$B$9,Paramètres!$A$1:$I$89,3,0)*VLOOKUP('Données projet'!$B$9,Paramètres!$A$1:$I$89,5,0)</f>
        <v>1.3596945791505279E-13</v>
      </c>
      <c r="P202" s="13">
        <f t="shared" si="203"/>
        <v>1.9708830566360721E-12</v>
      </c>
      <c r="Q202" s="20">
        <f t="shared" si="162"/>
        <v>3.669434796176543E-12</v>
      </c>
      <c r="R202" s="59">
        <f t="shared" si="191"/>
        <v>293.33333333333701</v>
      </c>
      <c r="S202" s="59">
        <f ca="1">AVERAGE(OFFSET($R$3,0,0,'Données projet'!$E$9+1,1))-AVERAGE(OFFSET($H$3,0,0,'Données projet'!$E$9+1,1))</f>
        <v>287.52077437571728</v>
      </c>
      <c r="T202" s="59">
        <f t="shared" si="204"/>
        <v>420.95891230839874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2.9250601242437178</v>
      </c>
      <c r="AA202" s="21">
        <f>EXP(-LN(2)/25)*AA201+(1-EXP(-LN(2)/25))/(LN(2)/25)*Calculateur!V202*Calculateur!X202*VLOOKUP('Données projet'!$B$9,Paramètres!$A$1:$I$89,3,0)*0.475*44/12</f>
        <v>1.7406027214661886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4.6656628457099067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2.2737367544323206E-13</v>
      </c>
      <c r="O203" s="13">
        <f>N203*VLOOKUP('Données projet'!$B$9,Paramètres!$A$1:$I$89,3,0)*VLOOKUP('Données projet'!$B$9,Paramètres!$A$1:$I$89,5,0)</f>
        <v>1.3596945791505279E-13</v>
      </c>
      <c r="P203" s="13">
        <f t="shared" si="203"/>
        <v>1.9708830566360721E-12</v>
      </c>
      <c r="Q203" s="20">
        <f t="shared" si="162"/>
        <v>3.669434796176543E-12</v>
      </c>
      <c r="R203" s="59">
        <f t="shared" si="191"/>
        <v>293.33333333333701</v>
      </c>
      <c r="S203" s="59">
        <f ca="1">AVERAGE(OFFSET($R$3,0,0,'Données projet'!$E$9+1,1))-AVERAGE(OFFSET($H$3,0,0,'Données projet'!$E$9+1,1))</f>
        <v>287.52077437571728</v>
      </c>
      <c r="T203" s="59">
        <f t="shared" si="204"/>
        <v>420.95891230839874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2.8677014793178079</v>
      </c>
      <c r="AA203" s="21">
        <f>EXP(-LN(2)/25)*AA202+(1-EXP(-LN(2)/25))/(LN(2)/25)*Calculateur!V203*Calculateur!X203*VLOOKUP('Données projet'!$B$9,Paramètres!$A$1:$I$89,3,0)*0.475*44/12</f>
        <v>1.6930058485133768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4.5607073278311852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1.3973210857138749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90625" style="4" bestFit="1" customWidth="1"/>
    <col min="4" max="4" width="40" style="4" bestFit="1" customWidth="1"/>
    <col min="5" max="5" width="11.9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8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9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8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0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0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9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8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9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9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9" t="s">
        <v>271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taeda</v>
      </c>
      <c r="B6" s="146">
        <f>'Données projet'!D9</f>
        <v>2.1800000000000002</v>
      </c>
      <c r="C6" s="147">
        <f ca="1">IF(OR('Données projet'!B9="",'Données projet'!C9="",'Données projet'!C9=0%),0,Calculateur!S3)</f>
        <v>287.52077437571728</v>
      </c>
      <c r="D6" s="147">
        <f>IF(OR('Données projet'!B9="",'Données projet'!C9="",'Données projet'!C9=0%),0,Calculateur!T3)</f>
        <v>420.95891230839874</v>
      </c>
      <c r="E6" s="147">
        <f ca="1">MIN(C6,D6)</f>
        <v>287.52077437571728</v>
      </c>
      <c r="F6" s="147">
        <f ca="1">E6*B6</f>
        <v>626.7952881390637</v>
      </c>
      <c r="G6" s="147">
        <f ca="1">F6*(100%-'Données projet'!$C$24)*(100%-'Données projet'!$C$25)*(100%-'Données projet'!$C$26)*(100%-'Données projet'!$C$27)</f>
        <v>535.9099713588995</v>
      </c>
      <c r="H6" s="148">
        <f>IF(OR('Données projet'!B9="",'Données projet'!C9="",'Données projet'!C9=0%),0,AVERAGE(Calculateur!$AC$3:$AC$33)*B6)</f>
        <v>34.877970172456727</v>
      </c>
      <c r="I6" s="149">
        <f>H6*(100%-'Données projet'!$C$24)*(100%-'Données projet'!$C$25)*(100%-'Données projet'!$C$26)*(100%-'Données projet'!$C$27)</f>
        <v>29.820664497450501</v>
      </c>
      <c r="J6" s="150">
        <f>IF(OR('Données projet'!B9="",'Données projet'!C9="",'Données projet'!C9=0%),0,SUM(Calculateur!$V$3:$V$33)*VLOOKUP('Données projet'!$B$9,Paramètres!$A$1:$I$89,9,0)*B6)</f>
        <v>145.02515400000001</v>
      </c>
      <c r="K6" s="151">
        <f>J6*(100%-'Données projet'!$C$24)*(100%-'Données projet'!$C$25)*(100%-'Données projet'!$C$26)*(100%-'Données projet'!$C$27)</f>
        <v>123.99650667000002</v>
      </c>
      <c r="L6" s="152">
        <f ca="1">G6+I6+K6</f>
        <v>689.72714252635001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626.7952881390637</v>
      </c>
      <c r="G16" s="166">
        <f t="shared" ca="1" si="3"/>
        <v>535.9099713588995</v>
      </c>
      <c r="H16" s="167">
        <f t="shared" si="3"/>
        <v>34.877970172456727</v>
      </c>
      <c r="I16" s="167">
        <f t="shared" si="3"/>
        <v>29.820664497450501</v>
      </c>
      <c r="J16" s="168">
        <f t="shared" si="3"/>
        <v>145.02515400000001</v>
      </c>
      <c r="K16" s="168">
        <f t="shared" si="3"/>
        <v>123.99650667000002</v>
      </c>
      <c r="L16" s="169">
        <f t="shared" ca="1" si="3"/>
        <v>689.72714252635001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1" t="s">
        <v>246</v>
      </c>
      <c r="G17" s="292"/>
      <c r="H17" s="292"/>
      <c r="I17" s="292"/>
      <c r="J17" s="292"/>
      <c r="K17" s="292"/>
      <c r="L17" s="29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8"/>
      <c r="G18" s="278"/>
      <c r="H18" s="278"/>
      <c r="I18" s="278"/>
      <c r="J18" s="278"/>
      <c r="K18" s="278"/>
      <c r="L18" s="278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taeda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M11" zoomScale="80" zoomScaleNormal="80" workbookViewId="0">
      <selection activeCell="S29" sqref="S29:U33"/>
    </sheetView>
  </sheetViews>
  <sheetFormatPr baseColWidth="10" defaultColWidth="11.453125" defaultRowHeight="14.5" x14ac:dyDescent="0.35"/>
  <cols>
    <col min="1" max="1" width="11.453125" style="1"/>
    <col min="2" max="2" width="30.9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54296875" style="1" customWidth="1"/>
    <col min="8" max="8" width="21.6328125" style="1" customWidth="1"/>
    <col min="9" max="9" width="37" style="1" customWidth="1"/>
    <col min="10" max="10" width="11.453125" style="1"/>
    <col min="11" max="11" width="8.9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9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9" t="s">
        <v>272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5" t="s">
        <v>315</v>
      </c>
      <c r="I4" s="265"/>
      <c r="K4" s="307" t="s">
        <v>253</v>
      </c>
      <c r="L4" s="30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9" t="s">
        <v>310</v>
      </c>
      <c r="S7" s="300"/>
      <c r="T7" s="300"/>
      <c r="U7" s="300"/>
      <c r="V7" s="301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taeda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-1379.1871665229144</v>
      </c>
      <c r="U10" s="178">
        <f>'Données projet'!D9</f>
        <v>2.1800000000000002</v>
      </c>
      <c r="V10" s="177">
        <f>U10*T10</f>
        <v>-3006.6280230199536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taeda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1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10"/>
      <c r="H16" s="190"/>
      <c r="I16" s="191"/>
      <c r="J16" s="202"/>
      <c r="K16" s="208"/>
      <c r="L16" s="307" t="s">
        <v>254</v>
      </c>
      <c r="M16" s="30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662.5+(593.84+228.4)/2.15</f>
        <v>1044.9372093023255</v>
      </c>
      <c r="F17" s="230"/>
      <c r="G17" s="310"/>
      <c r="I17" s="195"/>
      <c r="J17" s="202"/>
      <c r="K17" s="208"/>
      <c r="L17" s="267" t="s">
        <v>289</v>
      </c>
      <c r="M17" s="269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220+430</f>
        <v>650</v>
      </c>
      <c r="F18" s="230"/>
      <c r="G18" s="310"/>
      <c r="J18" s="202"/>
      <c r="K18" s="208"/>
      <c r="L18" s="267" t="s">
        <v>255</v>
      </c>
      <c r="M18" s="269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400+430+15%*E17</f>
        <v>986.74058139534884</v>
      </c>
      <c r="F19" s="230"/>
      <c r="G19" s="310"/>
      <c r="H19" s="212" t="s">
        <v>178</v>
      </c>
      <c r="I19" s="212" t="s">
        <v>287</v>
      </c>
      <c r="J19" s="93"/>
      <c r="K19" s="173"/>
      <c r="L19" s="307" t="s">
        <v>288</v>
      </c>
      <c r="M19" s="30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220+430</f>
        <v>650</v>
      </c>
      <c r="F20" s="230"/>
      <c r="G20" s="310"/>
      <c r="H20" s="190">
        <v>1</v>
      </c>
      <c r="I20" s="191">
        <f>20+(400/'Données projet'!C5+20)+(200/'Données projet'!C5+10)</f>
        <v>325.2293577981651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20+200/'Données projet'!C5+10</f>
        <v>121.74311926605503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34.25</v>
      </c>
      <c r="C23" s="193">
        <v>5</v>
      </c>
      <c r="D23" s="182">
        <f>B23*C23</f>
        <v>171.25</v>
      </c>
      <c r="E23" s="193"/>
      <c r="F23" s="230"/>
      <c r="H23" s="190">
        <v>4</v>
      </c>
      <c r="I23" s="191">
        <v>20</v>
      </c>
      <c r="K23" s="208"/>
      <c r="L23" s="309" t="s">
        <v>260</v>
      </c>
      <c r="M23" s="309"/>
      <c r="N23" s="309"/>
      <c r="O23" s="23"/>
      <c r="P23" s="23"/>
      <c r="Q23" s="234"/>
      <c r="R23" s="23"/>
      <c r="S23" s="36" t="s">
        <v>264</v>
      </c>
      <c r="T23" s="30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-5047.1000812987595</v>
      </c>
      <c r="U23" s="304"/>
      <c r="V23" s="30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59.5</v>
      </c>
      <c r="C24" s="193">
        <v>5</v>
      </c>
      <c r="D24" s="182">
        <f t="shared" ref="D24:D42" si="2">B24*C24</f>
        <v>297.5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20+8%*(SUM(E17:E22)*U10+SUM(E$48:E53)*U11+SUM(E79:E84)*U12+SUM(E110:E115)*U13+SUM(E141:E146)*U14+SUM(E172:E177)*U15+SUM(E203:E208)*U16+SUM(E234:E239)*U17+SUM(E265:E270)*U18+SUM(E296:E301)*U19)/'Données projet'!$C$5</f>
        <v>286.53422325581397</v>
      </c>
      <c r="K24" s="208"/>
      <c r="O24" s="23"/>
      <c r="P24" s="23"/>
      <c r="Q24" s="234"/>
      <c r="R24" s="23"/>
      <c r="S24" s="36" t="s">
        <v>261</v>
      </c>
      <c r="T24" s="30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5"/>
      <c r="V24" s="305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60.96</v>
      </c>
      <c r="C25" s="193">
        <v>8.5</v>
      </c>
      <c r="D25" s="182">
        <f t="shared" si="2"/>
        <v>518.16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6">
        <f ca="1">T23-T24</f>
        <v>-5047.1000812987595</v>
      </c>
      <c r="U25" s="306"/>
      <c r="V25" s="306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76.42</v>
      </c>
      <c r="C26" s="193">
        <v>15.5</v>
      </c>
      <c r="D26" s="182">
        <f t="shared" si="2"/>
        <v>1184.51</v>
      </c>
      <c r="E26" s="193"/>
      <c r="F26" s="233"/>
      <c r="G26" s="229"/>
      <c r="H26" s="190">
        <v>7</v>
      </c>
      <c r="I26" s="191">
        <v>20</v>
      </c>
      <c r="K26" s="208"/>
      <c r="L26" s="293" t="s">
        <v>258</v>
      </c>
      <c r="M26" s="294"/>
      <c r="N26" s="294"/>
      <c r="O26" s="294"/>
      <c r="P26" s="295"/>
      <c r="Q26" s="234"/>
      <c r="R26" s="23"/>
      <c r="S26" s="186" t="s">
        <v>265</v>
      </c>
      <c r="T26" s="303" t="str">
        <f ca="1">IF(T25&lt;0,"Votre projet est additionnel","Votre projet n'est pas additionnel")</f>
        <v>Votre projet est additionnel</v>
      </c>
      <c r="U26" s="303"/>
      <c r="V26" s="303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503.89</v>
      </c>
      <c r="C27" s="193">
        <v>15.5</v>
      </c>
      <c r="D27" s="182">
        <f t="shared" si="2"/>
        <v>7810.2950000000001</v>
      </c>
      <c r="E27" s="193"/>
      <c r="F27" s="233"/>
      <c r="G27" s="229"/>
      <c r="H27" s="190">
        <v>8</v>
      </c>
      <c r="I27" s="191">
        <v>20</v>
      </c>
      <c r="K27" s="208"/>
      <c r="L27" s="296"/>
      <c r="M27" s="297"/>
      <c r="N27" s="297"/>
      <c r="O27" s="297"/>
      <c r="P27" s="298"/>
      <c r="Q27" s="234"/>
      <c r="R27" s="23"/>
      <c r="S27" s="302" t="s">
        <v>267</v>
      </c>
      <c r="T27" s="302"/>
      <c r="U27" s="302"/>
      <c r="V27" s="302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325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326</v>
      </c>
      <c r="U30" s="1">
        <f>SUM(E17:E22)*U10+SUM(E$48:E53)*U11+SUM(E79:E84)*U12+SUM(E110:E115)*U13+SUM(E141:E146)*U14+SUM(E172:E177)*U15+SUM(E203:E208)*U16+SUM(E234:E239)*U17+SUM(E265:E270)*U18+SUM(E296:E301)*U19</f>
        <v>7263.0575837209308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327</v>
      </c>
      <c r="U31" s="1">
        <f>SUM(I19:I23)*SUM(U10:U19)</f>
        <v>1061.5999999999999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328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9824.6575837209311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>
        <v>55</v>
      </c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>
        <v>56</v>
      </c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>
        <v>57</v>
      </c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>
        <v>58</v>
      </c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>
        <v>60</v>
      </c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Props1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Cédric Mimran</cp:lastModifiedBy>
  <dcterms:created xsi:type="dcterms:W3CDTF">2021-02-01T08:22:39Z</dcterms:created>
  <dcterms:modified xsi:type="dcterms:W3CDTF">2024-12-12T16:59:40Z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