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SUD-OUEST (CI)/2PAQU-123/Dossier Augustin/"/>
    </mc:Choice>
  </mc:AlternateContent>
  <xr:revisionPtr revIDLastSave="27" documentId="8_{DAABA88E-E2B5-497B-B670-E22565334010}" xr6:coauthVersionLast="47" xr6:coauthVersionMax="47" xr10:uidLastSave="{B5475E94-60B8-4FF0-AEF7-3AA4698911A3}"/>
  <bookViews>
    <workbookView xWindow="-110" yWindow="-110" windowWidth="25820" windowHeight="1550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9" i="6" l="1"/>
  <c r="E82" i="6"/>
  <c r="E80" i="6"/>
  <c r="E81" i="6"/>
  <c r="E48" i="6"/>
  <c r="E17" i="6"/>
  <c r="E51" i="6"/>
  <c r="E49" i="6"/>
  <c r="E50" i="6"/>
  <c r="E18" i="6" l="1"/>
  <c r="E19" i="6"/>
  <c r="E20" i="6"/>
  <c r="I22" i="6"/>
  <c r="I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V10" i="6" l="1"/>
  <c r="I24" i="6"/>
  <c r="P67" i="6"/>
  <c r="H19" i="2"/>
  <c r="D20" i="2"/>
  <c r="G20" i="2" s="1"/>
  <c r="P40" i="6"/>
  <c r="T23" i="6" l="1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DN103" i="2" a="1"/>
  <c r="DN103" i="2" s="1"/>
  <c r="DN114" i="2" a="1"/>
  <c r="DN114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AH90" i="2" l="1" a="1"/>
  <c r="AH90" i="2" s="1"/>
  <c r="AH151" i="2" a="1"/>
  <c r="AH151" i="2" s="1"/>
  <c r="AH62" i="2" a="1"/>
  <c r="AH62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74" i="2" l="1"/>
  <c r="BI47" i="2"/>
  <c r="BI18" i="2"/>
  <c r="BI126" i="2"/>
  <c r="BI102" i="2"/>
  <c r="BI192" i="2"/>
  <c r="BI21" i="2"/>
  <c r="BI97" i="2"/>
  <c r="BI160" i="2"/>
  <c r="BI89" i="2"/>
  <c r="BI150" i="2"/>
  <c r="BI155" i="2"/>
  <c r="BI114" i="2"/>
  <c r="BI100" i="2"/>
  <c r="BI22" i="2"/>
  <c r="BI169" i="2"/>
  <c r="BI27" i="2"/>
  <c r="BI142" i="2"/>
  <c r="BI40" i="2"/>
  <c r="BI136" i="2"/>
  <c r="BI201" i="2"/>
  <c r="BI20" i="2"/>
  <c r="BI69" i="2"/>
  <c r="BI107" i="2"/>
  <c r="BI34" i="2"/>
  <c r="BI120" i="2"/>
  <c r="BI105" i="2"/>
  <c r="BI180" i="2"/>
  <c r="BI119" i="2"/>
  <c r="BI36" i="2"/>
  <c r="BI176" i="2"/>
  <c r="BI133" i="2"/>
  <c r="BI171" i="2"/>
  <c r="BI4" i="2"/>
  <c r="BI118" i="2"/>
  <c r="BI75" i="2"/>
  <c r="BI164" i="2"/>
  <c r="BI170" i="2"/>
  <c r="BI10" i="2"/>
  <c r="BI135" i="2"/>
  <c r="BI66" i="2"/>
  <c r="BI186" i="2"/>
  <c r="BI41" i="2"/>
  <c r="BI151" i="2"/>
  <c r="BI8" i="2"/>
  <c r="BI29" i="2"/>
  <c r="BI85" i="2"/>
  <c r="BI184" i="2"/>
  <c r="BI24" i="2"/>
  <c r="BI124" i="2"/>
  <c r="BI52" i="2"/>
  <c r="BI83" i="2"/>
  <c r="BI121" i="2"/>
  <c r="BI16" i="2"/>
  <c r="BI175" i="2"/>
  <c r="BI71" i="2"/>
  <c r="BI191" i="2"/>
  <c r="BI167" i="2"/>
  <c r="BI68" i="2"/>
  <c r="BI154" i="2"/>
  <c r="BI110" i="2"/>
  <c r="BI50" i="2"/>
  <c r="BI48" i="2"/>
  <c r="BI94" i="2"/>
  <c r="BI196" i="2"/>
  <c r="BI30" i="2"/>
  <c r="BI99" i="2"/>
  <c r="BI125" i="2"/>
  <c r="BI26" i="2"/>
  <c r="BI173" i="2"/>
  <c r="BI188" i="2"/>
  <c r="BI161" i="2"/>
  <c r="BI73" i="2"/>
  <c r="BI79" i="2"/>
  <c r="BI103" i="2"/>
  <c r="BI148" i="2"/>
  <c r="BI132" i="2"/>
  <c r="BI74" i="2"/>
  <c r="BI96" i="2"/>
  <c r="BI91" i="2"/>
  <c r="BI117" i="2"/>
  <c r="BI9" i="2"/>
  <c r="BI194" i="2"/>
  <c r="BI95" i="2"/>
  <c r="BI38" i="2"/>
  <c r="BI88" i="2"/>
  <c r="BI80" i="2"/>
  <c r="BI70" i="2"/>
  <c r="BI72" i="2"/>
  <c r="BI44" i="2"/>
  <c r="BI116" i="2"/>
  <c r="BI130" i="2"/>
  <c r="BI127" i="2"/>
  <c r="BI3" i="2"/>
  <c r="C8" i="4" s="1"/>
  <c r="E8" i="4" s="1"/>
  <c r="F8" i="4" s="1"/>
  <c r="G8" i="4" s="1"/>
  <c r="L8" i="4" s="1"/>
  <c r="BI63" i="2"/>
  <c r="BI178" i="2"/>
  <c r="BI15" i="2"/>
  <c r="BI187" i="2"/>
  <c r="BI59" i="2"/>
  <c r="BI54" i="2"/>
  <c r="BI92" i="2"/>
  <c r="BI62" i="2"/>
  <c r="BI129" i="2"/>
  <c r="BI153" i="2"/>
  <c r="BI189" i="2"/>
  <c r="BI134" i="2"/>
  <c r="BI138" i="2"/>
  <c r="BI5" i="2"/>
  <c r="BI163" i="2"/>
  <c r="BI31" i="2"/>
  <c r="BI157" i="2"/>
  <c r="BI183" i="2"/>
  <c r="BI7" i="2"/>
  <c r="BI106" i="2"/>
  <c r="BI147" i="2"/>
  <c r="BI87" i="2"/>
  <c r="BI90" i="2"/>
  <c r="BI37" i="2"/>
  <c r="BI28" i="2"/>
  <c r="BI42" i="2"/>
  <c r="BI60" i="2"/>
  <c r="BI104" i="2"/>
  <c r="BI111" i="2"/>
  <c r="BI76" i="2"/>
  <c r="BI11" i="2"/>
  <c r="BI203" i="2"/>
  <c r="BI159" i="2"/>
  <c r="BI137" i="2"/>
  <c r="BI43" i="2"/>
  <c r="BI152" i="2"/>
  <c r="BI45" i="2"/>
  <c r="BI112" i="2"/>
  <c r="BI77" i="2"/>
  <c r="BI39" i="2"/>
  <c r="BI32" i="2"/>
  <c r="BI25" i="2"/>
  <c r="BI156" i="2"/>
  <c r="BI6" i="2"/>
  <c r="BI181" i="2"/>
  <c r="BI141" i="2"/>
  <c r="BI123" i="2"/>
  <c r="BI61" i="2"/>
  <c r="BI143" i="2"/>
  <c r="BI49" i="2"/>
  <c r="BI113" i="2"/>
  <c r="BI67" i="2"/>
  <c r="BI84" i="2"/>
  <c r="BI198" i="2"/>
  <c r="BI53" i="2"/>
  <c r="BI165" i="2"/>
  <c r="BI93" i="2"/>
  <c r="BI182" i="2"/>
  <c r="BI168" i="2"/>
  <c r="BI185" i="2"/>
  <c r="BI158" i="2"/>
  <c r="BI128" i="2"/>
  <c r="BI56" i="2"/>
  <c r="BI35" i="2"/>
  <c r="BI13" i="2"/>
  <c r="BI101" i="2"/>
  <c r="BI122" i="2"/>
  <c r="BI65" i="2"/>
  <c r="BI98" i="2"/>
  <c r="BI199" i="2"/>
  <c r="BI19" i="2"/>
  <c r="BI190" i="2"/>
  <c r="BI12" i="2"/>
  <c r="BI172" i="2"/>
  <c r="BI177" i="2"/>
  <c r="BI33" i="2"/>
  <c r="BI82" i="2"/>
  <c r="BI146" i="2"/>
  <c r="BI81" i="2"/>
  <c r="BI23" i="2"/>
  <c r="BI202" i="2"/>
  <c r="BI140" i="2"/>
  <c r="BI115" i="2"/>
  <c r="BI145" i="2"/>
  <c r="BI179" i="2"/>
  <c r="BI166" i="2"/>
  <c r="BI14" i="2"/>
  <c r="BI195" i="2"/>
  <c r="BI51" i="2"/>
  <c r="BI86" i="2"/>
  <c r="BI57" i="2"/>
  <c r="BI78" i="2"/>
  <c r="BI46" i="2"/>
  <c r="BI200" i="2"/>
  <c r="BI17" i="2"/>
  <c r="BI58" i="2"/>
  <c r="BI197" i="2"/>
  <c r="BI193" i="2"/>
  <c r="BI144" i="2"/>
  <c r="BI109" i="2"/>
  <c r="BI131" i="2"/>
  <c r="BI55" i="2"/>
  <c r="BI108" i="2"/>
  <c r="BI64" i="2"/>
  <c r="BI139" i="2"/>
  <c r="BI162" i="2"/>
  <c r="BI149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  <author>tc={7B34205B-B478-4CE7-B536-DDDF7FA0A16F}</author>
    <author>tc={FD2A2EE3-3F13-4CC4-B574-447BA3CEF9E6}</author>
    <author>tc={91F1CD10-7708-4694-9AA4-B45E7498CBB9}</author>
    <author>tc={57615E26-F391-4647-99F1-FB9ADFDA4321}</author>
    <author>tc={79A6FAAF-F026-4F89-B340-FCA3BA486B44}</author>
    <author>tc={D35D5EA3-5C01-4F58-8BB5-BC6B32D6A470}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  <comment ref="E49" authorId="7" shapeId="0" xr:uid="{7B34205B-B478-4CE7-B536-DDDF7FA0A16F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50" authorId="8" shapeId="0" xr:uid="{FD2A2EE3-3F13-4CC4-B574-447BA3CEF9E6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51" authorId="9" shapeId="0" xr:uid="{91F1CD10-7708-4694-9AA4-B45E7498CBB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0" authorId="10" shapeId="0" xr:uid="{57615E26-F391-4647-99F1-FB9ADFDA432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81" authorId="11" shapeId="0" xr:uid="{79A6FAAF-F026-4F89-B340-FCA3BA486B44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E82" authorId="12" shapeId="0" xr:uid="{D35D5EA3-5C01-4F58-8BB5-BC6B32D6A4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</commentList>
</comments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<sst xmlns="http://schemas.openxmlformats.org/spreadsheetml/2006/main" count="1173" uniqueCount="325">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</sst>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Pourcentage" xfId="1" builtinId="5"/>
    <cellStyle name="Pourcentage 2" xfId="3" xr:uid="{DD3A0AF2-29FA-4B0B-B065-41CFE1C14785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2.636080854320356</c:v>
                </c:pt>
                <c:pt idx="2">
                  <c:v>3.1110530324640444</c:v>
                </c:pt>
                <c:pt idx="3">
                  <c:v>3.6719209076150001</c:v>
                </c:pt>
                <c:pt idx="4">
                  <c:v>4.3342719089880859</c:v>
                </c:pt>
                <c:pt idx="5">
                  <c:v>5.1165312496629056</c:v>
                </c:pt>
                <c:pt idx="6">
                  <c:v>6.0404801126701813</c:v>
                </c:pt>
                <c:pt idx="7">
                  <c:v>7.1318687212121814</c:v>
                </c:pt>
                <c:pt idx="8">
                  <c:v>8.421141711256892</c:v>
                </c:pt>
                <c:pt idx="9">
                  <c:v>9.9442964297020549</c:v>
                </c:pt>
                <c:pt idx="10">
                  <c:v>11.743898577217735</c:v>
                </c:pt>
                <c:pt idx="11">
                  <c:v>13.870284110919128</c:v>
                </c:pt>
                <c:pt idx="12">
                  <c:v>16.382981647571366</c:v>
                </c:pt>
                <c:pt idx="13">
                  <c:v>19.352395916410792</c:v>
                </c:pt>
                <c:pt idx="14">
                  <c:v>22.861800283595556</c:v>
                </c:pt>
                <c:pt idx="15">
                  <c:v>27.009695223137253</c:v>
                </c:pt>
                <c:pt idx="16">
                  <c:v>31.912600097171502</c:v>
                </c:pt>
                <c:pt idx="17">
                  <c:v>37.708358034150798</c:v>
                </c:pt>
                <c:pt idx="18">
                  <c:v>44.560048415602985</c:v>
                </c:pt>
                <c:pt idx="19">
                  <c:v>52.660618925587066</c:v>
                </c:pt>
                <c:pt idx="20">
                  <c:v>62.238369785793118</c:v>
                </c:pt>
                <c:pt idx="21">
                  <c:v>73.56344729071931</c:v>
                </c:pt>
                <c:pt idx="22">
                  <c:v>86.955532779651051</c:v>
                </c:pt>
                <c:pt idx="23">
                  <c:v>102.79294757476977</c:v>
                </c:pt>
                <c:pt idx="24">
                  <c:v>121.52343517290497</c:v>
                </c:pt>
                <c:pt idx="25">
                  <c:v>143.67693028220032</c:v>
                </c:pt>
                <c:pt idx="26">
                  <c:v>169.88068154330901</c:v>
                </c:pt>
                <c:pt idx="27">
                  <c:v>200.87716262642871</c:v>
                </c:pt>
                <c:pt idx="28">
                  <c:v>237.54528681731156</c:v>
                </c:pt>
                <c:pt idx="29">
                  <c:v>280.92553552941558</c:v>
                </c:pt>
                <c:pt idx="30">
                  <c:v>252.89849659506197</c:v>
                </c:pt>
                <c:pt idx="31">
                  <c:v>274.59049242832583</c:v>
                </c:pt>
                <c:pt idx="32">
                  <c:v>296.24399363533558</c:v>
                </c:pt>
                <c:pt idx="33">
                  <c:v>317.86220838723972</c:v>
                </c:pt>
                <c:pt idx="34">
                  <c:v>339.44787284177943</c:v>
                </c:pt>
                <c:pt idx="35">
                  <c:v>315.3813692185883</c:v>
                </c:pt>
                <c:pt idx="36">
                  <c:v>334.45568573997866</c:v>
                </c:pt>
                <c:pt idx="37">
                  <c:v>353.50604121858942</c:v>
                </c:pt>
                <c:pt idx="38">
                  <c:v>372.53390804235232</c:v>
                </c:pt>
                <c:pt idx="39">
                  <c:v>391.54059595731172</c:v>
                </c:pt>
                <c:pt idx="40">
                  <c:v>410.52727721949122</c:v>
                </c:pt>
                <c:pt idx="41">
                  <c:v>429.49500685020001</c:v>
                </c:pt>
                <c:pt idx="42">
                  <c:v>448.44473912647305</c:v>
                </c:pt>
                <c:pt idx="43">
                  <c:v>386.00587885260944</c:v>
                </c:pt>
                <c:pt idx="44">
                  <c:v>411.2705493966983</c:v>
                </c:pt>
                <c:pt idx="45">
                  <c:v>436.50173032375602</c:v>
                </c:pt>
                <c:pt idx="46">
                  <c:v>461.70162769615814</c:v>
                </c:pt>
                <c:pt idx="47">
                  <c:v>486.87218731052076</c:v>
                </c:pt>
                <c:pt idx="48">
                  <c:v>512.01513754296764</c:v>
                </c:pt>
                <c:pt idx="49">
                  <c:v>537.13202334184496</c:v>
                </c:pt>
                <c:pt idx="50">
                  <c:v>562.22423353342549</c:v>
                </c:pt>
                <c:pt idx="51">
                  <c:v>437.54557086783967</c:v>
                </c:pt>
                <c:pt idx="52">
                  <c:v>460.40411338215495</c:v>
                </c:pt>
                <c:pt idx="53">
                  <c:v>483.23844157610097</c:v>
                </c:pt>
                <c:pt idx="54">
                  <c:v>506.04985953638578</c:v>
                </c:pt>
                <c:pt idx="55">
                  <c:v>528.8395442917448</c:v>
                </c:pt>
                <c:pt idx="56">
                  <c:v>551.60856324457643</c:v>
                </c:pt>
                <c:pt idx="57">
                  <c:v>574.35788857601642</c:v>
                </c:pt>
                <c:pt idx="58">
                  <c:v>597.08840925132006</c:v>
                </c:pt>
                <c:pt idx="59">
                  <c:v>619.80094110320726</c:v>
                </c:pt>
                <c:pt idx="60">
                  <c:v>642.49623536140291</c:v>
                </c:pt>
                <c:pt idx="61">
                  <c:v>665.17498591529204</c:v>
                </c:pt>
                <c:pt idx="62">
                  <c:v>687.83783553547198</c:v>
                </c:pt>
                <c:pt idx="63">
                  <c:v>680.54191249602673</c:v>
                </c:pt>
                <c:pt idx="64">
                  <c:v>701.73592702625103</c:v>
                </c:pt>
                <c:pt idx="65">
                  <c:v>722.91684830824988</c:v>
                </c:pt>
                <c:pt idx="66">
                  <c:v>744.08511352656251</c:v>
                </c:pt>
                <c:pt idx="67">
                  <c:v>765.24113299255896</c:v>
                </c:pt>
                <c:pt idx="68">
                  <c:v>786.38529250844852</c:v>
                </c:pt>
                <c:pt idx="69">
                  <c:v>807.51795546410449</c:v>
                </c:pt>
                <c:pt idx="70">
                  <c:v>828.63946470324436</c:v>
                </c:pt>
                <c:pt idx="71">
                  <c:v>849.75014418967828</c:v>
                </c:pt>
                <c:pt idx="72">
                  <c:v>870.85030049957822</c:v>
                </c:pt>
                <c:pt idx="73">
                  <c:v>891.94022416178871</c:v>
                </c:pt>
                <c:pt idx="74">
                  <c:v>913.02019086494977</c:v>
                </c:pt>
                <c:pt idx="75">
                  <c:v>934.09046254749762</c:v>
                </c:pt>
                <c:pt idx="76">
                  <c:v>955.151288384341</c:v>
                </c:pt>
                <c:pt idx="77">
                  <c:v>976.20290568211578</c:v>
                </c:pt>
                <c:pt idx="78">
                  <c:v>997.24554069331555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2.1401809042543243</c:v>
                </c:pt>
                <c:pt idx="2">
                  <c:v>2.9539701571329178</c:v>
                </c:pt>
                <c:pt idx="3">
                  <c:v>4.0785236834754839</c:v>
                </c:pt>
                <c:pt idx="4">
                  <c:v>5.632990739716111</c:v>
                </c:pt>
                <c:pt idx="5">
                  <c:v>7.7823738660110378</c:v>
                </c:pt>
                <c:pt idx="6">
                  <c:v>10.755235827707105</c:v>
                </c:pt>
                <c:pt idx="7">
                  <c:v>14.868265954570242</c:v>
                </c:pt>
                <c:pt idx="8">
                  <c:v>20.560370745051507</c:v>
                </c:pt>
                <c:pt idx="9">
                  <c:v>28.439991596203328</c:v>
                </c:pt>
                <c:pt idx="10">
                  <c:v>39.350795770602367</c:v>
                </c:pt>
                <c:pt idx="11">
                  <c:v>54.462893774670114</c:v>
                </c:pt>
                <c:pt idx="12">
                  <c:v>75.39952790323126</c:v>
                </c:pt>
                <c:pt idx="13">
                  <c:v>104.41306006066355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193.29052168884596</c:v>
                </c:pt>
                <c:pt idx="21">
                  <c:v>220.93536617179186</c:v>
                </c:pt>
                <c:pt idx="22">
                  <c:v>248.50075413542206</c:v>
                </c:pt>
                <c:pt idx="23">
                  <c:v>275.99673833280997</c:v>
                </c:pt>
                <c:pt idx="24">
                  <c:v>303.43120230449443</c:v>
                </c:pt>
                <c:pt idx="25">
                  <c:v>330.81048669188147</c:v>
                </c:pt>
                <c:pt idx="26">
                  <c:v>279.10466657355261</c:v>
                </c:pt>
                <c:pt idx="27">
                  <c:v>305.47306451243452</c:v>
                </c:pt>
                <c:pt idx="28">
                  <c:v>331.79086499515682</c:v>
                </c:pt>
                <c:pt idx="29">
                  <c:v>358.06264251869788</c:v>
                </c:pt>
                <c:pt idx="30">
                  <c:v>384.29224564173211</c:v>
                </c:pt>
                <c:pt idx="31">
                  <c:v>410.48295490619279</c:v>
                </c:pt>
                <c:pt idx="32">
                  <c:v>436.63759831329838</c:v>
                </c:pt>
                <c:pt idx="33">
                  <c:v>363.31633763749659</c:v>
                </c:pt>
                <c:pt idx="34">
                  <c:v>387.29119605868004</c:v>
                </c:pt>
                <c:pt idx="35">
                  <c:v>411.23383740124814</c:v>
                </c:pt>
                <c:pt idx="36">
                  <c:v>435.14639951550294</c:v>
                </c:pt>
                <c:pt idx="37">
                  <c:v>459.03076628022262</c:v>
                </c:pt>
                <c:pt idx="38">
                  <c:v>482.88860968718888</c:v>
                </c:pt>
                <c:pt idx="39">
                  <c:v>506.72142317591027</c:v>
                </c:pt>
                <c:pt idx="40">
                  <c:v>530.53054837171476</c:v>
                </c:pt>
                <c:pt idx="41">
                  <c:v>554.31719677583226</c:v>
                </c:pt>
                <c:pt idx="42">
                  <c:v>578.08246754042477</c:v>
                </c:pt>
                <c:pt idx="43">
                  <c:v>601.82736217023478</c:v>
                </c:pt>
                <c:pt idx="44">
                  <c:v>625.55279678488239</c:v>
                </c:pt>
                <c:pt idx="45">
                  <c:v>649.25961242550738</c:v>
                </c:pt>
                <c:pt idx="46">
                  <c:v>3.669434796176543E-12</c:v>
                </c:pt>
                <c:pt idx="47">
                  <c:v>3.669434796176543E-12</c:v>
                </c:pt>
                <c:pt idx="48">
                  <c:v>3.669434796176543E-12</c:v>
                </c:pt>
                <c:pt idx="49">
                  <c:v>3.669434796176543E-12</c:v>
                </c:pt>
                <c:pt idx="50">
                  <c:v>3.669434796176543E-12</c:v>
                </c:pt>
                <c:pt idx="51">
                  <c:v>3.669434796176543E-12</c:v>
                </c:pt>
                <c:pt idx="52">
                  <c:v>3.669434796176543E-12</c:v>
                </c:pt>
                <c:pt idx="53">
                  <c:v>3.669434796176543E-12</c:v>
                </c:pt>
                <c:pt idx="54">
                  <c:v>3.669434796176543E-12</c:v>
                </c:pt>
                <c:pt idx="55">
                  <c:v>3.669434796176543E-12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  <threadedComment ref="E49" dT="2024-11-27T17:07:34.75" personId="{44BC7BF0-8157-4572-8E12-7E0C99523682}" id="{7B34205B-B478-4CE7-B536-DDDF7FA0A16F}">
    <text>A recopier sur toutes les essences.
Correspond aux frais fixes d’entretien mécanique + répulsif gibier</text>
  </threadedComment>
  <threadedComment ref="E50" dT="2024-11-27T17:08:05.48" personId="{44BC7BF0-8157-4572-8E12-7E0C99523682}" id="{FD2A2EE3-3F13-4CC4-B574-447BA3CEF9E6}">
    <text xml:space="preserve">A recopier sur toutes les essences
Correspond aux frais fixes entretien manuel + répulsif gibier + regarnis
</text>
  </threadedComment>
  <threadedComment ref="E51" dT="2024-11-27T17:07:34.75" personId="{44BC7BF0-8157-4572-8E12-7E0C99523682}" id="{91F1CD10-7708-4694-9AA4-B45E7498CBB9}">
    <text>A recopier sur toutes les essences.
Correspond aux frais fixes d’entretien mécanique + répulsif gibier</text>
  </threadedComment>
  <threadedComment ref="E80" dT="2024-11-27T17:07:34.75" personId="{44BC7BF0-8157-4572-8E12-7E0C99523682}" id="{57615E26-F391-4647-99F1-FB9ADFDA4321}">
    <text>A recopier sur toutes les essences.
Correspond aux frais fixes d’entretien mécanique + répulsif gibier</text>
  </threadedComment>
  <threadedComment ref="E81" dT="2024-11-27T17:08:05.48" personId="{44BC7BF0-8157-4572-8E12-7E0C99523682}" id="{79A6FAAF-F026-4F89-B340-FCA3BA486B44}">
    <text xml:space="preserve">A recopier sur toutes les essences
Correspond aux frais fixes entretien manuel + répulsif gibier + regarnis
</text>
  </threadedComment>
  <threadedComment ref="E82" dT="2024-11-27T17:07:34.75" personId="{44BC7BF0-8157-4572-8E12-7E0C99523682}" id="{D35D5EA3-5C01-4F58-8BB5-BC6B32D6A470}">
    <text>A recopier sur toutes les essences.
Correspond aux frais fixes d’entretien mécanique + répulsif gibier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5" x14ac:dyDescent="0.35"/>
  <cols>
    <col min="1" max="1" width="6.6328125" customWidth="1"/>
    <col min="2" max="13" width="15.90625" customWidth="1"/>
  </cols>
  <sheetData>
    <row r="12" spans="2:13" ht="15" customHeight="1" x14ac:dyDescent="0.35">
      <c r="B12" s="264" t="s">
        <v>291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5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5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5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5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5">
      <c r="B18" s="264" t="s">
        <v>292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5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5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5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5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5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5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5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5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5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5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5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5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5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3" zoomScale="80" zoomScaleNormal="80" workbookViewId="0">
      <selection activeCell="F21" sqref="F21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90625" style="23" bestFit="1" customWidth="1"/>
    <col min="4" max="4" width="16.453125" style="23" customWidth="1"/>
    <col min="5" max="5" width="23.36328125" style="23" customWidth="1"/>
    <col min="6" max="6" width="28.90625" style="23" bestFit="1" customWidth="1"/>
    <col min="7" max="8" width="14.6328125" style="23" customWidth="1"/>
    <col min="9" max="9" width="17" style="23" customWidth="1"/>
    <col min="10" max="10" width="13.90625" style="23" customWidth="1"/>
    <col min="11" max="16384" width="11.453125" style="23"/>
  </cols>
  <sheetData>
    <row r="1" spans="1:38" x14ac:dyDescent="0.35">
      <c r="A1" s="4"/>
      <c r="B1" s="4"/>
      <c r="C1" s="269" t="s">
        <v>190</v>
      </c>
      <c r="D1" s="269"/>
      <c r="E1" s="2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0" t="s">
        <v>192</v>
      </c>
      <c r="C3" s="271"/>
      <c r="D3" s="271"/>
      <c r="E3" s="271"/>
      <c r="F3" s="272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5" t="s">
        <v>231</v>
      </c>
      <c r="B5" s="275"/>
      <c r="C5" s="24">
        <v>3.67</v>
      </c>
      <c r="D5" s="276" t="s">
        <v>229</v>
      </c>
      <c r="E5" s="277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4" t="s">
        <v>226</v>
      </c>
      <c r="B7" s="274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13</v>
      </c>
      <c r="C9" s="32">
        <v>0.34332425068119893</v>
      </c>
      <c r="D9" s="33">
        <f t="shared" ref="D9:D18" si="0">C9*$C$5</f>
        <v>1.26</v>
      </c>
      <c r="E9" s="34">
        <v>78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138</v>
      </c>
      <c r="C10" s="32">
        <v>0.14713896457765668</v>
      </c>
      <c r="D10" s="33">
        <f t="shared" si="0"/>
        <v>0.54</v>
      </c>
      <c r="E10" s="34">
        <v>45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14</v>
      </c>
      <c r="C11" s="32">
        <v>0.50980926430517715</v>
      </c>
      <c r="D11" s="33">
        <f t="shared" si="0"/>
        <v>1.871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1.0002724795640328</v>
      </c>
      <c r="D19" s="38">
        <f>SUM(D9:D18)</f>
        <v>3.6710000000000003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Erreur : corrigez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3" t="s">
        <v>232</v>
      </c>
      <c r="B22" s="27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4" t="s">
        <v>227</v>
      </c>
      <c r="B30" s="274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Chêne rouge d'Amérique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65" t="s">
        <v>186</v>
      </c>
      <c r="D34" s="265"/>
      <c r="E34" s="266" t="s">
        <v>187</v>
      </c>
      <c r="F34" s="267"/>
      <c r="G34" s="267"/>
      <c r="H34" s="268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7">
        <v>29</v>
      </c>
      <c r="B36" s="258">
        <v>146.30000000000001</v>
      </c>
      <c r="C36" s="258">
        <v>1</v>
      </c>
      <c r="D36" s="259">
        <v>26.5</v>
      </c>
      <c r="E36" s="260">
        <v>0</v>
      </c>
      <c r="F36" s="260">
        <v>0.5</v>
      </c>
      <c r="G36" s="260">
        <v>0</v>
      </c>
      <c r="H36" s="260">
        <v>0.5</v>
      </c>
      <c r="I36" s="49">
        <f>IFERROR(B36/A36,"")</f>
        <v>5.044827586206897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1">
        <v>34</v>
      </c>
      <c r="B37" s="262">
        <v>177.6</v>
      </c>
      <c r="C37" s="262">
        <v>2</v>
      </c>
      <c r="D37" s="262">
        <v>23.1</v>
      </c>
      <c r="E37" s="263">
        <v>0.6</v>
      </c>
      <c r="F37" s="263">
        <v>0.2</v>
      </c>
      <c r="G37" s="263">
        <v>0</v>
      </c>
      <c r="H37" s="263">
        <v>0.2</v>
      </c>
      <c r="I37" s="53">
        <f t="shared" ref="I37:I55" si="1">IF(A37&lt;&gt;0,(B37-(B36-D36))/(A37-A36),"")</f>
        <v>11.559999999999997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1">
        <v>42</v>
      </c>
      <c r="B38" s="262">
        <v>236.2</v>
      </c>
      <c r="C38" s="262">
        <v>3</v>
      </c>
      <c r="D38" s="262">
        <v>47.2</v>
      </c>
      <c r="E38" s="263">
        <v>0.6</v>
      </c>
      <c r="F38" s="263">
        <v>0.3</v>
      </c>
      <c r="G38" s="263">
        <v>0</v>
      </c>
      <c r="H38" s="263">
        <v>0.1</v>
      </c>
      <c r="I38" s="53">
        <f t="shared" si="1"/>
        <v>10.212499999999999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1">
        <v>50</v>
      </c>
      <c r="B39" s="262">
        <v>297.7</v>
      </c>
      <c r="C39" s="262">
        <v>4</v>
      </c>
      <c r="D39" s="262">
        <v>79.7</v>
      </c>
      <c r="E39" s="263">
        <v>0.6</v>
      </c>
      <c r="F39" s="263">
        <v>0.3</v>
      </c>
      <c r="G39" s="263">
        <v>0</v>
      </c>
      <c r="H39" s="263">
        <v>0.1</v>
      </c>
      <c r="I39" s="49">
        <f t="shared" si="1"/>
        <v>13.587499999999999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1">
        <v>62</v>
      </c>
      <c r="B40" s="262">
        <v>365.9</v>
      </c>
      <c r="C40" s="262">
        <v>5</v>
      </c>
      <c r="D40" s="262">
        <v>15.5</v>
      </c>
      <c r="E40" s="263">
        <v>0.6</v>
      </c>
      <c r="F40" s="263">
        <v>0.3</v>
      </c>
      <c r="G40" s="263">
        <v>0</v>
      </c>
      <c r="H40" s="263">
        <v>0.1</v>
      </c>
      <c r="I40" s="49">
        <f t="shared" si="1"/>
        <v>12.324999999999998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1">
        <v>78</v>
      </c>
      <c r="B41" s="262">
        <v>534.9</v>
      </c>
      <c r="C41" s="262">
        <v>6</v>
      </c>
      <c r="D41" s="262">
        <v>534.9</v>
      </c>
      <c r="E41" s="263">
        <v>0.6</v>
      </c>
      <c r="F41" s="263">
        <v>0.3</v>
      </c>
      <c r="G41" s="263">
        <v>0</v>
      </c>
      <c r="H41" s="263">
        <v>0.1</v>
      </c>
      <c r="I41" s="53">
        <f t="shared" si="1"/>
        <v>11.53125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1"/>
      <c r="B42" s="262"/>
      <c r="C42" s="262"/>
      <c r="D42" s="262"/>
      <c r="E42" s="263"/>
      <c r="F42" s="263"/>
      <c r="G42" s="263"/>
      <c r="H42" s="263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1"/>
      <c r="B43" s="262"/>
      <c r="C43" s="262"/>
      <c r="D43" s="262"/>
      <c r="E43" s="263"/>
      <c r="F43" s="263"/>
      <c r="G43" s="263"/>
      <c r="H43" s="263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1"/>
      <c r="B44" s="262"/>
      <c r="C44" s="262"/>
      <c r="D44" s="262"/>
      <c r="E44" s="263"/>
      <c r="F44" s="263"/>
      <c r="G44" s="263"/>
      <c r="H44" s="263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61"/>
      <c r="B45" s="262"/>
      <c r="C45" s="262"/>
      <c r="D45" s="262"/>
      <c r="E45" s="263"/>
      <c r="F45" s="263"/>
      <c r="G45" s="263"/>
      <c r="H45" s="263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61"/>
      <c r="B46" s="262"/>
      <c r="C46" s="262"/>
      <c r="D46" s="262"/>
      <c r="E46" s="263"/>
      <c r="F46" s="263"/>
      <c r="G46" s="263"/>
      <c r="H46" s="263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61"/>
      <c r="B47" s="262"/>
      <c r="C47" s="262"/>
      <c r="D47" s="262"/>
      <c r="E47" s="263"/>
      <c r="F47" s="263"/>
      <c r="G47" s="263"/>
      <c r="H47" s="263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Pin taeda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65" t="s">
        <v>186</v>
      </c>
      <c r="D60" s="265"/>
      <c r="E60" s="266" t="s">
        <v>187</v>
      </c>
      <c r="F60" s="267"/>
      <c r="G60" s="267"/>
      <c r="H60" s="268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14</v>
      </c>
      <c r="B62" s="60">
        <v>108.18</v>
      </c>
      <c r="C62" s="60">
        <v>1</v>
      </c>
      <c r="D62" s="60">
        <v>34.25</v>
      </c>
      <c r="E62" s="51">
        <v>0</v>
      </c>
      <c r="F62" s="51">
        <v>1</v>
      </c>
      <c r="G62" s="51">
        <v>0</v>
      </c>
      <c r="H62" s="51">
        <v>0</v>
      </c>
      <c r="I62" s="53">
        <f>IFERROR(B62/A62,"")</f>
        <v>7.7271428571428578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19</v>
      </c>
      <c r="B63" s="60">
        <v>183.77</v>
      </c>
      <c r="C63" s="60">
        <v>2</v>
      </c>
      <c r="D63" s="60">
        <v>59.5</v>
      </c>
      <c r="E63" s="51">
        <v>0</v>
      </c>
      <c r="F63" s="51">
        <v>1</v>
      </c>
      <c r="G63" s="51">
        <v>0</v>
      </c>
      <c r="H63" s="51">
        <v>0</v>
      </c>
      <c r="I63" s="49">
        <f>IF(A63&lt;&gt;0,(B63-(B62-D62))/(A63-A62),"")</f>
        <v>21.968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25</v>
      </c>
      <c r="B64" s="60">
        <v>252.69</v>
      </c>
      <c r="C64" s="60">
        <v>3</v>
      </c>
      <c r="D64" s="60">
        <v>60.96</v>
      </c>
      <c r="E64" s="51">
        <v>0.1</v>
      </c>
      <c r="F64" s="51">
        <v>0.8</v>
      </c>
      <c r="G64" s="51">
        <v>0</v>
      </c>
      <c r="H64" s="51">
        <v>0.1</v>
      </c>
      <c r="I64" s="49">
        <f>IF(A64&lt;&gt;0,(B64-(B63-D63))/(A64-A63),"")</f>
        <v>21.403333333333332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32</v>
      </c>
      <c r="B65" s="60">
        <v>335.76</v>
      </c>
      <c r="C65" s="60">
        <v>4</v>
      </c>
      <c r="D65" s="60">
        <v>76.42</v>
      </c>
      <c r="E65" s="51">
        <v>0.3</v>
      </c>
      <c r="F65" s="51">
        <v>0.5</v>
      </c>
      <c r="G65" s="51">
        <v>0</v>
      </c>
      <c r="H65" s="51">
        <v>0.2</v>
      </c>
      <c r="I65" s="49">
        <f>IF(A65&lt;&gt;0,(B65-(B64-D64))/(A65-A64),"")</f>
        <v>20.575714285714287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45</v>
      </c>
      <c r="B66" s="60">
        <v>503.89</v>
      </c>
      <c r="C66" s="60">
        <v>5</v>
      </c>
      <c r="D66" s="60">
        <v>503.89</v>
      </c>
      <c r="E66" s="51">
        <v>0.3</v>
      </c>
      <c r="F66" s="51">
        <v>0.5</v>
      </c>
      <c r="G66" s="51">
        <v>0</v>
      </c>
      <c r="H66" s="51">
        <v>0.2</v>
      </c>
      <c r="I66" s="49">
        <f t="shared" ref="I66:I81" si="2">IF(A66&lt;&gt;0,(B66-(B65-D65))/(A66-A65),"")</f>
        <v>18.811538461538461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65" t="s">
        <v>186</v>
      </c>
      <c r="D86" s="265"/>
      <c r="E86" s="266" t="s">
        <v>187</v>
      </c>
      <c r="F86" s="267"/>
      <c r="G86" s="267"/>
      <c r="H86" s="268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42</v>
      </c>
      <c r="B88" s="60">
        <v>163.26</v>
      </c>
      <c r="C88" s="60">
        <v>1</v>
      </c>
      <c r="D88" s="60">
        <v>43.21</v>
      </c>
      <c r="E88" s="51">
        <v>0.3</v>
      </c>
      <c r="F88" s="51">
        <v>0</v>
      </c>
      <c r="G88" s="51">
        <v>0</v>
      </c>
      <c r="H88" s="87">
        <v>0.7</v>
      </c>
      <c r="I88" s="53">
        <f>IFERROR(B88/A88,"")</f>
        <v>3.887142857142857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50</v>
      </c>
      <c r="B89" s="60">
        <v>195.02</v>
      </c>
      <c r="C89" s="60">
        <v>2</v>
      </c>
      <c r="D89" s="60">
        <v>35.58</v>
      </c>
      <c r="E89" s="51">
        <v>0.3</v>
      </c>
      <c r="F89" s="51">
        <v>0</v>
      </c>
      <c r="G89" s="51">
        <v>0</v>
      </c>
      <c r="H89" s="87">
        <v>0.7</v>
      </c>
      <c r="I89" s="53">
        <f t="shared" ref="I89:I107" si="3">IF(A89&lt;&gt;0,(B89-(B88-D88))/(A89-A88),"")</f>
        <v>9.3712500000000034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58</v>
      </c>
      <c r="B90" s="60">
        <v>235.87</v>
      </c>
      <c r="C90" s="60">
        <v>3</v>
      </c>
      <c r="D90" s="60">
        <v>44.93</v>
      </c>
      <c r="E90" s="87">
        <v>0.3</v>
      </c>
      <c r="F90" s="87">
        <v>0</v>
      </c>
      <c r="G90" s="87">
        <v>0</v>
      </c>
      <c r="H90" s="87">
        <v>0.7</v>
      </c>
      <c r="I90" s="53">
        <f t="shared" si="3"/>
        <v>9.5537500000000009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66</v>
      </c>
      <c r="B91" s="60">
        <v>264.95999999999998</v>
      </c>
      <c r="C91" s="60">
        <v>4</v>
      </c>
      <c r="D91" s="60">
        <v>49.91</v>
      </c>
      <c r="E91" s="87">
        <v>0.6</v>
      </c>
      <c r="F91" s="87">
        <v>0</v>
      </c>
      <c r="G91" s="87">
        <v>0</v>
      </c>
      <c r="H91" s="87">
        <v>0.4</v>
      </c>
      <c r="I91" s="53">
        <f t="shared" si="3"/>
        <v>9.2524999999999977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74</v>
      </c>
      <c r="B92" s="60">
        <v>285.98</v>
      </c>
      <c r="C92" s="60">
        <v>5</v>
      </c>
      <c r="D92" s="60">
        <v>47.4</v>
      </c>
      <c r="E92" s="87">
        <v>0.6</v>
      </c>
      <c r="F92" s="87">
        <v>0</v>
      </c>
      <c r="G92" s="87">
        <v>0</v>
      </c>
      <c r="H92" s="87">
        <v>0.4</v>
      </c>
      <c r="I92" s="53">
        <f t="shared" si="3"/>
        <v>8.8662500000000044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84</v>
      </c>
      <c r="B93" s="60">
        <v>325.35000000000002</v>
      </c>
      <c r="C93" s="60">
        <v>6</v>
      </c>
      <c r="D93" s="60">
        <v>61.47</v>
      </c>
      <c r="E93" s="87">
        <v>0.6</v>
      </c>
      <c r="F93" s="87">
        <v>0</v>
      </c>
      <c r="G93" s="87">
        <v>0</v>
      </c>
      <c r="H93" s="87">
        <v>0.4</v>
      </c>
      <c r="I93" s="53">
        <f t="shared" si="3"/>
        <v>8.6770000000000014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94</v>
      </c>
      <c r="B94" s="60">
        <v>346.79</v>
      </c>
      <c r="C94" s="60">
        <v>7</v>
      </c>
      <c r="D94" s="60">
        <v>61.85</v>
      </c>
      <c r="E94" s="87">
        <v>0.6</v>
      </c>
      <c r="F94" s="87">
        <v>0</v>
      </c>
      <c r="G94" s="87">
        <v>0</v>
      </c>
      <c r="H94" s="87">
        <v>0.4</v>
      </c>
      <c r="I94" s="53">
        <f t="shared" si="3"/>
        <v>8.2910000000000021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104</v>
      </c>
      <c r="B95" s="60">
        <v>365.41</v>
      </c>
      <c r="C95" s="60">
        <v>8</v>
      </c>
      <c r="D95" s="60">
        <v>60.19</v>
      </c>
      <c r="E95" s="87">
        <v>0.6</v>
      </c>
      <c r="F95" s="87">
        <v>0</v>
      </c>
      <c r="G95" s="87">
        <v>0</v>
      </c>
      <c r="H95" s="87">
        <v>0.4</v>
      </c>
      <c r="I95" s="53">
        <f t="shared" si="3"/>
        <v>8.0470000000000024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114</v>
      </c>
      <c r="B96" s="60">
        <v>384.57</v>
      </c>
      <c r="C96" s="60">
        <v>9</v>
      </c>
      <c r="D96" s="60">
        <v>56.07</v>
      </c>
      <c r="E96" s="87">
        <v>0.6</v>
      </c>
      <c r="F96" s="87">
        <v>0</v>
      </c>
      <c r="G96" s="87">
        <v>0</v>
      </c>
      <c r="H96" s="87">
        <v>0.4</v>
      </c>
      <c r="I96" s="53">
        <f t="shared" si="3"/>
        <v>7.9349999999999969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124</v>
      </c>
      <c r="B97" s="60">
        <v>408.42</v>
      </c>
      <c r="C97" s="60">
        <v>10</v>
      </c>
      <c r="D97" s="60">
        <v>52.53</v>
      </c>
      <c r="E97" s="87">
        <v>0.6</v>
      </c>
      <c r="F97" s="87">
        <v>0</v>
      </c>
      <c r="G97" s="87">
        <v>0</v>
      </c>
      <c r="H97" s="87">
        <v>0.4</v>
      </c>
      <c r="I97" s="53">
        <f t="shared" si="3"/>
        <v>7.9920000000000018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134</v>
      </c>
      <c r="B98" s="60">
        <v>436.59</v>
      </c>
      <c r="C98" s="60">
        <v>11</v>
      </c>
      <c r="D98" s="60">
        <v>54.95</v>
      </c>
      <c r="E98" s="87">
        <v>0.6</v>
      </c>
      <c r="F98" s="87">
        <v>0</v>
      </c>
      <c r="G98" s="87">
        <v>0</v>
      </c>
      <c r="H98" s="87">
        <v>0.4</v>
      </c>
      <c r="I98" s="53">
        <f t="shared" si="3"/>
        <v>8.0699999999999985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144</v>
      </c>
      <c r="B99" s="60">
        <v>463.23</v>
      </c>
      <c r="C99" s="60">
        <v>12</v>
      </c>
      <c r="D99" s="60">
        <v>56.01</v>
      </c>
      <c r="E99" s="87">
        <v>0.6</v>
      </c>
      <c r="F99" s="87">
        <v>0</v>
      </c>
      <c r="G99" s="87">
        <v>0</v>
      </c>
      <c r="H99" s="87">
        <v>0.4</v>
      </c>
      <c r="I99" s="53">
        <f t="shared" si="3"/>
        <v>8.1590000000000025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154</v>
      </c>
      <c r="B100" s="60">
        <v>490.47</v>
      </c>
      <c r="C100" s="60">
        <v>13</v>
      </c>
      <c r="D100" s="60">
        <v>55.13</v>
      </c>
      <c r="E100" s="65">
        <v>0.6</v>
      </c>
      <c r="F100" s="65">
        <v>0</v>
      </c>
      <c r="G100" s="65">
        <v>0</v>
      </c>
      <c r="H100" s="65">
        <v>0.4</v>
      </c>
      <c r="I100" s="53">
        <f t="shared" si="3"/>
        <v>8.3249999999999993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164</v>
      </c>
      <c r="B101" s="60">
        <v>519.77</v>
      </c>
      <c r="C101" s="60">
        <v>14</v>
      </c>
      <c r="D101" s="60">
        <v>59.58</v>
      </c>
      <c r="E101" s="65">
        <v>0.6</v>
      </c>
      <c r="F101" s="65">
        <v>0</v>
      </c>
      <c r="G101" s="65">
        <v>0</v>
      </c>
      <c r="H101" s="65">
        <v>0.4</v>
      </c>
      <c r="I101" s="53">
        <f t="shared" si="3"/>
        <v>8.4429999999999943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174</v>
      </c>
      <c r="B102" s="50">
        <v>545.65</v>
      </c>
      <c r="C102" s="60">
        <v>15</v>
      </c>
      <c r="D102" s="50">
        <v>214.77</v>
      </c>
      <c r="E102" s="54">
        <v>0.6</v>
      </c>
      <c r="F102" s="54">
        <v>0</v>
      </c>
      <c r="G102" s="54">
        <v>0</v>
      </c>
      <c r="H102" s="54">
        <v>0.4</v>
      </c>
      <c r="I102" s="53">
        <f t="shared" si="3"/>
        <v>8.5459999999999976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177</v>
      </c>
      <c r="B103" s="50">
        <v>347.04</v>
      </c>
      <c r="C103" s="60">
        <v>16</v>
      </c>
      <c r="D103" s="50">
        <v>115.19</v>
      </c>
      <c r="E103" s="54">
        <v>0.6</v>
      </c>
      <c r="F103" s="54">
        <v>0</v>
      </c>
      <c r="G103" s="54">
        <v>0</v>
      </c>
      <c r="H103" s="54">
        <v>0.4</v>
      </c>
      <c r="I103" s="53">
        <f t="shared" si="3"/>
        <v>5.3866666666666747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>
        <v>180</v>
      </c>
      <c r="B104" s="50">
        <v>241.62</v>
      </c>
      <c r="C104" s="60">
        <v>17</v>
      </c>
      <c r="D104" s="50">
        <v>77.72</v>
      </c>
      <c r="E104" s="54">
        <v>0.6</v>
      </c>
      <c r="F104" s="54">
        <v>0</v>
      </c>
      <c r="G104" s="54">
        <v>0</v>
      </c>
      <c r="H104" s="54">
        <v>0.4</v>
      </c>
      <c r="I104" s="53">
        <f t="shared" si="3"/>
        <v>3.2566666666666606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>
        <v>183</v>
      </c>
      <c r="B105" s="50">
        <v>169.76</v>
      </c>
      <c r="C105" s="50">
        <v>18</v>
      </c>
      <c r="D105" s="50">
        <v>169.76</v>
      </c>
      <c r="E105" s="54">
        <v>0.6</v>
      </c>
      <c r="F105" s="54">
        <v>0</v>
      </c>
      <c r="G105" s="54">
        <v>0</v>
      </c>
      <c r="H105" s="54">
        <v>0.4</v>
      </c>
      <c r="I105" s="53">
        <f t="shared" si="3"/>
        <v>1.9533333333333285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65" t="s">
        <v>186</v>
      </c>
      <c r="D112" s="265"/>
      <c r="E112" s="266" t="s">
        <v>187</v>
      </c>
      <c r="F112" s="267"/>
      <c r="G112" s="267"/>
      <c r="H112" s="268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65" t="s">
        <v>186</v>
      </c>
      <c r="D138" s="265"/>
      <c r="E138" s="266" t="s">
        <v>187</v>
      </c>
      <c r="F138" s="267"/>
      <c r="G138" s="267"/>
      <c r="H138" s="268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65" t="s">
        <v>186</v>
      </c>
      <c r="D164" s="265"/>
      <c r="E164" s="266" t="s">
        <v>187</v>
      </c>
      <c r="F164" s="267"/>
      <c r="G164" s="267"/>
      <c r="H164" s="268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65" t="s">
        <v>186</v>
      </c>
      <c r="D190" s="265"/>
      <c r="E190" s="266" t="s">
        <v>187</v>
      </c>
      <c r="F190" s="267"/>
      <c r="G190" s="267"/>
      <c r="H190" s="268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65" t="s">
        <v>186</v>
      </c>
      <c r="D216" s="265"/>
      <c r="E216" s="266" t="s">
        <v>187</v>
      </c>
      <c r="F216" s="267"/>
      <c r="G216" s="267"/>
      <c r="H216" s="268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65" t="s">
        <v>186</v>
      </c>
      <c r="D242" s="265"/>
      <c r="E242" s="266" t="s">
        <v>187</v>
      </c>
      <c r="F242" s="267"/>
      <c r="G242" s="267"/>
      <c r="H242" s="268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65" t="s">
        <v>186</v>
      </c>
      <c r="D268" s="265"/>
      <c r="E268" s="266" t="s">
        <v>187</v>
      </c>
      <c r="F268" s="267"/>
      <c r="G268" s="267"/>
      <c r="H268" s="268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53125" defaultRowHeight="14.5" x14ac:dyDescent="0.35"/>
  <cols>
    <col min="1" max="1" width="5.9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9" t="s">
        <v>191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90625" style="4" bestFit="1" customWidth="1"/>
    <col min="2" max="4" width="11.453125" style="4"/>
    <col min="5" max="5" width="9.54296875" style="4" customWidth="1"/>
    <col min="6" max="7" width="11.453125" style="4"/>
    <col min="8" max="8" width="10.63281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5429687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36328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9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36328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36328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5" t="s">
        <v>176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Chêne rouge d'Amérique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>Pin taeda</v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>Chêne sessile</v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/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/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/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/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/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/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/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413.25558401068383</v>
      </c>
      <c r="T3" s="59">
        <f>IF('Données projet'!E9&gt;30,$R$33-$H$33,LOOKUP('Données projet'!$E$9,$A$3:$A$203,R3:R203)-LOOKUP('Données projet'!$E$9,$A$3:$A$203,$H$3:$H$203))</f>
        <v>289.56516326172863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287.52077437571728</v>
      </c>
      <c r="AO3" s="59">
        <f>IF('Données projet'!E10&gt;30,$AM$33-$H$33,LOOKUP('Données projet'!$E$10,$A$3:$A$203,AM3:AM203)-LOOKUP('Données projet'!$E$10,$A$3:$A$203,$H$3:$H$203))</f>
        <v>420.95891230839874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581.88778927327667</v>
      </c>
      <c r="BJ3" s="59">
        <f>IF('Données projet'!E11&gt;30,$BH$33-$H$33,LOOKUP('Données projet'!$E$11,$A$3:$A$203,BH3:BH203)-LOOKUP('Données projet'!$E$11,$A$3:$A$203,$H$3:$H$203))</f>
        <v>269.67340993773422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5.044827586206897</v>
      </c>
      <c r="N4" s="13">
        <f>IF('Données projet'!$A$36&gt;35,N3+M4-V3,IF(A4&lt;'Données projet'!$A$36,$K$205^A4,IF(A4='Données projet'!$A$36,'Données projet'!$B$36,N3+M4-V3)))</f>
        <v>1.187581975428267</v>
      </c>
      <c r="O4" s="13">
        <f>N4*VLOOKUP('Données projet'!$B$9,Paramètres!$A$1:$I$89,3,0)*VLOOKUP('Données projet'!$B$9,Paramètres!$A$1:$I$89,5,0)</f>
        <v>1.0374716137341342</v>
      </c>
      <c r="P4" s="13">
        <f>EXP(-1.0587+0.8836*LN(O4)+0.284)</f>
        <v>0.47606763276559194</v>
      </c>
      <c r="Q4" s="20">
        <f t="shared" ref="Q4:Q34" si="2">(O4+P4)*0.475*44/12</f>
        <v>2.636080854320356</v>
      </c>
      <c r="R4" s="59">
        <f t="shared" si="0"/>
        <v>260.52496974320923</v>
      </c>
      <c r="S4" s="59">
        <f ca="1">AVERAGE(OFFSET($R$3,0,0,'Données projet'!$E$9+1,1))-AVERAGE(OFFSET($H$3,0,0,'Données projet'!$E$9+1,1))</f>
        <v>413.25558401068383</v>
      </c>
      <c r="T4" s="59">
        <f>$T$3</f>
        <v>289.56516326172863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7.7271428571428578</v>
      </c>
      <c r="AI4" s="13">
        <f>IF('Données projet'!$A$62&gt;35,AI3+AH4-AQ3,IF(A4&lt;'Données projet'!$A$62,$AF$205^A4,IF(A4='Données projet'!$A$62,'Données projet'!$B$62,AI3+AH4-AQ3)))</f>
        <v>1.3973210857138749</v>
      </c>
      <c r="AJ4" s="13">
        <f>AI4*VLOOKUP('Données projet'!$B$10,Paramètres!$A$1:$I$89,3,0)*VLOOKUP('Données projet'!$B$10,Paramètres!$A$1:$I$89,5,0)</f>
        <v>0.83559800925689731</v>
      </c>
      <c r="AK4" s="13">
        <f>EXP(-1.0587+0.8836*LN(AJ4)+0.284)</f>
        <v>0.39321399318577704</v>
      </c>
      <c r="AL4" s="20">
        <f t="shared" ref="AL4:AL67" si="4">(AJ4+AK4)*0.475*44/12</f>
        <v>2.1401809042543243</v>
      </c>
      <c r="AM4" s="59">
        <f t="shared" ref="AM4:AM67" si="5">AL4+(AD4+AE4)*44/12</f>
        <v>260.02906979314321</v>
      </c>
      <c r="AN4" s="59">
        <f ca="1">AVERAGE(OFFSET($AM$3,0,0,'Données projet'!$E$10+1,1))-AVERAGE(OFFSET($H$3,0,0,'Données projet'!$E$10+1,1))</f>
        <v>287.52077437571728</v>
      </c>
      <c r="AO4" s="59">
        <f>$AO$3</f>
        <v>420.95891230839874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3.887142857142857</v>
      </c>
      <c r="BD4" s="12">
        <f>IF('Données projet'!$A$88&gt;35,BD3+BC4-BL3,IF(A4&lt;'Données projet'!$A$88,$BA$205^A4,IF(A4='Données projet'!$A$88,'Données projet'!$B$88,BD3+BC4-BL3)))</f>
        <v>3.887142857142857</v>
      </c>
      <c r="BE4" s="13">
        <f>BD4*VLOOKUP('Données projet'!$B$11,Paramètres!$A$1:$I$89,3,0)*VLOOKUP('Données projet'!$B$11,Paramètres!$A$1:$I$89,5,0)</f>
        <v>3.5170868571428571</v>
      </c>
      <c r="BF4" s="13">
        <f>EXP(-1.0587+0.8836*LN(BE4)+0.284)</f>
        <v>1.400101260019349</v>
      </c>
      <c r="BG4" s="20">
        <f t="shared" ref="BG4:BG67" si="7">(BE4+BF4)*0.475*44/12</f>
        <v>8.5641026373908407</v>
      </c>
      <c r="BH4" s="59">
        <f t="shared" ref="BH4:BH67" si="8">BG4+(AY4+AZ4)*44/12</f>
        <v>266.45299152627967</v>
      </c>
      <c r="BI4" s="59">
        <f ca="1">AVERAGE(OFFSET($BH$3,0,0,'Données projet'!$E$11+1,1))-AVERAGE(OFFSET($H$3,0,0,'Données projet'!$E$11+1,1))</f>
        <v>581.88778927327667</v>
      </c>
      <c r="BJ4" s="59">
        <f>$BJ$3</f>
        <v>269.67340993773422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5.044827586206897</v>
      </c>
      <c r="N5" s="13">
        <f>IF('Données projet'!$A$36&gt;35,N4+M5-V4,IF(A5&lt;'Données projet'!$A$36,$K$205^A5,IF(A5='Données projet'!$A$36,'Données projet'!$B$36,N4+M5-V4)))</f>
        <v>1.4103509483621051</v>
      </c>
      <c r="O5" s="13">
        <f>N5*VLOOKUP('Données projet'!$B$9,Paramètres!$A$1:$I$89,3,0)*VLOOKUP('Données projet'!$B$9,Paramètres!$A$1:$I$89,5,0)</f>
        <v>1.2320825884891351</v>
      </c>
      <c r="P5" s="13">
        <f t="shared" ref="P5:P68" si="33">EXP(-1.0587+0.8836*LN(O5)+0.284)</f>
        <v>0.55416795646629724</v>
      </c>
      <c r="Q5" s="20">
        <f t="shared" si="2"/>
        <v>3.1110530324640444</v>
      </c>
      <c r="R5" s="59">
        <f t="shared" si="0"/>
        <v>262.22216414357518</v>
      </c>
      <c r="S5" s="59">
        <f ca="1">AVERAGE(OFFSET($R$3,0,0,'Données projet'!$E$9+1,1))-AVERAGE(OFFSET($H$3,0,0,'Données projet'!$E$9+1,1))</f>
        <v>413.25558401068383</v>
      </c>
      <c r="T5" s="59">
        <f t="shared" ref="T5:T68" si="34">$T$3</f>
        <v>289.56516326172863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7.7271428571428578</v>
      </c>
      <c r="AI5" s="13">
        <f>IF('Données projet'!$A$62&gt;35,AI4+AH5-AQ4,IF(A5&lt;'Données projet'!$A$62,$AF$205^A5,IF(A5='Données projet'!$A$62,'Données projet'!$B$62,AI4+AH5-AQ4)))</f>
        <v>1.9525062165806022</v>
      </c>
      <c r="AJ5" s="13">
        <f>AI5*VLOOKUP('Données projet'!$B$10,Paramètres!$A$1:$I$89,3,0)*VLOOKUP('Données projet'!$B$10,Paramètres!$A$1:$I$89,5,0)</f>
        <v>1.1675987175152003</v>
      </c>
      <c r="AK5" s="13">
        <f t="shared" ref="AK5:AK68" si="35">EXP(-1.0587+0.8836*LN(AJ5)+0.284)</f>
        <v>0.52846070284819757</v>
      </c>
      <c r="AL5" s="20">
        <f t="shared" si="4"/>
        <v>2.9539701571329178</v>
      </c>
      <c r="AM5" s="59">
        <f t="shared" si="5"/>
        <v>262.06508126824406</v>
      </c>
      <c r="AN5" s="59">
        <f ca="1">AVERAGE(OFFSET($AM$3,0,0,'Données projet'!$E$10+1,1))-AVERAGE(OFFSET($H$3,0,0,'Données projet'!$E$10+1,1))</f>
        <v>287.52077437571728</v>
      </c>
      <c r="AO5" s="59">
        <f t="shared" ref="AO5:AO68" si="36">$AO$3</f>
        <v>420.95891230839874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3.887142857142857</v>
      </c>
      <c r="BD5" s="12">
        <f>IF('Données projet'!$A$88&gt;35,BD4+BC5-BL4,IF(A5&lt;'Données projet'!$A$88,$BA$205^A5,IF(A5='Données projet'!$A$88,'Données projet'!$B$88,BD4+BC5-BL4)))</f>
        <v>7.774285714285714</v>
      </c>
      <c r="BE5" s="13">
        <f>BD5*VLOOKUP('Données projet'!$B$11,Paramètres!$A$1:$I$89,3,0)*VLOOKUP('Données projet'!$B$11,Paramètres!$A$1:$I$89,5,0)</f>
        <v>7.0341737142857141</v>
      </c>
      <c r="BF5" s="13">
        <f t="shared" ref="BF5:BF68" si="37">EXP(-1.0587+0.8836*LN(BE5)+0.284)</f>
        <v>2.5831495528484112</v>
      </c>
      <c r="BG5" s="20">
        <f t="shared" si="7"/>
        <v>16.750171356925268</v>
      </c>
      <c r="BH5" s="59">
        <f t="shared" si="8"/>
        <v>275.86128246803639</v>
      </c>
      <c r="BI5" s="59">
        <f ca="1">AVERAGE(OFFSET($BH$3,0,0,'Données projet'!$E$11+1,1))-AVERAGE(OFFSET($H$3,0,0,'Données projet'!$E$11+1,1))</f>
        <v>581.88778927327667</v>
      </c>
      <c r="BJ5" s="59">
        <f t="shared" ref="BJ5:BJ68" si="38">$BJ$3</f>
        <v>269.67340993773422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5.044827586206897</v>
      </c>
      <c r="N6" s="13">
        <f>IF('Données projet'!$A$36&gt;35,N5+M6-V5,IF(A6&lt;'Données projet'!$A$36,$K$205^A6,IF(A6='Données projet'!$A$36,'Données projet'!$B$36,N5+M6-V5)))</f>
        <v>1.6749073653029987</v>
      </c>
      <c r="O6" s="13">
        <f>N6*VLOOKUP('Données projet'!$B$9,Paramètres!$A$1:$I$89,3,0)*VLOOKUP('Données projet'!$B$9,Paramètres!$A$1:$I$89,5,0)</f>
        <v>1.4631990743286998</v>
      </c>
      <c r="P6" s="13">
        <f t="shared" si="33"/>
        <v>0.64508087262728098</v>
      </c>
      <c r="Q6" s="20">
        <f t="shared" si="2"/>
        <v>3.6719209076150001</v>
      </c>
      <c r="R6" s="59">
        <f t="shared" si="0"/>
        <v>264.00525424094832</v>
      </c>
      <c r="S6" s="59">
        <f ca="1">AVERAGE(OFFSET($R$3,0,0,'Données projet'!$E$9+1,1))-AVERAGE(OFFSET($H$3,0,0,'Données projet'!$E$9+1,1))</f>
        <v>413.25558401068383</v>
      </c>
      <c r="T6" s="59">
        <f t="shared" si="34"/>
        <v>289.56516326172863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7.7271428571428578</v>
      </c>
      <c r="AI6" s="13">
        <f>IF('Données projet'!$A$62&gt;35,AI5+AH6-AQ5,IF(A6&lt;'Données projet'!$A$62,$AF$205^A6,IF(A6='Données projet'!$A$62,'Données projet'!$B$62,AI5+AH6-AQ5)))</f>
        <v>2.7282781064154973</v>
      </c>
      <c r="AJ6" s="13">
        <f>AI6*VLOOKUP('Données projet'!$B$10,Paramètres!$A$1:$I$89,3,0)*VLOOKUP('Données projet'!$B$10,Paramètres!$A$1:$I$89,5,0)</f>
        <v>1.6315103076364676</v>
      </c>
      <c r="AK6" s="13">
        <f t="shared" si="35"/>
        <v>0.71022577856955182</v>
      </c>
      <c r="AL6" s="20">
        <f t="shared" si="4"/>
        <v>4.0785236834754839</v>
      </c>
      <c r="AM6" s="59">
        <f t="shared" si="5"/>
        <v>264.41185701680882</v>
      </c>
      <c r="AN6" s="59">
        <f ca="1">AVERAGE(OFFSET($AM$3,0,0,'Données projet'!$E$10+1,1))-AVERAGE(OFFSET($H$3,0,0,'Données projet'!$E$10+1,1))</f>
        <v>287.52077437571728</v>
      </c>
      <c r="AO6" s="59">
        <f t="shared" si="36"/>
        <v>420.95891230839874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3.887142857142857</v>
      </c>
      <c r="BD6" s="12">
        <f>IF('Données projet'!$A$88&gt;35,BD5+BC6-BL5,IF(A6&lt;'Données projet'!$A$88,$BA$205^A6,IF(A6='Données projet'!$A$88,'Données projet'!$B$88,BD5+BC6-BL5)))</f>
        <v>11.661428571428571</v>
      </c>
      <c r="BE6" s="13">
        <f>BD6*VLOOKUP('Données projet'!$B$11,Paramètres!$A$1:$I$89,3,0)*VLOOKUP('Données projet'!$B$11,Paramètres!$A$1:$I$89,5,0)</f>
        <v>10.551260571428571</v>
      </c>
      <c r="BF6" s="13">
        <f t="shared" si="37"/>
        <v>3.6961006326523931</v>
      </c>
      <c r="BG6" s="20">
        <f t="shared" si="7"/>
        <v>24.814154097107675</v>
      </c>
      <c r="BH6" s="59">
        <f t="shared" si="8"/>
        <v>285.147487430441</v>
      </c>
      <c r="BI6" s="59">
        <f ca="1">AVERAGE(OFFSET($BH$3,0,0,'Données projet'!$E$11+1,1))-AVERAGE(OFFSET($H$3,0,0,'Données projet'!$E$11+1,1))</f>
        <v>581.88778927327667</v>
      </c>
      <c r="BJ6" s="59">
        <f t="shared" si="38"/>
        <v>269.67340993773422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5.044827586206897</v>
      </c>
      <c r="N7" s="13">
        <f>IF('Données projet'!$A$36&gt;35,N6+M7-V6,IF(A7&lt;'Données projet'!$A$36,$K$205^A7,IF(A7='Données projet'!$A$36,'Données projet'!$B$36,N6+M7-V6)))</f>
        <v>1.9890897975458892</v>
      </c>
      <c r="O7" s="13">
        <f>N7*VLOOKUP('Données projet'!$B$9,Paramètres!$A$1:$I$89,3,0)*VLOOKUP('Données projet'!$B$9,Paramètres!$A$1:$I$89,5,0)</f>
        <v>1.737668847136089</v>
      </c>
      <c r="P7" s="13">
        <f t="shared" si="33"/>
        <v>0.75090832548864994</v>
      </c>
      <c r="Q7" s="20">
        <f t="shared" si="2"/>
        <v>4.3342719089880859</v>
      </c>
      <c r="R7" s="59">
        <f t="shared" si="0"/>
        <v>265.8898274645436</v>
      </c>
      <c r="S7" s="59">
        <f ca="1">AVERAGE(OFFSET($R$3,0,0,'Données projet'!$E$9+1,1))-AVERAGE(OFFSET($H$3,0,0,'Données projet'!$E$9+1,1))</f>
        <v>413.25558401068383</v>
      </c>
      <c r="T7" s="59">
        <f t="shared" si="34"/>
        <v>289.56516326172863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7.7271428571428578</v>
      </c>
      <c r="AI7" s="13">
        <f>IF('Données projet'!$A$62&gt;35,AI6+AH7-AQ6,IF(A7&lt;'Données projet'!$A$62,$AF$205^A7,IF(A7='Données projet'!$A$62,'Données projet'!$B$62,AI6+AH7-AQ6)))</f>
        <v>3.8122805257858974</v>
      </c>
      <c r="AJ7" s="13">
        <f>AI7*VLOOKUP('Données projet'!$B$10,Paramètres!$A$1:$I$89,3,0)*VLOOKUP('Données projet'!$B$10,Paramètres!$A$1:$I$89,5,0)</f>
        <v>2.2797437544199668</v>
      </c>
      <c r="AK7" s="13">
        <f t="shared" si="35"/>
        <v>0.95450930187636462</v>
      </c>
      <c r="AL7" s="20">
        <f t="shared" si="4"/>
        <v>5.632990739716111</v>
      </c>
      <c r="AM7" s="59">
        <f t="shared" si="5"/>
        <v>267.18854629527164</v>
      </c>
      <c r="AN7" s="59">
        <f ca="1">AVERAGE(OFFSET($AM$3,0,0,'Données projet'!$E$10+1,1))-AVERAGE(OFFSET($H$3,0,0,'Données projet'!$E$10+1,1))</f>
        <v>287.52077437571728</v>
      </c>
      <c r="AO7" s="59">
        <f t="shared" si="36"/>
        <v>420.95891230839874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3.887142857142857</v>
      </c>
      <c r="BD7" s="12">
        <f>IF('Données projet'!$A$88&gt;35,BD6+BC7-BL6,IF(A7&lt;'Données projet'!$A$88,$BA$205^A7,IF(A7='Données projet'!$A$88,'Données projet'!$B$88,BD6+BC7-BL6)))</f>
        <v>15.548571428571428</v>
      </c>
      <c r="BE7" s="13">
        <f>BD7*VLOOKUP('Données projet'!$B$11,Paramètres!$A$1:$I$89,3,0)*VLOOKUP('Données projet'!$B$11,Paramètres!$A$1:$I$89,5,0)</f>
        <v>14.068347428571428</v>
      </c>
      <c r="BF7" s="13">
        <f t="shared" si="37"/>
        <v>4.7658421593654818</v>
      </c>
      <c r="BG7" s="20">
        <f t="shared" si="7"/>
        <v>32.802880198990124</v>
      </c>
      <c r="BH7" s="59">
        <f t="shared" si="8"/>
        <v>294.35843575454567</v>
      </c>
      <c r="BI7" s="59">
        <f ca="1">AVERAGE(OFFSET($BH$3,0,0,'Données projet'!$E$11+1,1))-AVERAGE(OFFSET($H$3,0,0,'Données projet'!$E$11+1,1))</f>
        <v>581.88778927327667</v>
      </c>
      <c r="BJ7" s="59">
        <f t="shared" si="38"/>
        <v>269.67340993773422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5.044827586206897</v>
      </c>
      <c r="N8" s="13">
        <f>IF('Données projet'!$A$36&gt;35,N7+M8-V7,IF(A8&lt;'Données projet'!$A$36,$K$205^A8,IF(A8='Données projet'!$A$36,'Données projet'!$B$36,N7+M8-V7)))</f>
        <v>2.3622071910737588</v>
      </c>
      <c r="O8" s="13">
        <f>N8*VLOOKUP('Données projet'!$B$9,Paramètres!$A$1:$I$89,3,0)*VLOOKUP('Données projet'!$B$9,Paramètres!$A$1:$I$89,5,0)</f>
        <v>2.0636242021220359</v>
      </c>
      <c r="P8" s="13">
        <f t="shared" si="33"/>
        <v>0.87409708955044585</v>
      </c>
      <c r="Q8" s="20">
        <f t="shared" si="2"/>
        <v>5.1165312496629056</v>
      </c>
      <c r="R8" s="59">
        <f t="shared" si="0"/>
        <v>267.89430902744067</v>
      </c>
      <c r="S8" s="59">
        <f ca="1">AVERAGE(OFFSET($R$3,0,0,'Données projet'!$E$9+1,1))-AVERAGE(OFFSET($H$3,0,0,'Données projet'!$E$9+1,1))</f>
        <v>413.25558401068383</v>
      </c>
      <c r="T8" s="59">
        <f t="shared" si="34"/>
        <v>289.56516326172863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7.7271428571428578</v>
      </c>
      <c r="AI8" s="13">
        <f>IF('Données projet'!$A$62&gt;35,AI7+AH8-AQ7,IF(A8&lt;'Données projet'!$A$62,$AF$205^A8,IF(A8='Données projet'!$A$62,'Données projet'!$B$62,AI7+AH8-AQ7)))</f>
        <v>5.3269799633370116</v>
      </c>
      <c r="AJ8" s="13">
        <f>AI8*VLOOKUP('Données projet'!$B$10,Paramètres!$A$1:$I$89,3,0)*VLOOKUP('Données projet'!$B$10,Paramètres!$A$1:$I$89,5,0)</f>
        <v>3.1855340180755332</v>
      </c>
      <c r="AK8" s="13">
        <f t="shared" si="35"/>
        <v>1.2828146131269762</v>
      </c>
      <c r="AL8" s="20">
        <f t="shared" si="4"/>
        <v>7.7823738660110378</v>
      </c>
      <c r="AM8" s="59">
        <f t="shared" si="5"/>
        <v>270.5601516437888</v>
      </c>
      <c r="AN8" s="59">
        <f ca="1">AVERAGE(OFFSET($AM$3,0,0,'Données projet'!$E$10+1,1))-AVERAGE(OFFSET($H$3,0,0,'Données projet'!$E$10+1,1))</f>
        <v>287.52077437571728</v>
      </c>
      <c r="AO8" s="59">
        <f t="shared" si="36"/>
        <v>420.95891230839874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3.887142857142857</v>
      </c>
      <c r="BD8" s="12">
        <f>IF('Données projet'!$A$88&gt;35,BD7+BC8-BL7,IF(A8&lt;'Données projet'!$A$88,$BA$205^A8,IF(A8='Données projet'!$A$88,'Données projet'!$B$88,BD7+BC8-BL7)))</f>
        <v>19.435714285714283</v>
      </c>
      <c r="BE8" s="13">
        <f>BD8*VLOOKUP('Données projet'!$B$11,Paramètres!$A$1:$I$89,3,0)*VLOOKUP('Données projet'!$B$11,Paramètres!$A$1:$I$89,5,0)</f>
        <v>17.585434285714282</v>
      </c>
      <c r="BF8" s="13">
        <f t="shared" si="37"/>
        <v>5.804560501905633</v>
      </c>
      <c r="BG8" s="20">
        <f t="shared" si="7"/>
        <v>40.737574255104683</v>
      </c>
      <c r="BH8" s="59">
        <f t="shared" si="8"/>
        <v>303.51535203288245</v>
      </c>
      <c r="BI8" s="59">
        <f ca="1">AVERAGE(OFFSET($BH$3,0,0,'Données projet'!$E$11+1,1))-AVERAGE(OFFSET($H$3,0,0,'Données projet'!$E$11+1,1))</f>
        <v>581.88778927327667</v>
      </c>
      <c r="BJ8" s="59">
        <f t="shared" si="38"/>
        <v>269.67340993773422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5.044827586206897</v>
      </c>
      <c r="N9" s="13">
        <f>IF('Données projet'!$A$36&gt;35,N8+M9-V8,IF(A9&lt;'Données projet'!$A$36,$K$205^A9,IF(A9='Données projet'!$A$36,'Données projet'!$B$36,N8+M9-V8)))</f>
        <v>2.8053146823462325</v>
      </c>
      <c r="O9" s="13">
        <f>N9*VLOOKUP('Données projet'!$B$9,Paramètres!$A$1:$I$89,3,0)*VLOOKUP('Données projet'!$B$9,Paramètres!$A$1:$I$89,5,0)</f>
        <v>2.4507229064976688</v>
      </c>
      <c r="P9" s="13">
        <f t="shared" si="33"/>
        <v>1.0174953400115267</v>
      </c>
      <c r="Q9" s="20">
        <f t="shared" si="2"/>
        <v>6.0404801126701813</v>
      </c>
      <c r="R9" s="59">
        <f t="shared" si="0"/>
        <v>270.0404801126702</v>
      </c>
      <c r="S9" s="59">
        <f ca="1">AVERAGE(OFFSET($R$3,0,0,'Données projet'!$E$9+1,1))-AVERAGE(OFFSET($H$3,0,0,'Données projet'!$E$9+1,1))</f>
        <v>413.25558401068383</v>
      </c>
      <c r="T9" s="59">
        <f t="shared" si="34"/>
        <v>289.56516326172863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7.7271428571428578</v>
      </c>
      <c r="AI9" s="13">
        <f>IF('Données projet'!$A$62&gt;35,AI8+AH9-AQ8,IF(A9&lt;'Données projet'!$A$62,$AF$205^A9,IF(A9='Données projet'!$A$62,'Données projet'!$B$62,AI8+AH9-AQ8)))</f>
        <v>7.4435014259461312</v>
      </c>
      <c r="AJ9" s="13">
        <f>AI9*VLOOKUP('Données projet'!$B$10,Paramètres!$A$1:$I$89,3,0)*VLOOKUP('Données projet'!$B$10,Paramètres!$A$1:$I$89,5,0)</f>
        <v>4.451213852715787</v>
      </c>
      <c r="AK9" s="13">
        <f t="shared" si="35"/>
        <v>1.7240411679772885</v>
      </c>
      <c r="AL9" s="20">
        <f t="shared" si="4"/>
        <v>10.755235827707105</v>
      </c>
      <c r="AM9" s="59">
        <f t="shared" si="5"/>
        <v>274.75523582770711</v>
      </c>
      <c r="AN9" s="59">
        <f ca="1">AVERAGE(OFFSET($AM$3,0,0,'Données projet'!$E$10+1,1))-AVERAGE(OFFSET($H$3,0,0,'Données projet'!$E$10+1,1))</f>
        <v>287.52077437571728</v>
      </c>
      <c r="AO9" s="59">
        <f t="shared" si="36"/>
        <v>420.95891230839874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3.887142857142857</v>
      </c>
      <c r="BD9" s="12">
        <f>IF('Données projet'!$A$88&gt;35,BD8+BC9-BL8,IF(A9&lt;'Données projet'!$A$88,$BA$205^A9,IF(A9='Données projet'!$A$88,'Données projet'!$B$88,BD8+BC9-BL8)))</f>
        <v>23.322857142857139</v>
      </c>
      <c r="BE9" s="13">
        <f>BD9*VLOOKUP('Données projet'!$B$11,Paramètres!$A$1:$I$89,3,0)*VLOOKUP('Données projet'!$B$11,Paramètres!$A$1:$I$89,5,0)</f>
        <v>21.102521142857139</v>
      </c>
      <c r="BF9" s="13">
        <f t="shared" si="37"/>
        <v>6.8192072738987575</v>
      </c>
      <c r="BG9" s="20">
        <f t="shared" si="7"/>
        <v>48.630343659183183</v>
      </c>
      <c r="BH9" s="59">
        <f t="shared" si="8"/>
        <v>312.63034365918315</v>
      </c>
      <c r="BI9" s="59">
        <f ca="1">AVERAGE(OFFSET($BH$3,0,0,'Données projet'!$E$11+1,1))-AVERAGE(OFFSET($H$3,0,0,'Données projet'!$E$11+1,1))</f>
        <v>581.88778927327667</v>
      </c>
      <c r="BJ9" s="59">
        <f t="shared" si="38"/>
        <v>269.67340993773422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5.044827586206897</v>
      </c>
      <c r="N10" s="13">
        <f>IF('Données projet'!$A$36&gt;35,N9+M10-V9,IF(A10&lt;'Données projet'!$A$36,$K$205^A10,IF(A10='Données projet'!$A$36,'Données projet'!$B$36,N9+M10-V9)))</f>
        <v>3.3315411521586604</v>
      </c>
      <c r="O10" s="13">
        <f>N10*VLOOKUP('Données projet'!$B$9,Paramètres!$A$1:$I$89,3,0)*VLOOKUP('Données projet'!$B$9,Paramètres!$A$1:$I$89,5,0)</f>
        <v>2.9104343505258061</v>
      </c>
      <c r="P10" s="13">
        <f t="shared" si="33"/>
        <v>1.1844185037586994</v>
      </c>
      <c r="Q10" s="20">
        <f t="shared" si="2"/>
        <v>7.1318687212121814</v>
      </c>
      <c r="R10" s="59">
        <f t="shared" si="0"/>
        <v>272.35409094343441</v>
      </c>
      <c r="S10" s="59">
        <f ca="1">AVERAGE(OFFSET($R$3,0,0,'Données projet'!$E$9+1,1))-AVERAGE(OFFSET($H$3,0,0,'Données projet'!$E$9+1,1))</f>
        <v>413.25558401068383</v>
      </c>
      <c r="T10" s="59">
        <f t="shared" si="34"/>
        <v>289.56516326172863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7.7271428571428578</v>
      </c>
      <c r="AI10" s="13">
        <f>IF('Données projet'!$A$62&gt;35,AI9+AH10-AQ9,IF(A10&lt;'Données projet'!$A$62,$AF$205^A10,IF(A10='Données projet'!$A$62,'Données projet'!$B$62,AI9+AH10-AQ9)))</f>
        <v>10.400961494015824</v>
      </c>
      <c r="AJ10" s="13">
        <f>AI10*VLOOKUP('Données projet'!$B$10,Paramètres!$A$1:$I$89,3,0)*VLOOKUP('Données projet'!$B$10,Paramètres!$A$1:$I$89,5,0)</f>
        <v>6.2197749734214636</v>
      </c>
      <c r="AK10" s="13">
        <f t="shared" si="35"/>
        <v>2.3170284454705419</v>
      </c>
      <c r="AL10" s="20">
        <f t="shared" si="4"/>
        <v>14.868265954570242</v>
      </c>
      <c r="AM10" s="59">
        <f t="shared" si="5"/>
        <v>280.09048817679246</v>
      </c>
      <c r="AN10" s="59">
        <f ca="1">AVERAGE(OFFSET($AM$3,0,0,'Données projet'!$E$10+1,1))-AVERAGE(OFFSET($H$3,0,0,'Données projet'!$E$10+1,1))</f>
        <v>287.52077437571728</v>
      </c>
      <c r="AO10" s="59">
        <f t="shared" si="36"/>
        <v>420.95891230839874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3.887142857142857</v>
      </c>
      <c r="BD10" s="12">
        <f>IF('Données projet'!$A$88&gt;35,BD9+BC10-BL9,IF(A10&lt;'Données projet'!$A$88,$BA$205^A10,IF(A10='Données projet'!$A$88,'Données projet'!$B$88,BD9+BC10-BL9)))</f>
        <v>27.209999999999994</v>
      </c>
      <c r="BE10" s="13">
        <f>BD10*VLOOKUP('Données projet'!$B$11,Paramètres!$A$1:$I$89,3,0)*VLOOKUP('Données projet'!$B$11,Paramètres!$A$1:$I$89,5,0)</f>
        <v>24.619607999999992</v>
      </c>
      <c r="BF10" s="13">
        <f t="shared" si="37"/>
        <v>7.8142639118614152</v>
      </c>
      <c r="BG10" s="20">
        <f t="shared" si="7"/>
        <v>56.488993579825284</v>
      </c>
      <c r="BH10" s="59">
        <f t="shared" si="8"/>
        <v>321.71121580204749</v>
      </c>
      <c r="BI10" s="59">
        <f ca="1">AVERAGE(OFFSET($BH$3,0,0,'Données projet'!$E$11+1,1))-AVERAGE(OFFSET($H$3,0,0,'Données projet'!$E$11+1,1))</f>
        <v>581.88778927327667</v>
      </c>
      <c r="BJ10" s="59">
        <f t="shared" si="38"/>
        <v>269.67340993773422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5.044827586206897</v>
      </c>
      <c r="N11" s="13">
        <f>IF('Données projet'!$A$36&gt;35,N10+M11-V10,IF(A11&lt;'Données projet'!$A$36,$K$205^A11,IF(A11='Données projet'!$A$36,'Données projet'!$B$36,N10+M11-V10)))</f>
        <v>3.9564782227011466</v>
      </c>
      <c r="O11" s="13">
        <f>N11*VLOOKUP('Données projet'!$B$9,Paramètres!$A$1:$I$89,3,0)*VLOOKUP('Données projet'!$B$9,Paramètres!$A$1:$I$89,5,0)</f>
        <v>3.4563793753517222</v>
      </c>
      <c r="P11" s="13">
        <f t="shared" si="33"/>
        <v>1.3787259134082159</v>
      </c>
      <c r="Q11" s="20">
        <f t="shared" si="2"/>
        <v>8.421141711256892</v>
      </c>
      <c r="R11" s="59">
        <f t="shared" si="0"/>
        <v>274.86558615570135</v>
      </c>
      <c r="S11" s="59">
        <f ca="1">AVERAGE(OFFSET($R$3,0,0,'Données projet'!$E$9+1,1))-AVERAGE(OFFSET($H$3,0,0,'Données projet'!$E$9+1,1))</f>
        <v>413.25558401068383</v>
      </c>
      <c r="T11" s="59">
        <f t="shared" si="34"/>
        <v>289.56516326172863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7.7271428571428578</v>
      </c>
      <c r="AI11" s="13">
        <f>IF('Données projet'!$A$62&gt;35,AI10+AH11-AQ10,IF(A11&lt;'Données projet'!$A$62,$AF$205^A11,IF(A11='Données projet'!$A$62,'Données projet'!$B$62,AI10+AH11-AQ10)))</f>
        <v>14.533482807286399</v>
      </c>
      <c r="AJ11" s="13">
        <f>AI11*VLOOKUP('Données projet'!$B$10,Paramètres!$A$1:$I$89,3,0)*VLOOKUP('Données projet'!$B$10,Paramètres!$A$1:$I$89,5,0)</f>
        <v>8.6910227187572673</v>
      </c>
      <c r="AK11" s="13">
        <f t="shared" si="35"/>
        <v>3.1139748382101038</v>
      </c>
      <c r="AL11" s="20">
        <f t="shared" si="4"/>
        <v>20.560370745051507</v>
      </c>
      <c r="AM11" s="59">
        <f t="shared" si="5"/>
        <v>287.00481518949596</v>
      </c>
      <c r="AN11" s="59">
        <f ca="1">AVERAGE(OFFSET($AM$3,0,0,'Données projet'!$E$10+1,1))-AVERAGE(OFFSET($H$3,0,0,'Données projet'!$E$10+1,1))</f>
        <v>287.52077437571728</v>
      </c>
      <c r="AO11" s="59">
        <f t="shared" si="36"/>
        <v>420.95891230839874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3.887142857142857</v>
      </c>
      <c r="BD11" s="12">
        <f>IF('Données projet'!$A$88&gt;35,BD10+BC11-BL10,IF(A11&lt;'Données projet'!$A$88,$BA$205^A11,IF(A11='Données projet'!$A$88,'Données projet'!$B$88,BD10+BC11-BL10)))</f>
        <v>31.097142857142849</v>
      </c>
      <c r="BE11" s="13">
        <f>BD11*VLOOKUP('Données projet'!$B$11,Paramètres!$A$1:$I$89,3,0)*VLOOKUP('Données projet'!$B$11,Paramètres!$A$1:$I$89,5,0)</f>
        <v>28.136694857142849</v>
      </c>
      <c r="BF11" s="13">
        <f t="shared" si="37"/>
        <v>8.792851913254415</v>
      </c>
      <c r="BG11" s="20">
        <f t="shared" si="7"/>
        <v>64.318960625108559</v>
      </c>
      <c r="BH11" s="59">
        <f t="shared" si="8"/>
        <v>330.76340506955302</v>
      </c>
      <c r="BI11" s="59">
        <f ca="1">AVERAGE(OFFSET($BH$3,0,0,'Données projet'!$E$11+1,1))-AVERAGE(OFFSET($H$3,0,0,'Données projet'!$E$11+1,1))</f>
        <v>581.88778927327667</v>
      </c>
      <c r="BJ11" s="59">
        <f t="shared" si="38"/>
        <v>269.67340993773422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5.044827586206897</v>
      </c>
      <c r="N12" s="13">
        <f>IF('Données projet'!$A$36&gt;35,N11+M12-V11,IF(A12&lt;'Données projet'!$A$36,$K$205^A12,IF(A12='Données projet'!$A$36,'Données projet'!$B$36,N11+M12-V11)))</f>
        <v>4.698642223454347</v>
      </c>
      <c r="O12" s="13">
        <f>N12*VLOOKUP('Données projet'!$B$9,Paramètres!$A$1:$I$89,3,0)*VLOOKUP('Données projet'!$B$9,Paramètres!$A$1:$I$89,5,0)</f>
        <v>4.1047338464097178</v>
      </c>
      <c r="P12" s="13">
        <f t="shared" si="33"/>
        <v>1.604910036672802</v>
      </c>
      <c r="Q12" s="20">
        <f t="shared" si="2"/>
        <v>9.9442964297020549</v>
      </c>
      <c r="R12" s="59">
        <f t="shared" si="0"/>
        <v>277.61096309636872</v>
      </c>
      <c r="S12" s="59">
        <f ca="1">AVERAGE(OFFSET($R$3,0,0,'Données projet'!$E$9+1,1))-AVERAGE(OFFSET($H$3,0,0,'Données projet'!$E$9+1,1))</f>
        <v>413.25558401068383</v>
      </c>
      <c r="T12" s="59">
        <f t="shared" si="34"/>
        <v>289.56516326172863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7.7271428571428578</v>
      </c>
      <c r="AI12" s="13">
        <f>IF('Données projet'!$A$62&gt;35,AI11+AH12-AQ11,IF(A12&lt;'Données projet'!$A$62,$AF$205^A12,IF(A12='Données projet'!$A$62,'Données projet'!$B$62,AI11+AH12-AQ11)))</f>
        <v>20.307941975481366</v>
      </c>
      <c r="AJ12" s="13">
        <f>AI12*VLOOKUP('Données projet'!$B$10,Paramètres!$A$1:$I$89,3,0)*VLOOKUP('Données projet'!$B$10,Paramètres!$A$1:$I$89,5,0)</f>
        <v>12.144149301337858</v>
      </c>
      <c r="AK12" s="13">
        <f t="shared" si="35"/>
        <v>4.1850324763865441</v>
      </c>
      <c r="AL12" s="20">
        <f t="shared" si="4"/>
        <v>28.439991596203328</v>
      </c>
      <c r="AM12" s="59">
        <f t="shared" si="5"/>
        <v>296.10665826287004</v>
      </c>
      <c r="AN12" s="59">
        <f ca="1">AVERAGE(OFFSET($AM$3,0,0,'Données projet'!$E$10+1,1))-AVERAGE(OFFSET($H$3,0,0,'Données projet'!$E$10+1,1))</f>
        <v>287.52077437571728</v>
      </c>
      <c r="AO12" s="59">
        <f t="shared" si="36"/>
        <v>420.95891230839874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3.887142857142857</v>
      </c>
      <c r="BD12" s="12">
        <f>IF('Données projet'!$A$88&gt;35,BD11+BC12-BL11,IF(A12&lt;'Données projet'!$A$88,$BA$205^A12,IF(A12='Données projet'!$A$88,'Données projet'!$B$88,BD11+BC12-BL11)))</f>
        <v>34.984285714285704</v>
      </c>
      <c r="BE12" s="13">
        <f>BD12*VLOOKUP('Données projet'!$B$11,Paramètres!$A$1:$I$89,3,0)*VLOOKUP('Données projet'!$B$11,Paramètres!$A$1:$I$89,5,0)</f>
        <v>31.653781714285703</v>
      </c>
      <c r="BF12" s="13">
        <f t="shared" si="37"/>
        <v>9.757265618420071</v>
      </c>
      <c r="BG12" s="20">
        <f t="shared" si="7"/>
        <v>72.124240771129223</v>
      </c>
      <c r="BH12" s="59">
        <f t="shared" si="8"/>
        <v>339.79090743779591</v>
      </c>
      <c r="BI12" s="59">
        <f ca="1">AVERAGE(OFFSET($BH$3,0,0,'Données projet'!$E$11+1,1))-AVERAGE(OFFSET($H$3,0,0,'Données projet'!$E$11+1,1))</f>
        <v>581.88778927327667</v>
      </c>
      <c r="BJ12" s="59">
        <f t="shared" si="38"/>
        <v>269.67340993773422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5.044827586206897</v>
      </c>
      <c r="N13" s="13">
        <f>IF('Données projet'!$A$36&gt;35,N12+M13-V12,IF(A13&lt;'Données projet'!$A$36,$K$205^A13,IF(A13='Données projet'!$A$36,'Données projet'!$B$36,N12+M13-V12)))</f>
        <v>5.5800228135605776</v>
      </c>
      <c r="O13" s="13">
        <f>N13*VLOOKUP('Données projet'!$B$9,Paramètres!$A$1:$I$89,3,0)*VLOOKUP('Données projet'!$B$9,Paramètres!$A$1:$I$89,5,0)</f>
        <v>4.8747079299265215</v>
      </c>
      <c r="P13" s="13">
        <f t="shared" si="33"/>
        <v>1.8682003440740915</v>
      </c>
      <c r="Q13" s="20">
        <f t="shared" si="2"/>
        <v>11.743898577217735</v>
      </c>
      <c r="R13" s="59">
        <f t="shared" si="0"/>
        <v>280.63278746610661</v>
      </c>
      <c r="S13" s="59">
        <f ca="1">AVERAGE(OFFSET($R$3,0,0,'Données projet'!$E$9+1,1))-AVERAGE(OFFSET($H$3,0,0,'Données projet'!$E$9+1,1))</f>
        <v>413.25558401068383</v>
      </c>
      <c r="T13" s="59">
        <f t="shared" si="34"/>
        <v>289.56516326172863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7.7271428571428578</v>
      </c>
      <c r="AI13" s="13">
        <f>IF('Données projet'!$A$62&gt;35,AI12+AH13-AQ12,IF(A13&lt;'Données projet'!$A$62,$AF$205^A13,IF(A13='Données projet'!$A$62,'Données projet'!$B$62,AI12+AH13-AQ12)))</f>
        <v>28.376715529793994</v>
      </c>
      <c r="AJ13" s="13">
        <f>AI13*VLOOKUP('Données projet'!$B$10,Paramètres!$A$1:$I$89,3,0)*VLOOKUP('Données projet'!$B$10,Paramètres!$A$1:$I$89,5,0)</f>
        <v>16.96927588681681</v>
      </c>
      <c r="AK13" s="13">
        <f t="shared" si="35"/>
        <v>5.6244824503711541</v>
      </c>
      <c r="AL13" s="20">
        <f t="shared" si="4"/>
        <v>39.350795770602367</v>
      </c>
      <c r="AM13" s="59">
        <f t="shared" si="5"/>
        <v>308.23968465949122</v>
      </c>
      <c r="AN13" s="59">
        <f ca="1">AVERAGE(OFFSET($AM$3,0,0,'Données projet'!$E$10+1,1))-AVERAGE(OFFSET($H$3,0,0,'Données projet'!$E$10+1,1))</f>
        <v>287.52077437571728</v>
      </c>
      <c r="AO13" s="59">
        <f t="shared" si="36"/>
        <v>420.95891230839874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3.887142857142857</v>
      </c>
      <c r="BD13" s="12">
        <f>IF('Données projet'!$A$88&gt;35,BD12+BC13-BL12,IF(A13&lt;'Données projet'!$A$88,$BA$205^A13,IF(A13='Données projet'!$A$88,'Données projet'!$B$88,BD12+BC13-BL12)))</f>
        <v>38.871428571428559</v>
      </c>
      <c r="BE13" s="13">
        <f>BD13*VLOOKUP('Données projet'!$B$11,Paramètres!$A$1:$I$89,3,0)*VLOOKUP('Données projet'!$B$11,Paramètres!$A$1:$I$89,5,0)</f>
        <v>35.170868571428556</v>
      </c>
      <c r="BF13" s="13">
        <f t="shared" si="37"/>
        <v>10.709259603674569</v>
      </c>
      <c r="BG13" s="20">
        <f t="shared" si="7"/>
        <v>79.90788990497127</v>
      </c>
      <c r="BH13" s="59">
        <f t="shared" si="8"/>
        <v>348.79677879386014</v>
      </c>
      <c r="BI13" s="59">
        <f ca="1">AVERAGE(OFFSET($BH$3,0,0,'Données projet'!$E$11+1,1))-AVERAGE(OFFSET($H$3,0,0,'Données projet'!$E$11+1,1))</f>
        <v>581.88778927327667</v>
      </c>
      <c r="BJ13" s="59">
        <f t="shared" si="38"/>
        <v>269.67340993773422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5.044827586206897</v>
      </c>
      <c r="N14" s="13">
        <f>IF('Données projet'!$A$36&gt;35,N13+M14-V13,IF(A14&lt;'Données projet'!$A$36,$K$205^A14,IF(A14='Données projet'!$A$36,'Données projet'!$B$36,N13+M14-V13)))</f>
        <v>6.6267345158630686</v>
      </c>
      <c r="O14" s="13">
        <f>N14*VLOOKUP('Données projet'!$B$9,Paramètres!$A$1:$I$89,3,0)*VLOOKUP('Données projet'!$B$9,Paramètres!$A$1:$I$89,5,0)</f>
        <v>5.7891152730579769</v>
      </c>
      <c r="P14" s="13">
        <f t="shared" si="33"/>
        <v>2.1746842164649669</v>
      </c>
      <c r="Q14" s="20">
        <f t="shared" si="2"/>
        <v>13.870284110919128</v>
      </c>
      <c r="R14" s="59">
        <f t="shared" si="0"/>
        <v>283.98139522203024</v>
      </c>
      <c r="S14" s="59">
        <f ca="1">AVERAGE(OFFSET($R$3,0,0,'Données projet'!$E$9+1,1))-AVERAGE(OFFSET($H$3,0,0,'Données projet'!$E$9+1,1))</f>
        <v>413.25558401068383</v>
      </c>
      <c r="T14" s="59">
        <f t="shared" si="34"/>
        <v>289.56516326172863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7.7271428571428578</v>
      </c>
      <c r="AI14" s="13">
        <f>IF('Données projet'!$A$62&gt;35,AI13+AH14-AQ13,IF(A14&lt;'Données projet'!$A$62,$AF$205^A14,IF(A14='Données projet'!$A$62,'Données projet'!$B$62,AI13+AH14-AQ13)))</f>
        <v>39.651382953085523</v>
      </c>
      <c r="AJ14" s="13">
        <f>AI14*VLOOKUP('Données projet'!$B$10,Paramètres!$A$1:$I$89,3,0)*VLOOKUP('Données projet'!$B$10,Paramètres!$A$1:$I$89,5,0)</f>
        <v>23.711527005945143</v>
      </c>
      <c r="AK14" s="13">
        <f t="shared" si="35"/>
        <v>7.5590340130042035</v>
      </c>
      <c r="AL14" s="20">
        <f t="shared" si="4"/>
        <v>54.462893774670114</v>
      </c>
      <c r="AM14" s="59">
        <f t="shared" si="5"/>
        <v>324.57400488578128</v>
      </c>
      <c r="AN14" s="59">
        <f ca="1">AVERAGE(OFFSET($AM$3,0,0,'Données projet'!$E$10+1,1))-AVERAGE(OFFSET($H$3,0,0,'Données projet'!$E$10+1,1))</f>
        <v>287.52077437571728</v>
      </c>
      <c r="AO14" s="59">
        <f t="shared" si="36"/>
        <v>420.95891230839874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3.887142857142857</v>
      </c>
      <c r="BD14" s="12">
        <f>IF('Données projet'!$A$88&gt;35,BD13+BC14-BL13,IF(A14&lt;'Données projet'!$A$88,$BA$205^A14,IF(A14='Données projet'!$A$88,'Données projet'!$B$88,BD13+BC14-BL13)))</f>
        <v>42.758571428571415</v>
      </c>
      <c r="BE14" s="13">
        <f>BD14*VLOOKUP('Données projet'!$B$11,Paramètres!$A$1:$I$89,3,0)*VLOOKUP('Données projet'!$B$11,Paramètres!$A$1:$I$89,5,0)</f>
        <v>38.687955428571414</v>
      </c>
      <c r="BF14" s="13">
        <f t="shared" si="37"/>
        <v>11.650217223542473</v>
      </c>
      <c r="BG14" s="20">
        <f t="shared" si="7"/>
        <v>87.672317369098337</v>
      </c>
      <c r="BH14" s="59">
        <f t="shared" si="8"/>
        <v>357.78342848020947</v>
      </c>
      <c r="BI14" s="59">
        <f ca="1">AVERAGE(OFFSET($BH$3,0,0,'Données projet'!$E$11+1,1))-AVERAGE(OFFSET($H$3,0,0,'Données projet'!$E$11+1,1))</f>
        <v>581.88778927327667</v>
      </c>
      <c r="BJ14" s="59">
        <f t="shared" si="38"/>
        <v>269.67340993773422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5.044827586206897</v>
      </c>
      <c r="N15" s="13">
        <f>IF('Données projet'!$A$36&gt;35,N14+M15-V14,IF(A15&lt;'Données projet'!$A$36,$K$205^A15,IF(A15='Données projet'!$A$36,'Données projet'!$B$36,N14+M15-V14)))</f>
        <v>7.8697904669873431</v>
      </c>
      <c r="O15" s="13">
        <f>N15*VLOOKUP('Données projet'!$B$9,Paramètres!$A$1:$I$89,3,0)*VLOOKUP('Données projet'!$B$9,Paramètres!$A$1:$I$89,5,0)</f>
        <v>6.8750489519601441</v>
      </c>
      <c r="P15" s="13">
        <f t="shared" si="33"/>
        <v>2.53144768779375</v>
      </c>
      <c r="Q15" s="20">
        <f t="shared" si="2"/>
        <v>16.382981647571366</v>
      </c>
      <c r="R15" s="59">
        <f t="shared" si="0"/>
        <v>287.71631498090466</v>
      </c>
      <c r="S15" s="59">
        <f ca="1">AVERAGE(OFFSET($R$3,0,0,'Données projet'!$E$9+1,1))-AVERAGE(OFFSET($H$3,0,0,'Données projet'!$E$9+1,1))</f>
        <v>413.25558401068383</v>
      </c>
      <c r="T15" s="59">
        <f t="shared" si="34"/>
        <v>289.56516326172863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7.7271428571428578</v>
      </c>
      <c r="AI15" s="13">
        <f>IF('Données projet'!$A$62&gt;35,AI14+AH15-AQ14,IF(A15&lt;'Données projet'!$A$62,$AF$205^A15,IF(A15='Données projet'!$A$62,'Données projet'!$B$62,AI14+AH15-AQ14)))</f>
        <v>55.40571347806209</v>
      </c>
      <c r="AJ15" s="13">
        <f>AI15*VLOOKUP('Données projet'!$B$10,Paramètres!$A$1:$I$89,3,0)*VLOOKUP('Données projet'!$B$10,Paramètres!$A$1:$I$89,5,0)</f>
        <v>33.13261665988113</v>
      </c>
      <c r="AK15" s="13">
        <f t="shared" si="35"/>
        <v>10.158978308481325</v>
      </c>
      <c r="AL15" s="20">
        <f t="shared" si="4"/>
        <v>75.39952790323126</v>
      </c>
      <c r="AM15" s="59">
        <f t="shared" si="5"/>
        <v>346.73286123656459</v>
      </c>
      <c r="AN15" s="59">
        <f ca="1">AVERAGE(OFFSET($AM$3,0,0,'Données projet'!$E$10+1,1))-AVERAGE(OFFSET($H$3,0,0,'Données projet'!$E$10+1,1))</f>
        <v>287.52077437571728</v>
      </c>
      <c r="AO15" s="59">
        <f t="shared" si="36"/>
        <v>420.95891230839874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3.887142857142857</v>
      </c>
      <c r="BD15" s="12">
        <f>IF('Données projet'!$A$88&gt;35,BD14+BC15-BL14,IF(A15&lt;'Données projet'!$A$88,$BA$205^A15,IF(A15='Données projet'!$A$88,'Données projet'!$B$88,BD14+BC15-BL14)))</f>
        <v>46.64571428571427</v>
      </c>
      <c r="BE15" s="13">
        <f>BD15*VLOOKUP('Données projet'!$B$11,Paramètres!$A$1:$I$89,3,0)*VLOOKUP('Données projet'!$B$11,Paramètres!$A$1:$I$89,5,0)</f>
        <v>42.205042285714271</v>
      </c>
      <c r="BF15" s="13">
        <f t="shared" si="37"/>
        <v>12.581255887241159</v>
      </c>
      <c r="BG15" s="20">
        <f t="shared" si="7"/>
        <v>95.419469317897367</v>
      </c>
      <c r="BH15" s="59">
        <f t="shared" si="8"/>
        <v>366.7528026512307</v>
      </c>
      <c r="BI15" s="59">
        <f ca="1">AVERAGE(OFFSET($BH$3,0,0,'Données projet'!$E$11+1,1))-AVERAGE(OFFSET($H$3,0,0,'Données projet'!$E$11+1,1))</f>
        <v>581.88778927327667</v>
      </c>
      <c r="BJ15" s="59">
        <f t="shared" si="38"/>
        <v>269.67340993773422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5.044827586206897</v>
      </c>
      <c r="N16" s="13">
        <f>IF('Données projet'!$A$36&gt;35,N15+M16-V15,IF(A16&lt;'Données projet'!$A$36,$K$205^A16,IF(A16='Données projet'!$A$36,'Données projet'!$B$36,N15+M16-V15)))</f>
        <v>9.3460213089913733</v>
      </c>
      <c r="O16" s="13">
        <f>N16*VLOOKUP('Données projet'!$B$9,Paramètres!$A$1:$I$89,3,0)*VLOOKUP('Données projet'!$B$9,Paramètres!$A$1:$I$89,5,0)</f>
        <v>8.1646842155348658</v>
      </c>
      <c r="P16" s="13">
        <f t="shared" si="33"/>
        <v>2.9467392771411864</v>
      </c>
      <c r="Q16" s="20">
        <f t="shared" si="2"/>
        <v>19.352395916410792</v>
      </c>
      <c r="R16" s="59">
        <f t="shared" si="0"/>
        <v>291.90795147196633</v>
      </c>
      <c r="S16" s="59">
        <f ca="1">AVERAGE(OFFSET($R$3,0,0,'Données projet'!$E$9+1,1))-AVERAGE(OFFSET($H$3,0,0,'Données projet'!$E$9+1,1))</f>
        <v>413.25558401068383</v>
      </c>
      <c r="T16" s="59">
        <f t="shared" si="34"/>
        <v>289.56516326172863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7.7271428571428578</v>
      </c>
      <c r="AI16" s="13">
        <f>IF('Données projet'!$A$62&gt;35,AI15+AH16-AQ15,IF(A16&lt;'Données projet'!$A$62,$AF$205^A16,IF(A16='Données projet'!$A$62,'Données projet'!$B$62,AI15+AH16-AQ15)))</f>
        <v>77.419571711917584</v>
      </c>
      <c r="AJ16" s="13">
        <f>AI16*VLOOKUP('Données projet'!$B$10,Paramètres!$A$1:$I$89,3,0)*VLOOKUP('Données projet'!$B$10,Paramètres!$A$1:$I$89,5,0)</f>
        <v>46.296903883726721</v>
      </c>
      <c r="AK16" s="13">
        <f t="shared" si="35"/>
        <v>13.653178447754749</v>
      </c>
      <c r="AL16" s="20">
        <f t="shared" si="4"/>
        <v>104.41306006066355</v>
      </c>
      <c r="AM16" s="59">
        <f t="shared" si="5"/>
        <v>376.9686156162191</v>
      </c>
      <c r="AN16" s="59">
        <f ca="1">AVERAGE(OFFSET($AM$3,0,0,'Données projet'!$E$10+1,1))-AVERAGE(OFFSET($H$3,0,0,'Données projet'!$E$10+1,1))</f>
        <v>287.52077437571728</v>
      </c>
      <c r="AO16" s="59">
        <f t="shared" si="36"/>
        <v>420.95891230839874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3.887142857142857</v>
      </c>
      <c r="BD16" s="12">
        <f>IF('Données projet'!$A$88&gt;35,BD15+BC16-BL15,IF(A16&lt;'Données projet'!$A$88,$BA$205^A16,IF(A16='Données projet'!$A$88,'Données projet'!$B$88,BD15+BC16-BL15)))</f>
        <v>50.532857142857125</v>
      </c>
      <c r="BE16" s="13">
        <f>BD16*VLOOKUP('Données projet'!$B$11,Paramètres!$A$1:$I$89,3,0)*VLOOKUP('Données projet'!$B$11,Paramètres!$A$1:$I$89,5,0)</f>
        <v>45.722129142857128</v>
      </c>
      <c r="BF16" s="13">
        <f t="shared" si="37"/>
        <v>13.50329614922042</v>
      </c>
      <c r="BG16" s="20">
        <f t="shared" si="7"/>
        <v>103.1509490503684</v>
      </c>
      <c r="BH16" s="59">
        <f t="shared" si="8"/>
        <v>375.70650460592395</v>
      </c>
      <c r="BI16" s="59">
        <f ca="1">AVERAGE(OFFSET($BH$3,0,0,'Données projet'!$E$11+1,1))-AVERAGE(OFFSET($H$3,0,0,'Données projet'!$E$11+1,1))</f>
        <v>581.88778927327667</v>
      </c>
      <c r="BJ16" s="59">
        <f t="shared" si="38"/>
        <v>269.67340993773422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5.044827586206897</v>
      </c>
      <c r="N17" s="13">
        <f>IF('Données projet'!$A$36&gt;35,N16+M17-V16,IF(A17&lt;'Données projet'!$A$36,$K$205^A17,IF(A17='Données projet'!$A$36,'Données projet'!$B$36,N16+M17-V16)))</f>
        <v>11.099166448526654</v>
      </c>
      <c r="O17" s="13">
        <f>N17*VLOOKUP('Données projet'!$B$9,Paramètres!$A$1:$I$89,3,0)*VLOOKUP('Données projet'!$B$9,Paramètres!$A$1:$I$89,5,0)</f>
        <v>9.6962318094328861</v>
      </c>
      <c r="P17" s="13">
        <f t="shared" si="33"/>
        <v>3.430160697894709</v>
      </c>
      <c r="Q17" s="20">
        <f t="shared" si="2"/>
        <v>22.861800283595556</v>
      </c>
      <c r="R17" s="59">
        <f t="shared" si="0"/>
        <v>296.6395780613733</v>
      </c>
      <c r="S17" s="59">
        <f ca="1">AVERAGE(OFFSET($R$3,0,0,'Données projet'!$E$9+1,1))-AVERAGE(OFFSET($H$3,0,0,'Données projet'!$E$9+1,1))</f>
        <v>413.25558401068383</v>
      </c>
      <c r="T17" s="59">
        <f t="shared" si="34"/>
        <v>289.56516326172863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108.18</v>
      </c>
      <c r="AG17" s="12">
        <f>VLOOKUP(A17,'Données projet'!$A$61:$I$81,9,0)</f>
        <v>7.7271428571428578</v>
      </c>
      <c r="AH17" s="12">
        <f t="array" ref="AH17">INDEX(AG:AG,MIN(IF(ISNUMBER(AG17:AG213),ROW(AG17:AG213),"")))</f>
        <v>7.7271428571428578</v>
      </c>
      <c r="AI17" s="13">
        <f>IF('Données projet'!$A$62&gt;35,AI16+AH17-AQ16,IF(A17&lt;'Données projet'!$A$62,$AF$205^A17,IF(A17='Données projet'!$A$62,'Données projet'!$B$62,AI16+AH17-AQ16)))</f>
        <v>108.18</v>
      </c>
      <c r="AJ17" s="13">
        <f>AI17*VLOOKUP('Données projet'!$B$10,Paramètres!$A$1:$I$89,3,0)*VLOOKUP('Données projet'!$B$10,Paramètres!$A$1:$I$89,5,0)</f>
        <v>64.691640000000007</v>
      </c>
      <c r="AK17" s="13">
        <f t="shared" si="35"/>
        <v>18.349215449215929</v>
      </c>
      <c r="AL17" s="20">
        <f t="shared" si="4"/>
        <v>144.62948990738442</v>
      </c>
      <c r="AM17" s="59">
        <f t="shared" si="5"/>
        <v>418.4072676851622</v>
      </c>
      <c r="AN17" s="59">
        <f ca="1">AVERAGE(OFFSET($AM$3,0,0,'Données projet'!$E$10+1,1))-AVERAGE(OFFSET($H$3,0,0,'Données projet'!$E$10+1,1))</f>
        <v>287.52077437571728</v>
      </c>
      <c r="AO17" s="59">
        <f t="shared" si="36"/>
        <v>420.95891230839874</v>
      </c>
      <c r="AP17" s="15">
        <f>IF(ISNA(VLOOKUP(A17,'Données projet'!$A$61:$I$81,3,0)),0,VLOOKUP(A17,'Données projet'!$A$61:$I$81,3,0))</f>
        <v>1</v>
      </c>
      <c r="AQ17" s="15">
        <f>IF(ISNA(VLOOKUP(A17,'Données projet'!$A$61:$I$81,4,0)),0,VLOOKUP(A17,'Données projet'!$A$61:$I$81,4,0))</f>
        <v>34.25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0.45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12.17837301020951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12.17837301020951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3.887142857142857</v>
      </c>
      <c r="BD17" s="12">
        <f>IF('Données projet'!$A$88&gt;35,BD16+BC17-BL16,IF(A17&lt;'Données projet'!$A$88,$BA$205^A17,IF(A17='Données projet'!$A$88,'Données projet'!$B$88,BD16+BC17-BL16)))</f>
        <v>54.41999999999998</v>
      </c>
      <c r="BE17" s="13">
        <f>BD17*VLOOKUP('Données projet'!$B$11,Paramètres!$A$1:$I$89,3,0)*VLOOKUP('Données projet'!$B$11,Paramètres!$A$1:$I$89,5,0)</f>
        <v>49.239215999999978</v>
      </c>
      <c r="BF17" s="13">
        <f t="shared" si="37"/>
        <v>14.417108895027585</v>
      </c>
      <c r="BG17" s="20">
        <f t="shared" si="7"/>
        <v>110.86809919217301</v>
      </c>
      <c r="BH17" s="59">
        <f t="shared" si="8"/>
        <v>384.64587696995079</v>
      </c>
      <c r="BI17" s="59">
        <f ca="1">AVERAGE(OFFSET($BH$3,0,0,'Données projet'!$E$11+1,1))-AVERAGE(OFFSET($H$3,0,0,'Données projet'!$E$11+1,1))</f>
        <v>581.88778927327667</v>
      </c>
      <c r="BJ17" s="59">
        <f t="shared" si="38"/>
        <v>269.67340993773422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5.044827586206897</v>
      </c>
      <c r="N18" s="13">
        <f>IF('Données projet'!$A$36&gt;35,N17+M18-V17,IF(A18&lt;'Données projet'!$A$36,$K$205^A18,IF(A18='Données projet'!$A$36,'Données projet'!$B$36,N17+M18-V17)))</f>
        <v>13.181170016548426</v>
      </c>
      <c r="O18" s="13">
        <f>N18*VLOOKUP('Données projet'!$B$9,Paramètres!$A$1:$I$89,3,0)*VLOOKUP('Données projet'!$B$9,Paramètres!$A$1:$I$89,5,0)</f>
        <v>11.515070126456708</v>
      </c>
      <c r="P18" s="13">
        <f t="shared" si="33"/>
        <v>3.9928888533350158</v>
      </c>
      <c r="Q18" s="20">
        <f t="shared" si="2"/>
        <v>27.009695223137253</v>
      </c>
      <c r="R18" s="59">
        <f t="shared" si="0"/>
        <v>302.00969522313727</v>
      </c>
      <c r="S18" s="59">
        <f ca="1">AVERAGE(OFFSET($R$3,0,0,'Données projet'!$E$9+1,1))-AVERAGE(OFFSET($H$3,0,0,'Données projet'!$E$9+1,1))</f>
        <v>413.25558401068383</v>
      </c>
      <c r="T18" s="59">
        <f t="shared" si="34"/>
        <v>289.56516326172863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21.968</v>
      </c>
      <c r="AI18" s="13">
        <f>IF('Données projet'!$A$62&gt;35,AI17+AH18-AQ17,IF(A18&lt;'Données projet'!$A$62,$AF$205^A18,IF(A18='Données projet'!$A$62,'Données projet'!$B$62,AI17+AH18-AQ17)))</f>
        <v>95.897999999999996</v>
      </c>
      <c r="AJ18" s="13">
        <f>AI18*VLOOKUP('Données projet'!$B$10,Paramètres!$A$1:$I$89,3,0)*VLOOKUP('Données projet'!$B$10,Paramètres!$A$1:$I$89,5,0)</f>
        <v>57.347004000000005</v>
      </c>
      <c r="AK18" s="13">
        <f t="shared" si="35"/>
        <v>16.49575316039088</v>
      </c>
      <c r="AL18" s="20">
        <f t="shared" si="4"/>
        <v>128.60946872101411</v>
      </c>
      <c r="AM18" s="59">
        <f t="shared" si="5"/>
        <v>403.60946872101408</v>
      </c>
      <c r="AN18" s="59">
        <f ca="1">AVERAGE(OFFSET($AM$3,0,0,'Données projet'!$E$10+1,1))-AVERAGE(OFFSET($H$3,0,0,'Données projet'!$E$10+1,1))</f>
        <v>287.52077437571728</v>
      </c>
      <c r="AO18" s="59">
        <f t="shared" si="36"/>
        <v>420.95891230839874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11.845354759812528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11.845354759812528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3.887142857142857</v>
      </c>
      <c r="BD18" s="12">
        <f>IF('Données projet'!$A$88&gt;35,BD17+BC18-BL17,IF(A18&lt;'Données projet'!$A$88,$BA$205^A18,IF(A18='Données projet'!$A$88,'Données projet'!$B$88,BD17+BC18-BL17)))</f>
        <v>58.307142857142836</v>
      </c>
      <c r="BE18" s="13">
        <f>BD18*VLOOKUP('Données projet'!$B$11,Paramètres!$A$1:$I$89,3,0)*VLOOKUP('Données projet'!$B$11,Paramètres!$A$1:$I$89,5,0)</f>
        <v>52.756302857142842</v>
      </c>
      <c r="BF18" s="13">
        <f t="shared" si="37"/>
        <v>15.323348643415981</v>
      </c>
      <c r="BG18" s="20">
        <f t="shared" si="7"/>
        <v>118.57205969680662</v>
      </c>
      <c r="BH18" s="59">
        <f t="shared" si="8"/>
        <v>393.5720596968066</v>
      </c>
      <c r="BI18" s="59">
        <f ca="1">AVERAGE(OFFSET($BH$3,0,0,'Données projet'!$E$11+1,1))-AVERAGE(OFFSET($H$3,0,0,'Données projet'!$E$11+1,1))</f>
        <v>581.88778927327667</v>
      </c>
      <c r="BJ18" s="59">
        <f t="shared" si="38"/>
        <v>269.67340993773422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5.044827586206897</v>
      </c>
      <c r="N19" s="13">
        <f>IF('Données projet'!$A$36&gt;35,N18+M19-V18,IF(A19&lt;'Données projet'!$A$36,$K$205^A19,IF(A19='Données projet'!$A$36,'Données projet'!$B$36,N18+M19-V18)))</f>
        <v>15.653719926708424</v>
      </c>
      <c r="O19" s="13">
        <f>N19*VLOOKUP('Données projet'!$B$9,Paramètres!$A$1:$I$89,3,0)*VLOOKUP('Données projet'!$B$9,Paramètres!$A$1:$I$89,5,0)</f>
        <v>13.67508972797248</v>
      </c>
      <c r="P19" s="13">
        <f t="shared" si="33"/>
        <v>4.6479342512647479</v>
      </c>
      <c r="Q19" s="20">
        <f t="shared" si="2"/>
        <v>31.912600097171502</v>
      </c>
      <c r="R19" s="59">
        <f t="shared" si="0"/>
        <v>308.13482231939372</v>
      </c>
      <c r="S19" s="59">
        <f ca="1">AVERAGE(OFFSET($R$3,0,0,'Données projet'!$E$9+1,1))-AVERAGE(OFFSET($H$3,0,0,'Données projet'!$E$9+1,1))</f>
        <v>413.25558401068383</v>
      </c>
      <c r="T19" s="59">
        <f t="shared" si="34"/>
        <v>289.56516326172863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21.968</v>
      </c>
      <c r="AI19" s="13">
        <f>IF('Données projet'!$A$62&gt;35,AI18+AH19-AQ18,IF(A19&lt;'Données projet'!$A$62,$AF$205^A19,IF(A19='Données projet'!$A$62,'Données projet'!$B$62,AI18+AH19-AQ18)))</f>
        <v>117.866</v>
      </c>
      <c r="AJ19" s="13">
        <f>AI19*VLOOKUP('Données projet'!$B$10,Paramètres!$A$1:$I$89,3,0)*VLOOKUP('Données projet'!$B$10,Paramètres!$A$1:$I$89,5,0)</f>
        <v>70.483868000000001</v>
      </c>
      <c r="AK19" s="13">
        <f t="shared" si="35"/>
        <v>19.793570832162988</v>
      </c>
      <c r="AL19" s="20">
        <f t="shared" si="4"/>
        <v>157.23320596601718</v>
      </c>
      <c r="AM19" s="59">
        <f t="shared" si="5"/>
        <v>433.45542818823941</v>
      </c>
      <c r="AN19" s="59">
        <f ca="1">AVERAGE(OFFSET($AM$3,0,0,'Données projet'!$E$10+1,1))-AVERAGE(OFFSET($H$3,0,0,'Données projet'!$E$10+1,1))</f>
        <v>287.52077437571728</v>
      </c>
      <c r="AO19" s="59">
        <f t="shared" si="36"/>
        <v>420.95891230839874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11.521442910985321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11.521442910985321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3.887142857142857</v>
      </c>
      <c r="BD19" s="12">
        <f>IF('Données projet'!$A$88&gt;35,BD18+BC19-BL18,IF(A19&lt;'Données projet'!$A$88,$BA$205^A19,IF(A19='Données projet'!$A$88,'Données projet'!$B$88,BD18+BC19-BL18)))</f>
        <v>62.194285714285691</v>
      </c>
      <c r="BE19" s="13">
        <f>BD19*VLOOKUP('Données projet'!$B$11,Paramètres!$A$1:$I$89,3,0)*VLOOKUP('Données projet'!$B$11,Paramètres!$A$1:$I$89,5,0)</f>
        <v>56.273389714285692</v>
      </c>
      <c r="BF19" s="13">
        <f t="shared" si="37"/>
        <v>16.222577706752112</v>
      </c>
      <c r="BG19" s="20">
        <f t="shared" si="7"/>
        <v>126.26380992497417</v>
      </c>
      <c r="BH19" s="59">
        <f t="shared" si="8"/>
        <v>402.4860321471964</v>
      </c>
      <c r="BI19" s="59">
        <f ca="1">AVERAGE(OFFSET($BH$3,0,0,'Données projet'!$E$11+1,1))-AVERAGE(OFFSET($H$3,0,0,'Données projet'!$E$11+1,1))</f>
        <v>581.88778927327667</v>
      </c>
      <c r="BJ19" s="59">
        <f t="shared" si="38"/>
        <v>269.67340993773422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5.044827586206897</v>
      </c>
      <c r="N20" s="13">
        <f>IF('Données projet'!$A$36&gt;35,N19+M20-V19,IF(A20&lt;'Données projet'!$A$36,$K$205^A20,IF(A20='Données projet'!$A$36,'Données projet'!$B$36,N19+M20-V19)))</f>
        <v>18.590075633361216</v>
      </c>
      <c r="O20" s="13">
        <f>N20*VLOOKUP('Données projet'!$B$9,Paramètres!$A$1:$I$89,3,0)*VLOOKUP('Données projet'!$B$9,Paramètres!$A$1:$I$89,5,0)</f>
        <v>16.240290073304358</v>
      </c>
      <c r="P20" s="13">
        <f t="shared" si="33"/>
        <v>5.4104418123324631</v>
      </c>
      <c r="Q20" s="20">
        <f t="shared" si="2"/>
        <v>37.708358034150798</v>
      </c>
      <c r="R20" s="59">
        <f t="shared" si="0"/>
        <v>315.15280247859528</v>
      </c>
      <c r="S20" s="59">
        <f ca="1">AVERAGE(OFFSET($R$3,0,0,'Données projet'!$E$9+1,1))-AVERAGE(OFFSET($H$3,0,0,'Données projet'!$E$9+1,1))</f>
        <v>413.25558401068383</v>
      </c>
      <c r="T20" s="59">
        <f t="shared" si="34"/>
        <v>289.56516326172863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21.968</v>
      </c>
      <c r="AI20" s="13">
        <f>IF('Données projet'!$A$62&gt;35,AI19+AH20-AQ19,IF(A20&lt;'Données projet'!$A$62,$AF$205^A20,IF(A20='Données projet'!$A$62,'Données projet'!$B$62,AI19+AH20-AQ19)))</f>
        <v>139.834</v>
      </c>
      <c r="AJ20" s="13">
        <f>AI20*VLOOKUP('Données projet'!$B$10,Paramètres!$A$1:$I$89,3,0)*VLOOKUP('Données projet'!$B$10,Paramètres!$A$1:$I$89,5,0)</f>
        <v>83.620732000000004</v>
      </c>
      <c r="AK20" s="13">
        <f t="shared" si="35"/>
        <v>23.020178365106418</v>
      </c>
      <c r="AL20" s="20">
        <f t="shared" si="4"/>
        <v>185.73291888589367</v>
      </c>
      <c r="AM20" s="59">
        <f t="shared" si="5"/>
        <v>463.17736333033815</v>
      </c>
      <c r="AN20" s="59">
        <f ca="1">AVERAGE(OFFSET($AM$3,0,0,'Données projet'!$E$10+1,1))-AVERAGE(OFFSET($H$3,0,0,'Données projet'!$E$10+1,1))</f>
        <v>287.52077437571728</v>
      </c>
      <c r="AO20" s="59">
        <f t="shared" si="36"/>
        <v>420.95891230839874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11.206388448698078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11.206388448698078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3.887142857142857</v>
      </c>
      <c r="BD20" s="12">
        <f>IF('Données projet'!$A$88&gt;35,BD19+BC20-BL19,IF(A20&lt;'Données projet'!$A$88,$BA$205^A20,IF(A20='Données projet'!$A$88,'Données projet'!$B$88,BD19+BC20-BL19)))</f>
        <v>66.081428571428546</v>
      </c>
      <c r="BE20" s="13">
        <f>BD20*VLOOKUP('Données projet'!$B$11,Paramètres!$A$1:$I$89,3,0)*VLOOKUP('Données projet'!$B$11,Paramètres!$A$1:$I$89,5,0)</f>
        <v>59.790476571428549</v>
      </c>
      <c r="BF20" s="13">
        <f t="shared" si="37"/>
        <v>17.115284135607041</v>
      </c>
      <c r="BG20" s="20">
        <f t="shared" si="7"/>
        <v>133.94419989808699</v>
      </c>
      <c r="BH20" s="59">
        <f t="shared" si="8"/>
        <v>411.38864434253145</v>
      </c>
      <c r="BI20" s="59">
        <f ca="1">AVERAGE(OFFSET($BH$3,0,0,'Données projet'!$E$11+1,1))-AVERAGE(OFFSET($H$3,0,0,'Données projet'!$E$11+1,1))</f>
        <v>581.88778927327667</v>
      </c>
      <c r="BJ20" s="59">
        <f t="shared" si="38"/>
        <v>269.67340993773422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5.044827586206897</v>
      </c>
      <c r="N21" s="13">
        <f>IF('Données projet'!$A$36&gt;35,N20+M21-V20,IF(A21&lt;'Données projet'!$A$36,$K$205^A21,IF(A21='Données projet'!$A$36,'Données projet'!$B$36,N20+M21-V20)))</f>
        <v>22.077238744028008</v>
      </c>
      <c r="O21" s="13">
        <f>N21*VLOOKUP('Données projet'!$B$9,Paramètres!$A$1:$I$89,3,0)*VLOOKUP('Données projet'!$B$9,Paramètres!$A$1:$I$89,5,0)</f>
        <v>19.286675766782871</v>
      </c>
      <c r="P21" s="13">
        <f t="shared" si="33"/>
        <v>6.2980410268647766</v>
      </c>
      <c r="Q21" s="20">
        <f t="shared" si="2"/>
        <v>44.560048415602985</v>
      </c>
      <c r="R21" s="59">
        <f t="shared" si="0"/>
        <v>323.22671508226966</v>
      </c>
      <c r="S21" s="59">
        <f ca="1">AVERAGE(OFFSET($R$3,0,0,'Données projet'!$E$9+1,1))-AVERAGE(OFFSET($H$3,0,0,'Données projet'!$E$9+1,1))</f>
        <v>413.25558401068383</v>
      </c>
      <c r="T21" s="59">
        <f t="shared" si="34"/>
        <v>289.56516326172863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21.968</v>
      </c>
      <c r="AI21" s="13">
        <f>IF('Données projet'!$A$62&gt;35,AI20+AH21-AQ20,IF(A21&lt;'Données projet'!$A$62,$AF$205^A21,IF(A21='Données projet'!$A$62,'Données projet'!$B$62,AI20+AH21-AQ20)))</f>
        <v>161.80199999999999</v>
      </c>
      <c r="AJ21" s="13">
        <f>AI21*VLOOKUP('Données projet'!$B$10,Paramètres!$A$1:$I$89,3,0)*VLOOKUP('Données projet'!$B$10,Paramètres!$A$1:$I$89,5,0)</f>
        <v>96.757596000000007</v>
      </c>
      <c r="AK21" s="13">
        <f t="shared" si="35"/>
        <v>26.188063921005639</v>
      </c>
      <c r="AL21" s="20">
        <f t="shared" si="4"/>
        <v>214.13035769575148</v>
      </c>
      <c r="AM21" s="59">
        <f t="shared" si="5"/>
        <v>492.79702436241814</v>
      </c>
      <c r="AN21" s="59">
        <f ca="1">AVERAGE(OFFSET($AM$3,0,0,'Données projet'!$E$10+1,1))-AVERAGE(OFFSET($H$3,0,0,'Données projet'!$E$10+1,1))</f>
        <v>287.52077437571728</v>
      </c>
      <c r="AO21" s="59">
        <f t="shared" si="36"/>
        <v>420.95891230839874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10.899949167250073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10.899949167250073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3.887142857142857</v>
      </c>
      <c r="BD21" s="12">
        <f>IF('Données projet'!$A$88&gt;35,BD20+BC21-BL20,IF(A21&lt;'Données projet'!$A$88,$BA$205^A21,IF(A21='Données projet'!$A$88,'Données projet'!$B$88,BD20+BC21-BL20)))</f>
        <v>69.968571428571408</v>
      </c>
      <c r="BE21" s="13">
        <f>BD21*VLOOKUP('Données projet'!$B$11,Paramètres!$A$1:$I$89,3,0)*VLOOKUP('Données projet'!$B$11,Paramètres!$A$1:$I$89,5,0)</f>
        <v>63.307563428571406</v>
      </c>
      <c r="BF21" s="13">
        <f t="shared" si="37"/>
        <v>18.001895319269028</v>
      </c>
      <c r="BG21" s="20">
        <f t="shared" si="7"/>
        <v>141.61397398582207</v>
      </c>
      <c r="BH21" s="59">
        <f t="shared" si="8"/>
        <v>420.28064065248873</v>
      </c>
      <c r="BI21" s="59">
        <f ca="1">AVERAGE(OFFSET($BH$3,0,0,'Données projet'!$E$11+1,1))-AVERAGE(OFFSET($H$3,0,0,'Données projet'!$E$11+1,1))</f>
        <v>581.88778927327667</v>
      </c>
      <c r="BJ21" s="59">
        <f t="shared" si="38"/>
        <v>269.67340993773422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5.044827586206897</v>
      </c>
      <c r="N22" s="13">
        <f>IF('Données projet'!$A$36&gt;35,N21+M22-V21,IF(A22&lt;'Données projet'!$A$36,$K$205^A22,IF(A22='Données projet'!$A$36,'Données projet'!$B$36,N21+M22-V21)))</f>
        <v>26.218530799634255</v>
      </c>
      <c r="O22" s="13">
        <f>N22*VLOOKUP('Données projet'!$B$9,Paramètres!$A$1:$I$89,3,0)*VLOOKUP('Données projet'!$B$9,Paramètres!$A$1:$I$89,5,0)</f>
        <v>22.904508506560489</v>
      </c>
      <c r="P22" s="13">
        <f t="shared" si="33"/>
        <v>7.3312535559775398</v>
      </c>
      <c r="Q22" s="20">
        <f t="shared" si="2"/>
        <v>52.660618925587066</v>
      </c>
      <c r="R22" s="59">
        <f t="shared" si="0"/>
        <v>332.54950781447593</v>
      </c>
      <c r="S22" s="59">
        <f ca="1">AVERAGE(OFFSET($R$3,0,0,'Données projet'!$E$9+1,1))-AVERAGE(OFFSET($H$3,0,0,'Données projet'!$E$9+1,1))</f>
        <v>413.25558401068383</v>
      </c>
      <c r="T22" s="59">
        <f t="shared" si="34"/>
        <v>289.56516326172863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183.77</v>
      </c>
      <c r="AG22" s="12">
        <f>VLOOKUP(A22,'Données projet'!$A$61:$I$81,9,0)</f>
        <v>21.968</v>
      </c>
      <c r="AH22" s="12">
        <f t="array" ref="AH22">INDEX(AG:AG,MIN(IF(ISNUMBER(AG22:AG218),ROW(AG22:AG218),"")))</f>
        <v>21.968</v>
      </c>
      <c r="AI22" s="13">
        <f>IF('Données projet'!$A$62&gt;35,AI21+AH22-AQ21,IF(A22&lt;'Données projet'!$A$62,$AF$205^A22,IF(A22='Données projet'!$A$62,'Données projet'!$B$62,AI21+AH22-AQ21)))</f>
        <v>183.76999999999998</v>
      </c>
      <c r="AJ22" s="13">
        <f>AI22*VLOOKUP('Données projet'!$B$10,Paramètres!$A$1:$I$89,3,0)*VLOOKUP('Données projet'!$B$10,Paramètres!$A$1:$I$89,5,0)</f>
        <v>109.89446</v>
      </c>
      <c r="AK22" s="13">
        <f t="shared" si="35"/>
        <v>29.30611713635502</v>
      </c>
      <c r="AL22" s="20">
        <f t="shared" si="4"/>
        <v>242.44100517915163</v>
      </c>
      <c r="AM22" s="59">
        <f t="shared" si="5"/>
        <v>522.32989406804052</v>
      </c>
      <c r="AN22" s="59">
        <f ca="1">AVERAGE(OFFSET($AM$3,0,0,'Données projet'!$E$10+1,1))-AVERAGE(OFFSET($H$3,0,0,'Données projet'!$E$10+1,1))</f>
        <v>287.52077437571728</v>
      </c>
      <c r="AO22" s="59">
        <f t="shared" si="36"/>
        <v>420.95891230839874</v>
      </c>
      <c r="AP22" s="15">
        <f>IF(ISNA(VLOOKUP(A22,'Données projet'!$A$61:$I$81,3,0)),0,VLOOKUP(A22,'Données projet'!$A$61:$I$81,3,0))</f>
        <v>2</v>
      </c>
      <c r="AQ22" s="15">
        <f>IF(ISNA(VLOOKUP(A22,'Données projet'!$A$61:$I$81,4,0)),0,VLOOKUP(A22,'Données projet'!$A$61:$I$81,4,0))</f>
        <v>59.5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0.45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31.75847909304531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31.75847909304531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3.887142857142857</v>
      </c>
      <c r="BD22" s="12">
        <f>IF('Données projet'!$A$88&gt;35,BD21+BC22-BL21,IF(A22&lt;'Données projet'!$A$88,$BA$205^A22,IF(A22='Données projet'!$A$88,'Données projet'!$B$88,BD21+BC22-BL21)))</f>
        <v>73.855714285714271</v>
      </c>
      <c r="BE22" s="13">
        <f>BD22*VLOOKUP('Données projet'!$B$11,Paramètres!$A$1:$I$89,3,0)*VLOOKUP('Données projet'!$B$11,Paramètres!$A$1:$I$89,5,0)</f>
        <v>66.82465028571427</v>
      </c>
      <c r="BF22" s="13">
        <f t="shared" si="37"/>
        <v>18.882788477272459</v>
      </c>
      <c r="BG22" s="20">
        <f t="shared" si="7"/>
        <v>149.27378917886855</v>
      </c>
      <c r="BH22" s="59">
        <f t="shared" si="8"/>
        <v>429.16267806775738</v>
      </c>
      <c r="BI22" s="59">
        <f ca="1">AVERAGE(OFFSET($BH$3,0,0,'Données projet'!$E$11+1,1))-AVERAGE(OFFSET($H$3,0,0,'Données projet'!$E$11+1,1))</f>
        <v>581.88778927327667</v>
      </c>
      <c r="BJ22" s="59">
        <f t="shared" si="38"/>
        <v>269.67340993773422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5.044827586206897</v>
      </c>
      <c r="N23" s="13">
        <f>IF('Données projet'!$A$36&gt;35,N22+M23-V22,IF(A23&lt;'Données projet'!$A$36,$K$205^A23,IF(A23='Données projet'!$A$36,'Données projet'!$B$36,N22+M23-V22)))</f>
        <v>31.136654599856513</v>
      </c>
      <c r="O23" s="13">
        <f>N23*VLOOKUP('Données projet'!$B$9,Paramètres!$A$1:$I$89,3,0)*VLOOKUP('Données projet'!$B$9,Paramètres!$A$1:$I$89,5,0)</f>
        <v>27.200981458434654</v>
      </c>
      <c r="P23" s="13">
        <f t="shared" si="33"/>
        <v>8.5339677008724042</v>
      </c>
      <c r="Q23" s="20">
        <f t="shared" si="2"/>
        <v>62.238369785793118</v>
      </c>
      <c r="R23" s="59">
        <f t="shared" si="0"/>
        <v>343.34948089690425</v>
      </c>
      <c r="S23" s="59">
        <f ca="1">AVERAGE(OFFSET($R$3,0,0,'Données projet'!$E$9+1,1))-AVERAGE(OFFSET($H$3,0,0,'Données projet'!$E$9+1,1))</f>
        <v>413.25558401068383</v>
      </c>
      <c r="T23" s="59">
        <f t="shared" si="34"/>
        <v>289.56516326172863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21.403333333333332</v>
      </c>
      <c r="AI23" s="13">
        <f>IF('Données projet'!$A$62&gt;35,AI22+AH23-AQ22,IF(A23&lt;'Données projet'!$A$62,$AF$205^A23,IF(A23='Données projet'!$A$62,'Données projet'!$B$62,AI22+AH23-AQ22)))</f>
        <v>145.67333333333332</v>
      </c>
      <c r="AJ23" s="13">
        <f>AI23*VLOOKUP('Données projet'!$B$10,Paramètres!$A$1:$I$89,3,0)*VLOOKUP('Données projet'!$B$10,Paramètres!$A$1:$I$89,5,0)</f>
        <v>87.112653333333327</v>
      </c>
      <c r="AK23" s="13">
        <f t="shared" si="35"/>
        <v>23.867550507152405</v>
      </c>
      <c r="AL23" s="20">
        <f t="shared" si="4"/>
        <v>193.29052168884596</v>
      </c>
      <c r="AM23" s="59">
        <f t="shared" si="5"/>
        <v>474.4016327999571</v>
      </c>
      <c r="AN23" s="59">
        <f ca="1">AVERAGE(OFFSET($AM$3,0,0,'Données projet'!$E$10+1,1))-AVERAGE(OFFSET($H$3,0,0,'Données projet'!$E$10+1,1))</f>
        <v>287.52077437571728</v>
      </c>
      <c r="AO23" s="59">
        <f t="shared" si="36"/>
        <v>420.95891230839874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30.890041812140154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30.890041812140154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3.887142857142857</v>
      </c>
      <c r="BD23" s="12">
        <f>IF('Données projet'!$A$88&gt;35,BD22+BC23-BL22,IF(A23&lt;'Données projet'!$A$88,$BA$205^A23,IF(A23='Données projet'!$A$88,'Données projet'!$B$88,BD22+BC23-BL22)))</f>
        <v>77.742857142857133</v>
      </c>
      <c r="BE23" s="13">
        <f>BD23*VLOOKUP('Données projet'!$B$11,Paramètres!$A$1:$I$89,3,0)*VLOOKUP('Données projet'!$B$11,Paramètres!$A$1:$I$89,5,0)</f>
        <v>70.341737142857127</v>
      </c>
      <c r="BF23" s="13">
        <f t="shared" si="37"/>
        <v>19.758298879173367</v>
      </c>
      <c r="BG23" s="20">
        <f t="shared" si="7"/>
        <v>156.92422940503644</v>
      </c>
      <c r="BH23" s="59">
        <f t="shared" si="8"/>
        <v>438.03534051614758</v>
      </c>
      <c r="BI23" s="59">
        <f ca="1">AVERAGE(OFFSET($BH$3,0,0,'Données projet'!$E$11+1,1))-AVERAGE(OFFSET($H$3,0,0,'Données projet'!$E$11+1,1))</f>
        <v>581.88778927327667</v>
      </c>
      <c r="BJ23" s="59">
        <f t="shared" si="38"/>
        <v>269.67340993773422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5.044827586206897</v>
      </c>
      <c r="N24" s="13">
        <f>IF('Données projet'!$A$36&gt;35,N23+M24-V23,IF(A24&lt;'Données projet'!$A$36,$K$205^A24,IF(A24='Données projet'!$A$36,'Données projet'!$B$36,N23+M24-V23)))</f>
        <v>36.977329777925235</v>
      </c>
      <c r="O24" s="13">
        <f>N24*VLOOKUP('Données projet'!$B$9,Paramètres!$A$1:$I$89,3,0)*VLOOKUP('Données projet'!$B$9,Paramètres!$A$1:$I$89,5,0)</f>
        <v>32.303395293995493</v>
      </c>
      <c r="P24" s="13">
        <f t="shared" si="33"/>
        <v>9.933990710245272</v>
      </c>
      <c r="Q24" s="20">
        <f t="shared" si="2"/>
        <v>73.56344729071931</v>
      </c>
      <c r="R24" s="59">
        <f t="shared" si="0"/>
        <v>355.89678062405261</v>
      </c>
      <c r="S24" s="59">
        <f ca="1">AVERAGE(OFFSET($R$3,0,0,'Données projet'!$E$9+1,1))-AVERAGE(OFFSET($H$3,0,0,'Données projet'!$E$9+1,1))</f>
        <v>413.25558401068383</v>
      </c>
      <c r="T24" s="59">
        <f t="shared" si="34"/>
        <v>289.56516326172863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21.403333333333332</v>
      </c>
      <c r="AI24" s="13">
        <f>IF('Données projet'!$A$62&gt;35,AI23+AH24-AQ23,IF(A24&lt;'Données projet'!$A$62,$AF$205^A24,IF(A24='Données projet'!$A$62,'Données projet'!$B$62,AI23+AH24-AQ23)))</f>
        <v>167.07666666666665</v>
      </c>
      <c r="AJ24" s="13">
        <f>AI24*VLOOKUP('Données projet'!$B$10,Paramètres!$A$1:$I$89,3,0)*VLOOKUP('Données projet'!$B$10,Paramètres!$A$1:$I$89,5,0)</f>
        <v>99.911846666666662</v>
      </c>
      <c r="AK24" s="13">
        <f t="shared" si="35"/>
        <v>26.940995154457852</v>
      </c>
      <c r="AL24" s="20">
        <f t="shared" si="4"/>
        <v>220.93536617179186</v>
      </c>
      <c r="AM24" s="59">
        <f t="shared" si="5"/>
        <v>503.26869950512514</v>
      </c>
      <c r="AN24" s="59">
        <f ca="1">AVERAGE(OFFSET($AM$3,0,0,'Données projet'!$E$10+1,1))-AVERAGE(OFFSET($H$3,0,0,'Données projet'!$E$10+1,1))</f>
        <v>287.52077437571728</v>
      </c>
      <c r="AO24" s="59">
        <f t="shared" si="36"/>
        <v>420.95891230839874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30.045351994350483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30.045351994350483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3.887142857142857</v>
      </c>
      <c r="BD24" s="12">
        <f>IF('Données projet'!$A$88&gt;35,BD23+BC24-BL23,IF(A24&lt;'Données projet'!$A$88,$BA$205^A24,IF(A24='Données projet'!$A$88,'Données projet'!$B$88,BD23+BC24-BL23)))</f>
        <v>81.63</v>
      </c>
      <c r="BE24" s="13">
        <f>BD24*VLOOKUP('Données projet'!$B$11,Paramètres!$A$1:$I$89,3,0)*VLOOKUP('Données projet'!$B$11,Paramètres!$A$1:$I$89,5,0)</f>
        <v>73.858823999999984</v>
      </c>
      <c r="BF24" s="13">
        <f t="shared" si="37"/>
        <v>20.628726373651425</v>
      </c>
      <c r="BG24" s="20">
        <f t="shared" si="7"/>
        <v>164.56581690077618</v>
      </c>
      <c r="BH24" s="59">
        <f t="shared" si="8"/>
        <v>446.89915023410947</v>
      </c>
      <c r="BI24" s="59">
        <f ca="1">AVERAGE(OFFSET($BH$3,0,0,'Données projet'!$E$11+1,1))-AVERAGE(OFFSET($H$3,0,0,'Données projet'!$E$11+1,1))</f>
        <v>581.88778927327667</v>
      </c>
      <c r="BJ24" s="59">
        <f t="shared" si="38"/>
        <v>269.67340993773422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5.044827586206897</v>
      </c>
      <c r="N25" s="13">
        <f>IF('Données projet'!$A$36&gt;35,N24+M25-V24,IF(A25&lt;'Données projet'!$A$36,$K$205^A25,IF(A25='Données projet'!$A$36,'Données projet'!$B$36,N24+M25-V24)))</f>
        <v>43.91361034373093</v>
      </c>
      <c r="O25" s="13">
        <f>N25*VLOOKUP('Données projet'!$B$9,Paramètres!$A$1:$I$89,3,0)*VLOOKUP('Données projet'!$B$9,Paramètres!$A$1:$I$89,5,0)</f>
        <v>38.362929996283349</v>
      </c>
      <c r="P25" s="13">
        <f t="shared" si="33"/>
        <v>11.563691695382335</v>
      </c>
      <c r="Q25" s="20">
        <f t="shared" si="2"/>
        <v>86.955532779651051</v>
      </c>
      <c r="R25" s="59">
        <f t="shared" si="0"/>
        <v>370.51108833520658</v>
      </c>
      <c r="S25" s="59">
        <f ca="1">AVERAGE(OFFSET($R$3,0,0,'Données projet'!$E$9+1,1))-AVERAGE(OFFSET($H$3,0,0,'Données projet'!$E$9+1,1))</f>
        <v>413.25558401068383</v>
      </c>
      <c r="T25" s="59">
        <f t="shared" si="34"/>
        <v>289.56516326172863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21.403333333333332</v>
      </c>
      <c r="AI25" s="13">
        <f>IF('Données projet'!$A$62&gt;35,AI24+AH25-AQ24,IF(A25&lt;'Données projet'!$A$62,$AF$205^A25,IF(A25='Données projet'!$A$62,'Données projet'!$B$62,AI24+AH25-AQ24)))</f>
        <v>188.48</v>
      </c>
      <c r="AJ25" s="13">
        <f>AI25*VLOOKUP('Données projet'!$B$10,Paramètres!$A$1:$I$89,3,0)*VLOOKUP('Données projet'!$B$10,Paramètres!$A$1:$I$89,5,0)</f>
        <v>112.71104000000001</v>
      </c>
      <c r="AK25" s="13">
        <f t="shared" si="35"/>
        <v>29.968818833735142</v>
      </c>
      <c r="AL25" s="20">
        <f t="shared" si="4"/>
        <v>248.50075413542206</v>
      </c>
      <c r="AM25" s="59">
        <f t="shared" si="5"/>
        <v>532.05630969097763</v>
      </c>
      <c r="AN25" s="59">
        <f ca="1">AVERAGE(OFFSET($AM$3,0,0,'Données projet'!$E$10+1,1))-AVERAGE(OFFSET($H$3,0,0,'Données projet'!$E$10+1,1))</f>
        <v>287.52077437571728</v>
      </c>
      <c r="AO25" s="59">
        <f t="shared" si="36"/>
        <v>420.95891230839874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29.223760264048579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29.223760264048579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3.887142857142857</v>
      </c>
      <c r="BD25" s="12">
        <f>IF('Données projet'!$A$88&gt;35,BD24+BC25-BL24,IF(A25&lt;'Données projet'!$A$88,$BA$205^A25,IF(A25='Données projet'!$A$88,'Données projet'!$B$88,BD24+BC25-BL24)))</f>
        <v>85.517142857142858</v>
      </c>
      <c r="BE25" s="13">
        <f>BD25*VLOOKUP('Données projet'!$B$11,Paramètres!$A$1:$I$89,3,0)*VLOOKUP('Données projet'!$B$11,Paramètres!$A$1:$I$89,5,0)</f>
        <v>77.375910857142856</v>
      </c>
      <c r="BF25" s="13">
        <f t="shared" si="37"/>
        <v>21.49434063873689</v>
      </c>
      <c r="BG25" s="20">
        <f t="shared" si="7"/>
        <v>172.19902135532388</v>
      </c>
      <c r="BH25" s="59">
        <f t="shared" si="8"/>
        <v>455.75457691087945</v>
      </c>
      <c r="BI25" s="59">
        <f ca="1">AVERAGE(OFFSET($BH$3,0,0,'Données projet'!$E$11+1,1))-AVERAGE(OFFSET($H$3,0,0,'Données projet'!$E$11+1,1))</f>
        <v>581.88778927327667</v>
      </c>
      <c r="BJ25" s="59">
        <f t="shared" si="38"/>
        <v>269.67340993773422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5.044827586206897</v>
      </c>
      <c r="N26" s="13">
        <f>IF('Données projet'!$A$36&gt;35,N25+M26-V25,IF(A26&lt;'Données projet'!$A$36,$K$205^A26,IF(A26='Données projet'!$A$36,'Données projet'!$B$36,N25+M26-V25)))</f>
        <v>52.151012120195169</v>
      </c>
      <c r="O26" s="13">
        <f>N26*VLOOKUP('Données projet'!$B$9,Paramètres!$A$1:$I$89,3,0)*VLOOKUP('Données projet'!$B$9,Paramètres!$A$1:$I$89,5,0)</f>
        <v>45.559124188202503</v>
      </c>
      <c r="P26" s="13">
        <f t="shared" si="33"/>
        <v>13.460750017406944</v>
      </c>
      <c r="Q26" s="20">
        <f t="shared" si="2"/>
        <v>102.79294757476977</v>
      </c>
      <c r="R26" s="59">
        <f t="shared" si="0"/>
        <v>387.57072535254753</v>
      </c>
      <c r="S26" s="59">
        <f ca="1">AVERAGE(OFFSET($R$3,0,0,'Données projet'!$E$9+1,1))-AVERAGE(OFFSET($H$3,0,0,'Données projet'!$E$9+1,1))</f>
        <v>413.25558401068383</v>
      </c>
      <c r="T26" s="59">
        <f t="shared" si="34"/>
        <v>289.56516326172863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21.403333333333332</v>
      </c>
      <c r="AI26" s="13">
        <f>IF('Données projet'!$A$62&gt;35,AI25+AH26-AQ25,IF(A26&lt;'Données projet'!$A$62,$AF$205^A26,IF(A26='Données projet'!$A$62,'Données projet'!$B$62,AI25+AH26-AQ25)))</f>
        <v>209.88333333333333</v>
      </c>
      <c r="AJ26" s="13">
        <f>AI26*VLOOKUP('Données projet'!$B$10,Paramètres!$A$1:$I$89,3,0)*VLOOKUP('Données projet'!$B$10,Paramètres!$A$1:$I$89,5,0)</f>
        <v>125.51023333333335</v>
      </c>
      <c r="AK26" s="13">
        <f t="shared" si="35"/>
        <v>32.956793460624539</v>
      </c>
      <c r="AL26" s="20">
        <f t="shared" si="4"/>
        <v>275.99673833280997</v>
      </c>
      <c r="AM26" s="59">
        <f t="shared" si="5"/>
        <v>560.77451611058768</v>
      </c>
      <c r="AN26" s="59">
        <f ca="1">AVERAGE(OFFSET($AM$3,0,0,'Données projet'!$E$10+1,1))-AVERAGE(OFFSET($H$3,0,0,'Données projet'!$E$10+1,1))</f>
        <v>287.52077437571728</v>
      </c>
      <c r="AO26" s="59">
        <f t="shared" si="36"/>
        <v>420.95891230839874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28.424635002817411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28.424635002817411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3.887142857142857</v>
      </c>
      <c r="BD26" s="12">
        <f>IF('Données projet'!$A$88&gt;35,BD25+BC26-BL25,IF(A26&lt;'Données projet'!$A$88,$BA$205^A26,IF(A26='Données projet'!$A$88,'Données projet'!$B$88,BD25+BC26-BL25)))</f>
        <v>89.40428571428572</v>
      </c>
      <c r="BE26" s="13">
        <f>BD26*VLOOKUP('Données projet'!$B$11,Paramètres!$A$1:$I$89,3,0)*VLOOKUP('Données projet'!$B$11,Paramètres!$A$1:$I$89,5,0)</f>
        <v>80.892997714285713</v>
      </c>
      <c r="BF26" s="13">
        <f t="shared" si="37"/>
        <v>22.355385450466887</v>
      </c>
      <c r="BG26" s="20">
        <f t="shared" si="7"/>
        <v>179.82426734527743</v>
      </c>
      <c r="BH26" s="59">
        <f t="shared" si="8"/>
        <v>464.60204512305518</v>
      </c>
      <c r="BI26" s="59">
        <f ca="1">AVERAGE(OFFSET($BH$3,0,0,'Données projet'!$E$11+1,1))-AVERAGE(OFFSET($H$3,0,0,'Données projet'!$E$11+1,1))</f>
        <v>581.88778927327667</v>
      </c>
      <c r="BJ26" s="59">
        <f t="shared" si="38"/>
        <v>269.67340993773422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5.044827586206897</v>
      </c>
      <c r="N27" s="13">
        <f>IF('Données projet'!$A$36&gt;35,N26+M27-V26,IF(A27&lt;'Données projet'!$A$36,$K$205^A27,IF(A27='Données projet'!$A$36,'Données projet'!$B$36,N26+M27-V26)))</f>
        <v>61.933601994284871</v>
      </c>
      <c r="O27" s="13">
        <f>N27*VLOOKUP('Données projet'!$B$9,Paramètres!$A$1:$I$89,3,0)*VLOOKUP('Données projet'!$B$9,Paramètres!$A$1:$I$89,5,0)</f>
        <v>54.105194702207271</v>
      </c>
      <c r="P27" s="13">
        <f t="shared" si="33"/>
        <v>15.669026449699897</v>
      </c>
      <c r="Q27" s="20">
        <f t="shared" si="2"/>
        <v>121.52343517290497</v>
      </c>
      <c r="R27" s="59">
        <f t="shared" si="0"/>
        <v>407.52343517290495</v>
      </c>
      <c r="S27" s="59">
        <f ca="1">AVERAGE(OFFSET($R$3,0,0,'Données projet'!$E$9+1,1))-AVERAGE(OFFSET($H$3,0,0,'Données projet'!$E$9+1,1))</f>
        <v>413.25558401068383</v>
      </c>
      <c r="T27" s="59">
        <f t="shared" si="34"/>
        <v>289.56516326172863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21.403333333333332</v>
      </c>
      <c r="AI27" s="13">
        <f>IF('Données projet'!$A$62&gt;35,AI26+AH27-AQ26,IF(A27&lt;'Données projet'!$A$62,$AF$205^A27,IF(A27='Données projet'!$A$62,'Données projet'!$B$62,AI26+AH27-AQ26)))</f>
        <v>231.28666666666666</v>
      </c>
      <c r="AJ27" s="13">
        <f>AI27*VLOOKUP('Données projet'!$B$10,Paramètres!$A$1:$I$89,3,0)*VLOOKUP('Données projet'!$B$10,Paramètres!$A$1:$I$89,5,0)</f>
        <v>138.30942666666667</v>
      </c>
      <c r="AK27" s="13">
        <f t="shared" si="35"/>
        <v>35.909445469885178</v>
      </c>
      <c r="AL27" s="20">
        <f t="shared" si="4"/>
        <v>303.43120230449443</v>
      </c>
      <c r="AM27" s="59">
        <f t="shared" si="5"/>
        <v>589.43120230449449</v>
      </c>
      <c r="AN27" s="59">
        <f ca="1">AVERAGE(OFFSET($AM$3,0,0,'Données projet'!$E$10+1,1))-AVERAGE(OFFSET($H$3,0,0,'Données projet'!$E$10+1,1))</f>
        <v>287.52077437571728</v>
      </c>
      <c r="AO27" s="59">
        <f t="shared" si="36"/>
        <v>420.95891230839874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27.647361863878778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27.647361863878778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3.887142857142857</v>
      </c>
      <c r="BD27" s="12">
        <f>IF('Données projet'!$A$88&gt;35,BD26+BC27-BL26,IF(A27&lt;'Données projet'!$A$88,$BA$205^A27,IF(A27='Données projet'!$A$88,'Données projet'!$B$88,BD26+BC27-BL26)))</f>
        <v>93.291428571428582</v>
      </c>
      <c r="BE27" s="13">
        <f>BD27*VLOOKUP('Données projet'!$B$11,Paramètres!$A$1:$I$89,3,0)*VLOOKUP('Données projet'!$B$11,Paramètres!$A$1:$I$89,5,0)</f>
        <v>84.410084571428584</v>
      </c>
      <c r="BF27" s="13">
        <f t="shared" si="37"/>
        <v>23.212082188219242</v>
      </c>
      <c r="BG27" s="20">
        <f t="shared" si="7"/>
        <v>187.44194043971996</v>
      </c>
      <c r="BH27" s="59">
        <f t="shared" si="8"/>
        <v>473.44194043971993</v>
      </c>
      <c r="BI27" s="59">
        <f ca="1">AVERAGE(OFFSET($BH$3,0,0,'Données projet'!$E$11+1,1))-AVERAGE(OFFSET($H$3,0,0,'Données projet'!$E$11+1,1))</f>
        <v>581.88778927327667</v>
      </c>
      <c r="BJ27" s="59">
        <f t="shared" si="38"/>
        <v>269.67340993773422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5.044827586206897</v>
      </c>
      <c r="N28" s="13">
        <f>IF('Données projet'!$A$36&gt;35,N27+M28-V27,IF(A28&lt;'Données projet'!$A$36,$K$205^A28,IF(A28='Données projet'!$A$36,'Données projet'!$B$36,N27+M28-V27)))</f>
        <v>73.551229401760892</v>
      </c>
      <c r="O28" s="13">
        <f>N28*VLOOKUP('Données projet'!$B$9,Paramètres!$A$1:$I$89,3,0)*VLOOKUP('Données projet'!$B$9,Paramètres!$A$1:$I$89,5,0)</f>
        <v>64.254354005378318</v>
      </c>
      <c r="P28" s="13">
        <f t="shared" si="33"/>
        <v>18.239577257129046</v>
      </c>
      <c r="Q28" s="20">
        <f t="shared" si="2"/>
        <v>143.67693028220032</v>
      </c>
      <c r="R28" s="59">
        <f t="shared" si="0"/>
        <v>430.89915250442255</v>
      </c>
      <c r="S28" s="59">
        <f ca="1">AVERAGE(OFFSET($R$3,0,0,'Données projet'!$E$9+1,1))-AVERAGE(OFFSET($H$3,0,0,'Données projet'!$E$9+1,1))</f>
        <v>413.25558401068383</v>
      </c>
      <c r="T28" s="59">
        <f t="shared" si="34"/>
        <v>289.56516326172863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252.69</v>
      </c>
      <c r="AG28" s="12">
        <f>VLOOKUP(A28,'Données projet'!$A$61:$I$81,9,0)</f>
        <v>21.403333333333332</v>
      </c>
      <c r="AH28" s="12">
        <f t="array" ref="AH28">INDEX(AG:AG,MIN(IF(ISNUMBER(AG28:AG224),ROW(AG28:AG224),"")))</f>
        <v>21.403333333333332</v>
      </c>
      <c r="AI28" s="13">
        <f>IF('Données projet'!$A$62&gt;35,AI27+AH28-AQ27,IF(A28&lt;'Données projet'!$A$62,$AF$205^A28,IF(A28='Données projet'!$A$62,'Données projet'!$B$62,AI27+AH28-AQ27)))</f>
        <v>252.69</v>
      </c>
      <c r="AJ28" s="13">
        <f>AI28*VLOOKUP('Données projet'!$B$10,Paramètres!$A$1:$I$89,3,0)*VLOOKUP('Données projet'!$B$10,Paramètres!$A$1:$I$89,5,0)</f>
        <v>151.10862</v>
      </c>
      <c r="AK28" s="13">
        <f t="shared" si="35"/>
        <v>38.830415421175942</v>
      </c>
      <c r="AL28" s="20">
        <f t="shared" si="4"/>
        <v>330.81048669188147</v>
      </c>
      <c r="AM28" s="59">
        <f t="shared" si="5"/>
        <v>618.03270891410375</v>
      </c>
      <c r="AN28" s="59">
        <f ca="1">AVERAGE(OFFSET($AM$3,0,0,'Données projet'!$E$10+1,1))-AVERAGE(OFFSET($H$3,0,0,'Données projet'!$E$10+1,1))</f>
        <v>287.52077437571728</v>
      </c>
      <c r="AO28" s="59">
        <f t="shared" si="36"/>
        <v>420.95891230839874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60.96</v>
      </c>
      <c r="AR28" s="16">
        <f>IF(ISNA(VLOOKUP(A28,'Données projet'!$A$61:$I$81,5,0)),0%,VLOOKUP(A28,'Données projet'!$A$61:$I$81,5,0)*VLOOKUP('Données projet'!$B$10,Paramètres!$A$1:$I$89,7,0))</f>
        <v>4.5000000000000005E-2</v>
      </c>
      <c r="AS28" s="16">
        <f>IF(ISNA(VLOOKUP(A28,'Données projet'!$A$61:$I$81,6,0)),0%,VLOOKUP(A28,'Données projet'!$A$61:$I$81,6,0)*VLOOKUP('Données projet'!$B$10,Paramètres!$A$1:$I$89,7,0))</f>
        <v>0.36000000000000004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2.1761409052687246</v>
      </c>
      <c r="AV28" s="21">
        <f>EXP(-LN(2)/25)*AV27+(1-EXP(-LN(2)/25))/(LN(2)/25)*Calculateur!AQ28*Calculateur!AS28*VLOOKUP('Données projet'!$B$10,Paramètres!$A$1:$I$89,3,0)*0.475*44/12</f>
        <v>44.231924174599371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46.408065079868095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3.887142857142857</v>
      </c>
      <c r="BD28" s="12">
        <f>IF('Données projet'!$A$88&gt;35,BD27+BC28-BL27,IF(A28&lt;'Données projet'!$A$88,$BA$205^A28,IF(A28='Données projet'!$A$88,'Données projet'!$B$88,BD27+BC28-BL27)))</f>
        <v>97.178571428571445</v>
      </c>
      <c r="BE28" s="13">
        <f>BD28*VLOOKUP('Données projet'!$B$11,Paramètres!$A$1:$I$89,3,0)*VLOOKUP('Données projet'!$B$11,Paramètres!$A$1:$I$89,5,0)</f>
        <v>87.927171428571441</v>
      </c>
      <c r="BF28" s="13">
        <f t="shared" si="37"/>
        <v>24.06463273936156</v>
      </c>
      <c r="BG28" s="20">
        <f t="shared" si="7"/>
        <v>195.05239225914997</v>
      </c>
      <c r="BH28" s="59">
        <f t="shared" si="8"/>
        <v>482.27461448137217</v>
      </c>
      <c r="BI28" s="59">
        <f ca="1">AVERAGE(OFFSET($BH$3,0,0,'Données projet'!$E$11+1,1))-AVERAGE(OFFSET($H$3,0,0,'Données projet'!$E$11+1,1))</f>
        <v>581.88778927327667</v>
      </c>
      <c r="BJ28" s="59">
        <f t="shared" si="38"/>
        <v>269.67340993773422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5.044827586206897</v>
      </c>
      <c r="N29" s="13">
        <f>IF('Données projet'!$A$36&gt;35,N28+M29-V28,IF(A29&lt;'Données projet'!$A$36,$K$205^A29,IF(A29='Données projet'!$A$36,'Données projet'!$B$36,N28+M29-V28)))</f>
        <v>87.348114308120827</v>
      </c>
      <c r="O29" s="13">
        <f>N29*VLOOKUP('Données projet'!$B$9,Paramètres!$A$1:$I$89,3,0)*VLOOKUP('Données projet'!$B$9,Paramètres!$A$1:$I$89,5,0)</f>
        <v>76.307312659574364</v>
      </c>
      <c r="P29" s="13">
        <f t="shared" si="33"/>
        <v>21.231834638019325</v>
      </c>
      <c r="Q29" s="20">
        <f t="shared" si="2"/>
        <v>169.88068154330901</v>
      </c>
      <c r="R29" s="59">
        <f t="shared" si="0"/>
        <v>458.32512598775349</v>
      </c>
      <c r="S29" s="59">
        <f ca="1">AVERAGE(OFFSET($R$3,0,0,'Données projet'!$E$9+1,1))-AVERAGE(OFFSET($H$3,0,0,'Données projet'!$E$9+1,1))</f>
        <v>413.25558401068383</v>
      </c>
      <c r="T29" s="59">
        <f t="shared" si="34"/>
        <v>289.56516326172863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20.575714285714287</v>
      </c>
      <c r="AI29" s="13">
        <f>IF('Données projet'!$A$62&gt;35,AI28+AH29-AQ28,IF(A29&lt;'Données projet'!$A$62,$AF$205^A29,IF(A29='Données projet'!$A$62,'Données projet'!$B$62,AI28+AH29-AQ28)))</f>
        <v>212.30571428571429</v>
      </c>
      <c r="AJ29" s="13">
        <f>AI29*VLOOKUP('Données projet'!$B$10,Paramètres!$A$1:$I$89,3,0)*VLOOKUP('Données projet'!$B$10,Paramètres!$A$1:$I$89,5,0)</f>
        <v>126.95881714285716</v>
      </c>
      <c r="AK29" s="13">
        <f t="shared" si="35"/>
        <v>33.292666057268733</v>
      </c>
      <c r="AL29" s="20">
        <f t="shared" si="4"/>
        <v>279.10466657355261</v>
      </c>
      <c r="AM29" s="59">
        <f t="shared" si="5"/>
        <v>567.54911101799712</v>
      </c>
      <c r="AN29" s="59">
        <f ca="1">AVERAGE(OFFSET($AM$3,0,0,'Données projet'!$E$10+1,1))-AVERAGE(OFFSET($H$3,0,0,'Données projet'!$E$10+1,1))</f>
        <v>287.52077437571728</v>
      </c>
      <c r="AO29" s="59">
        <f t="shared" si="36"/>
        <v>420.95891230839874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2.1334681094312957</v>
      </c>
      <c r="AV29" s="21">
        <f>EXP(-LN(2)/25)*AV28+(1-EXP(-LN(2)/25))/(LN(2)/25)*Calculateur!AQ29*Calculateur!AS29*VLOOKUP('Données projet'!$B$10,Paramètres!$A$1:$I$89,3,0)*0.475*44/12</f>
        <v>43.022399881989152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45.15586799142045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3.887142857142857</v>
      </c>
      <c r="BD29" s="12">
        <f>IF('Données projet'!$A$88&gt;35,BD28+BC29-BL28,IF(A29&lt;'Données projet'!$A$88,$BA$205^A29,IF(A29='Données projet'!$A$88,'Données projet'!$B$88,BD28+BC29-BL28)))</f>
        <v>101.06571428571431</v>
      </c>
      <c r="BE29" s="13">
        <f>BD29*VLOOKUP('Données projet'!$B$11,Paramètres!$A$1:$I$89,3,0)*VLOOKUP('Données projet'!$B$11,Paramètres!$A$1:$I$89,5,0)</f>
        <v>91.444258285714298</v>
      </c>
      <c r="BF29" s="13">
        <f t="shared" si="37"/>
        <v>24.913221926074399</v>
      </c>
      <c r="BG29" s="20">
        <f t="shared" si="7"/>
        <v>202.65594470219867</v>
      </c>
      <c r="BH29" s="59">
        <f t="shared" si="8"/>
        <v>491.10038914664312</v>
      </c>
      <c r="BI29" s="59">
        <f ca="1">AVERAGE(OFFSET($BH$3,0,0,'Données projet'!$E$11+1,1))-AVERAGE(OFFSET($H$3,0,0,'Données projet'!$E$11+1,1))</f>
        <v>581.88778927327667</v>
      </c>
      <c r="BJ29" s="59">
        <f t="shared" si="38"/>
        <v>269.67340993773422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5.044827586206897</v>
      </c>
      <c r="N30" s="13">
        <f>IF('Données projet'!$A$36&gt;35,N29+M30-V29,IF(A30&lt;'Données projet'!$A$36,$K$205^A30,IF(A30='Données projet'!$A$36,'Données projet'!$B$36,N29+M30-V29)))</f>
        <v>103.73304613997222</v>
      </c>
      <c r="O30" s="13">
        <f>N30*VLOOKUP('Données projet'!$B$9,Paramètres!$A$1:$I$89,3,0)*VLOOKUP('Données projet'!$B$9,Paramètres!$A$1:$I$89,5,0)</f>
        <v>90.621189107879744</v>
      </c>
      <c r="P30" s="13">
        <f t="shared" si="33"/>
        <v>24.714980821170236</v>
      </c>
      <c r="Q30" s="20">
        <f t="shared" si="2"/>
        <v>200.87716262642871</v>
      </c>
      <c r="R30" s="59">
        <f t="shared" si="0"/>
        <v>490.54382929309543</v>
      </c>
      <c r="S30" s="59">
        <f ca="1">AVERAGE(OFFSET($R$3,0,0,'Données projet'!$E$9+1,1))-AVERAGE(OFFSET($H$3,0,0,'Données projet'!$E$9+1,1))</f>
        <v>413.25558401068383</v>
      </c>
      <c r="T30" s="59">
        <f t="shared" si="34"/>
        <v>289.56516326172863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20.575714285714287</v>
      </c>
      <c r="AI30" s="13">
        <f>IF('Données projet'!$A$62&gt;35,AI29+AH30-AQ29,IF(A30&lt;'Données projet'!$A$62,$AF$205^A30,IF(A30='Données projet'!$A$62,'Données projet'!$B$62,AI29+AH30-AQ29)))</f>
        <v>232.88142857142859</v>
      </c>
      <c r="AJ30" s="13">
        <f>AI30*VLOOKUP('Données projet'!$B$10,Paramètres!$A$1:$I$89,3,0)*VLOOKUP('Données projet'!$B$10,Paramètres!$A$1:$I$89,5,0)</f>
        <v>139.26309428571432</v>
      </c>
      <c r="AK30" s="13">
        <f t="shared" si="35"/>
        <v>36.128138927166717</v>
      </c>
      <c r="AL30" s="20">
        <f t="shared" si="4"/>
        <v>305.47306451243452</v>
      </c>
      <c r="AM30" s="59">
        <f t="shared" si="5"/>
        <v>595.1397311791012</v>
      </c>
      <c r="AN30" s="59">
        <f ca="1">AVERAGE(OFFSET($AM$3,0,0,'Données projet'!$E$10+1,1))-AVERAGE(OFFSET($H$3,0,0,'Données projet'!$E$10+1,1))</f>
        <v>287.52077437571728</v>
      </c>
      <c r="AO30" s="59">
        <f t="shared" si="36"/>
        <v>420.95891230839874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2.0916321010924035</v>
      </c>
      <c r="AV30" s="21">
        <f>EXP(-LN(2)/25)*AV29+(1-EXP(-LN(2)/25))/(LN(2)/25)*Calculateur!AQ30*Calculateur!AS30*VLOOKUP('Données projet'!$B$10,Paramètres!$A$1:$I$89,3,0)*0.475*44/12</f>
        <v>41.845950094766479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43.93758219585888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3.887142857142857</v>
      </c>
      <c r="BD30" s="12">
        <f>IF('Données projet'!$A$88&gt;35,BD29+BC30-BL29,IF(A30&lt;'Données projet'!$A$88,$BA$205^A30,IF(A30='Données projet'!$A$88,'Données projet'!$B$88,BD29+BC30-BL29)))</f>
        <v>104.95285714285717</v>
      </c>
      <c r="BE30" s="13">
        <f>BD30*VLOOKUP('Données projet'!$B$11,Paramètres!$A$1:$I$89,3,0)*VLOOKUP('Données projet'!$B$11,Paramètres!$A$1:$I$89,5,0)</f>
        <v>94.961345142857169</v>
      </c>
      <c r="BF30" s="13">
        <f t="shared" si="37"/>
        <v>25.758019548315733</v>
      </c>
      <c r="BG30" s="20">
        <f t="shared" si="7"/>
        <v>210.25289350379276</v>
      </c>
      <c r="BH30" s="59">
        <f t="shared" si="8"/>
        <v>499.91956017045948</v>
      </c>
      <c r="BI30" s="59">
        <f ca="1">AVERAGE(OFFSET($BH$3,0,0,'Données projet'!$E$11+1,1))-AVERAGE(OFFSET($H$3,0,0,'Données projet'!$E$11+1,1))</f>
        <v>581.88778927327667</v>
      </c>
      <c r="BJ30" s="59">
        <f t="shared" si="38"/>
        <v>269.67340993773422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5.044827586206897</v>
      </c>
      <c r="N31" s="13">
        <f>IF('Données projet'!$A$36&gt;35,N30+M31-V30,IF(A31&lt;'Données projet'!$A$36,$K$205^A31,IF(A31='Données projet'!$A$36,'Données projet'!$B$36,N30+M31-V30)))</f>
        <v>123.19149585209976</v>
      </c>
      <c r="O31" s="13">
        <f>N31*VLOOKUP('Données projet'!$B$9,Paramètres!$A$1:$I$89,3,0)*VLOOKUP('Données projet'!$B$9,Paramètres!$A$1:$I$89,5,0)</f>
        <v>107.62009077639436</v>
      </c>
      <c r="P31" s="13">
        <f t="shared" si="33"/>
        <v>28.769547587612301</v>
      </c>
      <c r="Q31" s="20">
        <f t="shared" si="2"/>
        <v>237.54528681731156</v>
      </c>
      <c r="R31" s="59">
        <f t="shared" si="0"/>
        <v>528.43417570620045</v>
      </c>
      <c r="S31" s="59">
        <f ca="1">AVERAGE(OFFSET($R$3,0,0,'Données projet'!$E$9+1,1))-AVERAGE(OFFSET($H$3,0,0,'Données projet'!$E$9+1,1))</f>
        <v>413.25558401068383</v>
      </c>
      <c r="T31" s="59">
        <f t="shared" si="34"/>
        <v>289.56516326172863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20.575714285714287</v>
      </c>
      <c r="AI31" s="13">
        <f>IF('Données projet'!$A$62&gt;35,AI30+AH31-AQ30,IF(A31&lt;'Données projet'!$A$62,$AF$205^A31,IF(A31='Données projet'!$A$62,'Données projet'!$B$62,AI30+AH31-AQ30)))</f>
        <v>253.45714285714288</v>
      </c>
      <c r="AJ31" s="13">
        <f>AI31*VLOOKUP('Données projet'!$B$10,Paramètres!$A$1:$I$89,3,0)*VLOOKUP('Données projet'!$B$10,Paramètres!$A$1:$I$89,5,0)</f>
        <v>151.56737142857145</v>
      </c>
      <c r="AK31" s="13">
        <f t="shared" si="35"/>
        <v>38.934560626064055</v>
      </c>
      <c r="AL31" s="20">
        <f t="shared" si="4"/>
        <v>331.79086499515682</v>
      </c>
      <c r="AM31" s="59">
        <f t="shared" si="5"/>
        <v>622.67975388404568</v>
      </c>
      <c r="AN31" s="59">
        <f ca="1">AVERAGE(OFFSET($AM$3,0,0,'Données projet'!$E$10+1,1))-AVERAGE(OFFSET($H$3,0,0,'Données projet'!$E$10+1,1))</f>
        <v>287.52077437571728</v>
      </c>
      <c r="AO31" s="59">
        <f t="shared" si="36"/>
        <v>420.95891230839874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2.0506164713595911</v>
      </c>
      <c r="AV31" s="21">
        <f>EXP(-LN(2)/25)*AV30+(1-EXP(-LN(2)/25))/(LN(2)/25)*Calculateur!AQ31*Calculateur!AS31*VLOOKUP('Données projet'!$B$10,Paramètres!$A$1:$I$89,3,0)*0.475*44/12</f>
        <v>40.701670388842217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42.752286860201806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3.887142857142857</v>
      </c>
      <c r="BD31" s="12">
        <f>IF('Données projet'!$A$88&gt;35,BD30+BC31-BL30,IF(A31&lt;'Données projet'!$A$88,$BA$205^A31,IF(A31='Données projet'!$A$88,'Données projet'!$B$88,BD30+BC31-BL30)))</f>
        <v>108.84000000000003</v>
      </c>
      <c r="BE31" s="13">
        <f>BD31*VLOOKUP('Données projet'!$B$11,Paramètres!$A$1:$I$89,3,0)*VLOOKUP('Données projet'!$B$11,Paramètres!$A$1:$I$89,5,0)</f>
        <v>98.478432000000026</v>
      </c>
      <c r="BF31" s="13">
        <f t="shared" si="37"/>
        <v>26.599182115615513</v>
      </c>
      <c r="BG31" s="20">
        <f t="shared" si="7"/>
        <v>217.84351125136371</v>
      </c>
      <c r="BH31" s="59">
        <f t="shared" si="8"/>
        <v>508.73240014025259</v>
      </c>
      <c r="BI31" s="59">
        <f ca="1">AVERAGE(OFFSET($BH$3,0,0,'Données projet'!$E$11+1,1))-AVERAGE(OFFSET($H$3,0,0,'Données projet'!$E$11+1,1))</f>
        <v>581.88778927327667</v>
      </c>
      <c r="BJ31" s="59">
        <f t="shared" si="38"/>
        <v>269.67340993773422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146.30000000000001</v>
      </c>
      <c r="L32" s="12">
        <f>VLOOKUP(A32,'Données projet'!$A$35:$I$55,9,0)</f>
        <v>5.044827586206897</v>
      </c>
      <c r="M32" s="12">
        <f t="array" ref="M32">INDEX(L:L,MIN(IF(ISNUMBER(L32:L228),ROW(L32:L228),"")))</f>
        <v>5.044827586206897</v>
      </c>
      <c r="N32" s="13">
        <f>IF('Données projet'!$A$36&gt;35,N31+M32-V31,IF(A32&lt;'Données projet'!$A$36,$K$205^A32,IF(A32='Données projet'!$A$36,'Données projet'!$B$36,N31+M32-V31)))</f>
        <v>146.30000000000001</v>
      </c>
      <c r="O32" s="13">
        <f>N32*VLOOKUP('Données projet'!$B$9,Paramètres!$A$1:$I$89,3,0)*VLOOKUP('Données projet'!$B$9,Paramètres!$A$1:$I$89,5,0)</f>
        <v>127.80768000000002</v>
      </c>
      <c r="P32" s="13">
        <f t="shared" si="33"/>
        <v>33.489278198707517</v>
      </c>
      <c r="Q32" s="20">
        <f t="shared" si="2"/>
        <v>280.92553552941558</v>
      </c>
      <c r="R32" s="59">
        <f t="shared" si="0"/>
        <v>573.03664664052667</v>
      </c>
      <c r="S32" s="59">
        <f ca="1">AVERAGE(OFFSET($R$3,0,0,'Données projet'!$E$9+1,1))-AVERAGE(OFFSET($H$3,0,0,'Données projet'!$E$9+1,1))</f>
        <v>413.25558401068383</v>
      </c>
      <c r="T32" s="59">
        <f t="shared" si="34"/>
        <v>289.56516326172863</v>
      </c>
      <c r="U32" s="15">
        <f>IF(ISNA(VLOOKUP(A32,'Données projet'!$A$35:$I$55,3,0)),0,VLOOKUP(A32,'Données projet'!$A$35:$I$55,3,0))</f>
        <v>1</v>
      </c>
      <c r="V32" s="15">
        <f>IF(ISNA(VLOOKUP(A32,'Données projet'!$A$35:$I$55,4,0)),0,VLOOKUP(A32,'Données projet'!$A$35:$I$55,4,0))</f>
        <v>26.5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0.215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5.4806328751189355</v>
      </c>
      <c r="AB32" s="21">
        <f>EXP(-LN(2)/2)*AB31+(1-EXP(-LN(2)/2))/(LN(2)/2)*V32*Y32*VLOOKUP('Données projet'!$B$9,Paramètres!$A$1:$I$89,3,0)*0.475*44/12</f>
        <v>0</v>
      </c>
      <c r="AC32" s="22">
        <f t="shared" si="3"/>
        <v>5.4806328751189355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20.575714285714287</v>
      </c>
      <c r="AI32" s="13">
        <f>IF('Données projet'!$A$62&gt;35,AI31+AH32-AQ31,IF(A32&lt;'Données projet'!$A$62,$AF$205^A32,IF(A32='Données projet'!$A$62,'Données projet'!$B$62,AI31+AH32-AQ31)))</f>
        <v>274.03285714285715</v>
      </c>
      <c r="AJ32" s="13">
        <f>AI32*VLOOKUP('Données projet'!$B$10,Paramètres!$A$1:$I$89,3,0)*VLOOKUP('Données projet'!$B$10,Paramètres!$A$1:$I$89,5,0)</f>
        <v>163.87164857142858</v>
      </c>
      <c r="AK32" s="13">
        <f t="shared" si="35"/>
        <v>41.714557659402736</v>
      </c>
      <c r="AL32" s="20">
        <f t="shared" si="4"/>
        <v>358.06264251869788</v>
      </c>
      <c r="AM32" s="59">
        <f t="shared" si="5"/>
        <v>650.17375362980897</v>
      </c>
      <c r="AN32" s="59">
        <f ca="1">AVERAGE(OFFSET($AM$3,0,0,'Données projet'!$E$10+1,1))-AVERAGE(OFFSET($H$3,0,0,'Données projet'!$E$10+1,1))</f>
        <v>287.52077437571728</v>
      </c>
      <c r="AO32" s="59">
        <f t="shared" si="36"/>
        <v>420.95891230839874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2.0104051331087756</v>
      </c>
      <c r="AV32" s="21">
        <f>EXP(-LN(2)/25)*AV31+(1-EXP(-LN(2)/25))/(LN(2)/25)*Calculateur!AQ32*Calculateur!AS32*VLOOKUP('Données projet'!$B$10,Paramètres!$A$1:$I$89,3,0)*0.475*44/12</f>
        <v>39.588681071651507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41.599086204760283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3.887142857142857</v>
      </c>
      <c r="BD32" s="12">
        <f>IF('Données projet'!$A$88&gt;35,BD31+BC32-BL31,IF(A32&lt;'Données projet'!$A$88,$BA$205^A32,IF(A32='Données projet'!$A$88,'Données projet'!$B$88,BD31+BC32-BL31)))</f>
        <v>112.72714285714289</v>
      </c>
      <c r="BE32" s="13">
        <f>BD32*VLOOKUP('Données projet'!$B$11,Paramètres!$A$1:$I$89,3,0)*VLOOKUP('Données projet'!$B$11,Paramètres!$A$1:$I$89,5,0)</f>
        <v>101.99551885714288</v>
      </c>
      <c r="BF32" s="13">
        <f t="shared" si="37"/>
        <v>27.436854324518826</v>
      </c>
      <c r="BG32" s="20">
        <f t="shared" si="7"/>
        <v>225.4280499580608</v>
      </c>
      <c r="BH32" s="59">
        <f t="shared" si="8"/>
        <v>517.539161069172</v>
      </c>
      <c r="BI32" s="59">
        <f ca="1">AVERAGE(OFFSET($BH$3,0,0,'Données projet'!$E$11+1,1))-AVERAGE(OFFSET($H$3,0,0,'Données projet'!$E$11+1,1))</f>
        <v>581.88778927327667</v>
      </c>
      <c r="BJ32" s="59">
        <f t="shared" si="38"/>
        <v>269.67340993773422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11.559999999999997</v>
      </c>
      <c r="N33" s="13">
        <f>IF('Données projet'!$A$36&gt;35,N32+M33-V32,IF(A33&lt;'Données projet'!$A$36,$K$205^A33,IF(A33='Données projet'!$A$36,'Données projet'!$B$36,N32+M33-V32)))</f>
        <v>131.36000000000001</v>
      </c>
      <c r="O33" s="13">
        <f>N33*VLOOKUP('Données projet'!$B$9,Paramètres!$A$1:$I$89,3,0)*VLOOKUP('Données projet'!$B$9,Paramètres!$A$1:$I$89,5,0)</f>
        <v>114.75609600000003</v>
      </c>
      <c r="P33" s="13">
        <f t="shared" si="33"/>
        <v>30.44878242778675</v>
      </c>
      <c r="Q33" s="20">
        <f t="shared" si="2"/>
        <v>252.89849659506197</v>
      </c>
      <c r="R33" s="59">
        <f t="shared" si="0"/>
        <v>546.23182992839531</v>
      </c>
      <c r="S33" s="59">
        <f ca="1">AVERAGE(OFFSET($R$3,0,0,'Données projet'!$E$9+1,1))-AVERAGE(OFFSET($H$3,0,0,'Données projet'!$E$9+1,1))</f>
        <v>413.25558401068383</v>
      </c>
      <c r="T33" s="59">
        <f t="shared" si="34"/>
        <v>289.56516326172863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5.330764680934851</v>
      </c>
      <c r="AB33" s="21">
        <f>EXP(-LN(2)/2)*AB32+(1-EXP(-LN(2)/2))/(LN(2)/2)*V33*Y33*VLOOKUP('Données projet'!$B$9,Paramètres!$A$1:$I$89,3,0)*0.475*44/12</f>
        <v>0</v>
      </c>
      <c r="AC33" s="22">
        <f t="shared" si="3"/>
        <v>5.330764680934851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20.575714285714287</v>
      </c>
      <c r="AI33" s="13">
        <f>IF('Données projet'!$A$62&gt;35,AI32+AH33-AQ32,IF(A33&lt;'Données projet'!$A$62,$AF$205^A33,IF(A33='Données projet'!$A$62,'Données projet'!$B$62,AI32+AH33-AQ32)))</f>
        <v>294.60857142857145</v>
      </c>
      <c r="AJ33" s="13">
        <f>AI33*VLOOKUP('Données projet'!$B$10,Paramètres!$A$1:$I$89,3,0)*VLOOKUP('Données projet'!$B$10,Paramètres!$A$1:$I$89,5,0)</f>
        <v>176.17592571428574</v>
      </c>
      <c r="AK33" s="13">
        <f t="shared" si="35"/>
        <v>44.470339725943226</v>
      </c>
      <c r="AL33" s="20">
        <f t="shared" si="4"/>
        <v>384.29224564173211</v>
      </c>
      <c r="AM33" s="59">
        <f t="shared" si="5"/>
        <v>677.62557897506542</v>
      </c>
      <c r="AN33" s="59">
        <f ca="1">AVERAGE(OFFSET($AM$3,0,0,'Données projet'!$E$10+1,1))-AVERAGE(OFFSET($H$3,0,0,'Données projet'!$E$10+1,1))</f>
        <v>287.52077437571728</v>
      </c>
      <c r="AO33" s="59">
        <f t="shared" si="36"/>
        <v>420.95891230839874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1.970982314674564</v>
      </c>
      <c r="AV33" s="21">
        <f>EXP(-LN(2)/25)*AV32+(1-EXP(-LN(2)/25))/(LN(2)/25)*Calculateur!AQ33*Calculateur!AS33*VLOOKUP('Données projet'!$B$10,Paramètres!$A$1:$I$89,3,0)*0.475*44/12</f>
        <v>38.506126505868941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40.477108820543506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3.887142857142857</v>
      </c>
      <c r="BD33" s="12">
        <f>IF('Données projet'!$A$88&gt;35,BD32+BC33-BL32,IF(A33&lt;'Données projet'!$A$88,$BA$205^A33,IF(A33='Données projet'!$A$88,'Données projet'!$B$88,BD32+BC33-BL32)))</f>
        <v>116.61428571428576</v>
      </c>
      <c r="BE33" s="13">
        <f>BD33*VLOOKUP('Données projet'!$B$11,Paramètres!$A$1:$I$89,3,0)*VLOOKUP('Données projet'!$B$11,Paramètres!$A$1:$I$89,5,0)</f>
        <v>105.51260571428575</v>
      </c>
      <c r="BF33" s="13">
        <f t="shared" si="37"/>
        <v>28.271170326518615</v>
      </c>
      <c r="BG33" s="20">
        <f t="shared" si="7"/>
        <v>233.00674327106756</v>
      </c>
      <c r="BH33" s="59">
        <f t="shared" si="8"/>
        <v>526.34007660440091</v>
      </c>
      <c r="BI33" s="59">
        <f ca="1">AVERAGE(OFFSET($BH$3,0,0,'Données projet'!$E$11+1,1))-AVERAGE(OFFSET($H$3,0,0,'Données projet'!$E$11+1,1))</f>
        <v>581.88778927327667</v>
      </c>
      <c r="BJ33" s="59">
        <f t="shared" si="38"/>
        <v>269.67340993773422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11.559999999999997</v>
      </c>
      <c r="N34" s="13">
        <f>IF('Données projet'!$A$36&gt;35,N33+M34-V33,IF(A34&lt;'Données projet'!$A$36,$K$205^A34,IF(A34='Données projet'!$A$36,'Données projet'!$B$36,N33+M34-V33)))</f>
        <v>142.92000000000002</v>
      </c>
      <c r="O34" s="13">
        <f>N34*VLOOKUP('Données projet'!$B$9,Paramètres!$A$1:$I$89,3,0)*VLOOKUP('Données projet'!$B$9,Paramètres!$A$1:$I$89,5,0)</f>
        <v>124.85491200000003</v>
      </c>
      <c r="P34" s="13">
        <f t="shared" si="33"/>
        <v>32.804700877507614</v>
      </c>
      <c r="Q34" s="20">
        <f t="shared" si="2"/>
        <v>274.59049242832583</v>
      </c>
      <c r="R34" s="59">
        <f t="shared" si="0"/>
        <v>567.92382576165915</v>
      </c>
      <c r="S34" s="59">
        <f ca="1">AVERAGE(OFFSET($R$3,0,0,'Données projet'!$E$9+1,1))-AVERAGE(OFFSET($H$3,0,0,'Données projet'!$E$9+1,1))</f>
        <v>413.25558401068383</v>
      </c>
      <c r="T34" s="59">
        <f t="shared" si="34"/>
        <v>289.56516326172863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5.1849946404019569</v>
      </c>
      <c r="AB34" s="21">
        <f>EXP(-LN(2)/2)*AB33+(1-EXP(-LN(2)/2))/(LN(2)/2)*V34*Y34*VLOOKUP('Données projet'!$B$9,Paramètres!$A$1:$I$89,3,0)*0.475*44/12</f>
        <v>0</v>
      </c>
      <c r="AC34" s="22">
        <f t="shared" si="3"/>
        <v>5.1849946404019569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20.575714285714287</v>
      </c>
      <c r="AI34" s="13">
        <f>IF('Données projet'!$A$62&gt;35,AI33+AH34-AQ33,IF(A34&lt;'Données projet'!$A$62,$AF$205^A34,IF(A34='Données projet'!$A$62,'Données projet'!$B$62,AI33+AH34-AQ33)))</f>
        <v>315.18428571428575</v>
      </c>
      <c r="AJ34" s="13">
        <f>AI34*VLOOKUP('Données projet'!$B$10,Paramètres!$A$1:$I$89,3,0)*VLOOKUP('Données projet'!$B$10,Paramètres!$A$1:$I$89,5,0)</f>
        <v>188.4802028571429</v>
      </c>
      <c r="AK34" s="13">
        <f t="shared" si="35"/>
        <v>47.203790390431891</v>
      </c>
      <c r="AL34" s="20">
        <f t="shared" si="4"/>
        <v>410.48295490619279</v>
      </c>
      <c r="AM34" s="59">
        <f t="shared" si="5"/>
        <v>703.8162882395261</v>
      </c>
      <c r="AN34" s="59">
        <f ca="1">AVERAGE(OFFSET($AM$3,0,0,'Données projet'!$E$10+1,1))-AVERAGE(OFFSET($H$3,0,0,'Données projet'!$E$10+1,1))</f>
        <v>287.52077437571728</v>
      </c>
      <c r="AO34" s="59">
        <f t="shared" si="36"/>
        <v>420.95891230839874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1.9323325536643023</v>
      </c>
      <c r="AV34" s="21">
        <f>EXP(-LN(2)/25)*AV33+(1-EXP(-LN(2)/25))/(LN(2)/25)*Calculateur!AQ34*Calculateur!AS34*VLOOKUP('Données projet'!$B$10,Paramètres!$A$1:$I$89,3,0)*0.475*44/12</f>
        <v>37.453174451616768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39.38550700528107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3.887142857142857</v>
      </c>
      <c r="BD34" s="12">
        <f>IF('Données projet'!$A$88&gt;35,BD33+BC34-BL33,IF(A34&lt;'Données projet'!$A$88,$BA$205^A34,IF(A34='Données projet'!$A$88,'Données projet'!$B$88,BD33+BC34-BL33)))</f>
        <v>120.50142857142862</v>
      </c>
      <c r="BE34" s="13">
        <f>BD34*VLOOKUP('Données projet'!$B$11,Paramètres!$A$1:$I$89,3,0)*VLOOKUP('Données projet'!$B$11,Paramètres!$A$1:$I$89,5,0)</f>
        <v>109.02969257142863</v>
      </c>
      <c r="BF34" s="13">
        <f t="shared" si="37"/>
        <v>29.102254822181546</v>
      </c>
      <c r="BG34" s="20">
        <f t="shared" si="7"/>
        <v>240.57980837720436</v>
      </c>
      <c r="BH34" s="59">
        <f t="shared" si="8"/>
        <v>533.91314171053773</v>
      </c>
      <c r="BI34" s="59">
        <f ca="1">AVERAGE(OFFSET($BH$3,0,0,'Données projet'!$E$11+1,1))-AVERAGE(OFFSET($H$3,0,0,'Données projet'!$E$11+1,1))</f>
        <v>581.88778927327667</v>
      </c>
      <c r="BJ34" s="59">
        <f t="shared" si="38"/>
        <v>269.67340993773422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11.559999999999997</v>
      </c>
      <c r="N35" s="13">
        <f>IF('Données projet'!$A$36&gt;35,N34+M35-V34,IF(A35&lt;'Données projet'!$A$36,$K$205^A35,IF(A35='Données projet'!$A$36,'Données projet'!$B$36,N34+M35-V34)))</f>
        <v>154.48000000000002</v>
      </c>
      <c r="O35" s="13">
        <f>N35*VLOOKUP('Données projet'!$B$9,Paramètres!$A$1:$I$89,3,0)*VLOOKUP('Données projet'!$B$9,Paramètres!$A$1:$I$89,5,0)</f>
        <v>134.95372800000004</v>
      </c>
      <c r="P35" s="13">
        <f t="shared" si="33"/>
        <v>35.138517149474964</v>
      </c>
      <c r="Q35" s="20">
        <f t="shared" ref="Q35:Q66" si="53">(O35+P35)*0.475*44/12</f>
        <v>296.24399363533558</v>
      </c>
      <c r="R35" s="59">
        <f t="shared" si="0"/>
        <v>589.5773269686689</v>
      </c>
      <c r="S35" s="59">
        <f ca="1">AVERAGE(OFFSET($R$3,0,0,'Données projet'!$E$9+1,1))-AVERAGE(OFFSET($H$3,0,0,'Données projet'!$E$9+1,1))</f>
        <v>413.25558401068383</v>
      </c>
      <c r="T35" s="59">
        <f t="shared" si="34"/>
        <v>289.56516326172863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5.0432106892931481</v>
      </c>
      <c r="AB35" s="21">
        <f>EXP(-LN(2)/2)*AB34+(1-EXP(-LN(2)/2))/(LN(2)/2)*V35*Y35*VLOOKUP('Données projet'!$B$9,Paramètres!$A$1:$I$89,3,0)*0.475*44/12</f>
        <v>0</v>
      </c>
      <c r="AC35" s="22">
        <f t="shared" si="3"/>
        <v>5.0432106892931481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>
        <f>VLOOKUP(A35,'Données projet'!$A$61:$I$81,2,0)</f>
        <v>335.76</v>
      </c>
      <c r="AG35" s="12">
        <f>VLOOKUP(A35,'Données projet'!$A$61:$I$81,9,0)</f>
        <v>20.575714285714287</v>
      </c>
      <c r="AH35" s="12">
        <f t="array" ref="AH35">INDEX(AG:AG,MIN(IF(ISNUMBER(AG35:AG231),ROW(AG35:AG231),"")))</f>
        <v>20.575714285714287</v>
      </c>
      <c r="AI35" s="13">
        <f>IF('Données projet'!$A$62&gt;35,AI34+AH35-AQ34,IF(A35&lt;'Données projet'!$A$62,$AF$205^A35,IF(A35='Données projet'!$A$62,'Données projet'!$B$62,AI34+AH35-AQ34)))</f>
        <v>335.76000000000005</v>
      </c>
      <c r="AJ35" s="13">
        <f>AI35*VLOOKUP('Données projet'!$B$10,Paramètres!$A$1:$I$89,3,0)*VLOOKUP('Données projet'!$B$10,Paramètres!$A$1:$I$89,5,0)</f>
        <v>200.78448000000006</v>
      </c>
      <c r="AK35" s="13">
        <f t="shared" si="35"/>
        <v>49.916533385625819</v>
      </c>
      <c r="AL35" s="20">
        <f t="shared" si="4"/>
        <v>436.63759831329838</v>
      </c>
      <c r="AM35" s="59">
        <f t="shared" si="5"/>
        <v>729.9709316466317</v>
      </c>
      <c r="AN35" s="59">
        <f ca="1">AVERAGE(OFFSET($AM$3,0,0,'Données projet'!$E$10+1,1))-AVERAGE(OFFSET($H$3,0,0,'Données projet'!$E$10+1,1))</f>
        <v>287.52077437571728</v>
      </c>
      <c r="AO35" s="59">
        <f t="shared" si="36"/>
        <v>420.95891230839874</v>
      </c>
      <c r="AP35" s="15">
        <f>IF(ISNA(VLOOKUP(A35,'Données projet'!$A$61:$I$81,3,0)),0,VLOOKUP(A35,'Données projet'!$A$61:$I$81,3,0))</f>
        <v>4</v>
      </c>
      <c r="AQ35" s="15">
        <f>IF(ISNA(VLOOKUP(A35,'Données projet'!$A$61:$I$81,4,0)),0,VLOOKUP(A35,'Données projet'!$A$61:$I$81,4,0))</f>
        <v>76.42</v>
      </c>
      <c r="AR35" s="16">
        <f>IF(ISNA(VLOOKUP(A35,'Données projet'!$A$61:$I$81,5,0)),0%,VLOOKUP(A35,'Données projet'!$A$61:$I$81,5,0)*VLOOKUP('Données projet'!$B$10,Paramètres!$A$1:$I$89,7,0))</f>
        <v>0.13500000000000001</v>
      </c>
      <c r="AS35" s="16">
        <f>IF(ISNA(VLOOKUP(A35,'Données projet'!$A$61:$I$81,6,0)),0%,VLOOKUP(A35,'Données projet'!$A$61:$I$81,6,0)*VLOOKUP('Données projet'!$B$10,Paramètres!$A$1:$I$89,7,0))</f>
        <v>0.22500000000000001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10.078529666318422</v>
      </c>
      <c r="AV35" s="21">
        <f>EXP(-LN(2)/25)*AV34+(1-EXP(-LN(2)/25))/(LN(2)/25)*Calculateur!AQ35*Calculateur!AS35*VLOOKUP('Données projet'!$B$10,Paramètres!$A$1:$I$89,3,0)*0.475*44/12</f>
        <v>50.015457257904416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60.09398692422284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3.887142857142857</v>
      </c>
      <c r="BD35" s="12">
        <f>IF('Données projet'!$A$88&gt;35,BD34+BC35-BL34,IF(A35&lt;'Données projet'!$A$88,$BA$205^A35,IF(A35='Données projet'!$A$88,'Données projet'!$B$88,BD34+BC35-BL34)))</f>
        <v>124.38857142857148</v>
      </c>
      <c r="BE35" s="13">
        <f>BD35*VLOOKUP('Données projet'!$B$11,Paramètres!$A$1:$I$89,3,0)*VLOOKUP('Données projet'!$B$11,Paramètres!$A$1:$I$89,5,0)</f>
        <v>112.54677942857147</v>
      </c>
      <c r="BF35" s="13">
        <f t="shared" si="37"/>
        <v>29.930224010130704</v>
      </c>
      <c r="BG35" s="20">
        <f t="shared" si="7"/>
        <v>248.14744765573963</v>
      </c>
      <c r="BH35" s="59">
        <f t="shared" si="8"/>
        <v>541.48078098907297</v>
      </c>
      <c r="BI35" s="59">
        <f ca="1">AVERAGE(OFFSET($BH$3,0,0,'Données projet'!$E$11+1,1))-AVERAGE(OFFSET($H$3,0,0,'Données projet'!$E$11+1,1))</f>
        <v>581.88778927327667</v>
      </c>
      <c r="BJ35" s="59">
        <f t="shared" si="38"/>
        <v>269.67340993773422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11.559999999999997</v>
      </c>
      <c r="N36" s="13">
        <f>IF('Données projet'!$A$36&gt;35,N35+M36-V35,IF(A36&lt;'Données projet'!$A$36,$K$205^A36,IF(A36='Données projet'!$A$36,'Données projet'!$B$36,N35+M36-V35)))</f>
        <v>166.04000000000002</v>
      </c>
      <c r="O36" s="13">
        <f>N36*VLOOKUP('Données projet'!$B$9,Paramètres!$A$1:$I$89,3,0)*VLOOKUP('Données projet'!$B$9,Paramètres!$A$1:$I$89,5,0)</f>
        <v>145.05254400000004</v>
      </c>
      <c r="P36" s="13">
        <f t="shared" si="33"/>
        <v>37.452073255831394</v>
      </c>
      <c r="Q36" s="20">
        <f t="shared" si="53"/>
        <v>317.86220838723972</v>
      </c>
      <c r="R36" s="59">
        <f t="shared" si="0"/>
        <v>611.19554172057303</v>
      </c>
      <c r="S36" s="59">
        <f ca="1">AVERAGE(OFFSET($R$3,0,0,'Données projet'!$E$9+1,1))-AVERAGE(OFFSET($H$3,0,0,'Données projet'!$E$9+1,1))</f>
        <v>413.25558401068383</v>
      </c>
      <c r="T36" s="59">
        <f t="shared" si="34"/>
        <v>289.56516326172863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4.905303827783503</v>
      </c>
      <c r="AB36" s="21">
        <f>EXP(-LN(2)/2)*AB35+(1-EXP(-LN(2)/2))/(LN(2)/2)*V36*Y36*VLOOKUP('Données projet'!$B$9,Paramètres!$A$1:$I$89,3,0)*0.475*44/12</f>
        <v>0</v>
      </c>
      <c r="AC36" s="22">
        <f t="shared" si="3"/>
        <v>4.905303827783503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18.811538461538461</v>
      </c>
      <c r="AI36" s="13">
        <f>IF('Données projet'!$A$62&gt;35,AI35+AH36-AQ35,IF(A36&lt;'Données projet'!$A$62,$AF$205^A36,IF(A36='Données projet'!$A$62,'Données projet'!$B$62,AI35+AH36-AQ35)))</f>
        <v>278.15153846153851</v>
      </c>
      <c r="AJ36" s="13">
        <f>AI36*VLOOKUP('Données projet'!$B$10,Paramètres!$A$1:$I$89,3,0)*VLOOKUP('Données projet'!$B$10,Paramètres!$A$1:$I$89,5,0)</f>
        <v>166.33462000000006</v>
      </c>
      <c r="AK36" s="13">
        <f t="shared" si="35"/>
        <v>42.26806189712719</v>
      </c>
      <c r="AL36" s="20">
        <f t="shared" si="4"/>
        <v>363.31633763749659</v>
      </c>
      <c r="AM36" s="59">
        <f t="shared" si="5"/>
        <v>656.6496709708299</v>
      </c>
      <c r="AN36" s="59">
        <f ca="1">AVERAGE(OFFSET($AM$3,0,0,'Données projet'!$E$10+1,1))-AVERAGE(OFFSET($H$3,0,0,'Données projet'!$E$10+1,1))</f>
        <v>287.52077437571728</v>
      </c>
      <c r="AO36" s="59">
        <f t="shared" si="36"/>
        <v>420.95891230839874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9.880895846858019</v>
      </c>
      <c r="AV36" s="21">
        <f>EXP(-LN(2)/25)*AV35+(1-EXP(-LN(2)/25))/(LN(2)/25)*Calculateur!AQ36*Calculateur!AS36*VLOOKUP('Données projet'!$B$10,Paramètres!$A$1:$I$89,3,0)*0.475*44/12</f>
        <v>48.647781948988431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58.528677795846448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3.887142857142857</v>
      </c>
      <c r="BD36" s="12">
        <f>IF('Données projet'!$A$88&gt;35,BD35+BC36-BL35,IF(A36&lt;'Données projet'!$A$88,$BA$205^A36,IF(A36='Données projet'!$A$88,'Données projet'!$B$88,BD35+BC36-BL35)))</f>
        <v>128.27571428571434</v>
      </c>
      <c r="BE36" s="13">
        <f>BD36*VLOOKUP('Données projet'!$B$11,Paramètres!$A$1:$I$89,3,0)*VLOOKUP('Données projet'!$B$11,Paramètres!$A$1:$I$89,5,0)</f>
        <v>116.06386628571434</v>
      </c>
      <c r="BF36" s="13">
        <f t="shared" si="37"/>
        <v>30.755186414072718</v>
      </c>
      <c r="BG36" s="20">
        <f t="shared" si="7"/>
        <v>255.70985011879577</v>
      </c>
      <c r="BH36" s="59">
        <f t="shared" si="8"/>
        <v>549.04318345212914</v>
      </c>
      <c r="BI36" s="59">
        <f ca="1">AVERAGE(OFFSET($BH$3,0,0,'Données projet'!$E$11+1,1))-AVERAGE(OFFSET($H$3,0,0,'Données projet'!$E$11+1,1))</f>
        <v>581.88778927327667</v>
      </c>
      <c r="BJ36" s="59">
        <f t="shared" si="38"/>
        <v>269.67340993773422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177.6</v>
      </c>
      <c r="L37" s="12">
        <f>VLOOKUP(A37,'Données projet'!$A$35:$I$55,9,0)</f>
        <v>11.559999999999997</v>
      </c>
      <c r="M37" s="12">
        <f t="array" ref="M37">INDEX(L:L,MIN(IF(ISNUMBER(L37:L233),ROW(L37:L233),"")))</f>
        <v>11.559999999999997</v>
      </c>
      <c r="N37" s="13">
        <f>IF('Données projet'!$A$36&gt;35,N36+M37-V36,IF(A37&lt;'Données projet'!$A$36,$K$205^A37,IF(A37='Données projet'!$A$36,'Données projet'!$B$36,N36+M37-V36)))</f>
        <v>177.60000000000002</v>
      </c>
      <c r="O37" s="13">
        <f>N37*VLOOKUP('Données projet'!$B$9,Paramètres!$A$1:$I$89,3,0)*VLOOKUP('Données projet'!$B$9,Paramètres!$A$1:$I$89,5,0)</f>
        <v>155.15136000000004</v>
      </c>
      <c r="P37" s="13">
        <f t="shared" si="33"/>
        <v>39.746940196236942</v>
      </c>
      <c r="Q37" s="20">
        <f t="shared" si="53"/>
        <v>339.44787284177943</v>
      </c>
      <c r="R37" s="59">
        <f t="shared" si="0"/>
        <v>632.78120617511274</v>
      </c>
      <c r="S37" s="59">
        <f ca="1">AVERAGE(OFFSET($R$3,0,0,'Données projet'!$E$9+1,1))-AVERAGE(OFFSET($H$3,0,0,'Données projet'!$E$9+1,1))</f>
        <v>413.25558401068383</v>
      </c>
      <c r="T37" s="59">
        <f t="shared" si="34"/>
        <v>289.56516326172863</v>
      </c>
      <c r="U37" s="15">
        <f>IF(ISNA(VLOOKUP(A37,'Données projet'!$A$35:$I$55,3,0)),0,VLOOKUP(A37,'Données projet'!$A$35:$I$55,3,0))</f>
        <v>2</v>
      </c>
      <c r="V37" s="15">
        <f>IF(ISNA(VLOOKUP(A37,'Données projet'!$A$35:$I$55,4,0)),0,VLOOKUP(A37,'Données projet'!$A$35:$I$55,4,0))</f>
        <v>23.1</v>
      </c>
      <c r="W37" s="16">
        <f>IF(ISNA(VLOOKUP(A37,'Données projet'!$A$35:$I$55,5,0)),0%,VLOOKUP(A37,'Données projet'!$A$35:$I$55,5,0)*VLOOKUP('Données projet'!$B$9,Paramètres!$A$1:$I$89,7,0))</f>
        <v>0.25800000000000001</v>
      </c>
      <c r="X37" s="16">
        <f>IF(ISNA(VLOOKUP(A37,'Données projet'!$A$35:$I$55,6,0)),0%,VLOOKUP(A37,'Données projet'!$A$35:$I$55,6,0)*VLOOKUP('Données projet'!$B$9,Paramètres!$A$1:$I$89,7,0))</f>
        <v>8.6000000000000007E-2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5.7556108366328012</v>
      </c>
      <c r="AA37" s="21">
        <f>EXP(-LN(2)/25)*AA36+(1-EXP(-LN(2)/25))/(LN(2)/25)*Calculateur!V37*Calculateur!X37*VLOOKUP('Données projet'!$B$9,Paramètres!$A$1:$I$89,3,0)*0.475*44/12</f>
        <v>6.6821509712238187</v>
      </c>
      <c r="AB37" s="21">
        <f>EXP(-LN(2)/2)*AB36+(1-EXP(-LN(2)/2))/(LN(2)/2)*V37*Y37*VLOOKUP('Données projet'!$B$9,Paramètres!$A$1:$I$89,3,0)*0.475*44/12</f>
        <v>0</v>
      </c>
      <c r="AC37" s="22">
        <f t="shared" si="3"/>
        <v>12.437761807856621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18.811538461538461</v>
      </c>
      <c r="AI37" s="13">
        <f>IF('Données projet'!$A$62&gt;35,AI36+AH37-AQ36,IF(A37&lt;'Données projet'!$A$62,$AF$205^A37,IF(A37='Données projet'!$A$62,'Données projet'!$B$62,AI36+AH37-AQ36)))</f>
        <v>296.96307692307698</v>
      </c>
      <c r="AJ37" s="13">
        <f>AI37*VLOOKUP('Données projet'!$B$10,Paramètres!$A$1:$I$89,3,0)*VLOOKUP('Données projet'!$B$10,Paramètres!$A$1:$I$89,5,0)</f>
        <v>177.58392000000006</v>
      </c>
      <c r="AK37" s="13">
        <f t="shared" si="35"/>
        <v>44.784230847088935</v>
      </c>
      <c r="AL37" s="20">
        <f t="shared" si="4"/>
        <v>387.29119605868004</v>
      </c>
      <c r="AM37" s="59">
        <f t="shared" si="5"/>
        <v>680.6245293920133</v>
      </c>
      <c r="AN37" s="59">
        <f ca="1">AVERAGE(OFFSET($AM$3,0,0,'Données projet'!$E$10+1,1))-AVERAGE(OFFSET($H$3,0,0,'Données projet'!$E$10+1,1))</f>
        <v>287.52077437571728</v>
      </c>
      <c r="AO37" s="59">
        <f t="shared" si="36"/>
        <v>420.95891230839874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9.6871375060525082</v>
      </c>
      <c r="AV37" s="21">
        <f>EXP(-LN(2)/25)*AV36+(1-EXP(-LN(2)/25))/(LN(2)/25)*Calculateur!AQ37*Calculateur!AS37*VLOOKUP('Données projet'!$B$10,Paramètres!$A$1:$I$89,3,0)*0.475*44/12</f>
        <v>47.317505793317679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57.004643299370187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3.887142857142857</v>
      </c>
      <c r="BD37" s="12">
        <f>IF('Données projet'!$A$88&gt;35,BD36+BC37-BL36,IF(A37&lt;'Données projet'!$A$88,$BA$205^A37,IF(A37='Données projet'!$A$88,'Données projet'!$B$88,BD36+BC37-BL36)))</f>
        <v>132.16285714285721</v>
      </c>
      <c r="BE37" s="13">
        <f>BD37*VLOOKUP('Données projet'!$B$11,Paramètres!$A$1:$I$89,3,0)*VLOOKUP('Données projet'!$B$11,Paramètres!$A$1:$I$89,5,0)</f>
        <v>119.58095314285718</v>
      </c>
      <c r="BF37" s="13">
        <f t="shared" si="37"/>
        <v>31.577243606763055</v>
      </c>
      <c r="BG37" s="20">
        <f t="shared" si="7"/>
        <v>263.26719267225525</v>
      </c>
      <c r="BH37" s="59">
        <f t="shared" si="8"/>
        <v>556.60052600558856</v>
      </c>
      <c r="BI37" s="59">
        <f ca="1">AVERAGE(OFFSET($BH$3,0,0,'Données projet'!$E$11+1,1))-AVERAGE(OFFSET($H$3,0,0,'Données projet'!$E$11+1,1))</f>
        <v>581.88778927327667</v>
      </c>
      <c r="BJ37" s="59">
        <f t="shared" si="38"/>
        <v>269.67340993773422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10.212499999999999</v>
      </c>
      <c r="N38" s="13">
        <f>IF('Données projet'!$A$36&gt;35,N37+M38-V37,IF(A38&lt;'Données projet'!$A$36,$K$205^A38,IF(A38='Données projet'!$A$36,'Données projet'!$B$36,N37+M38-V37)))</f>
        <v>164.71250000000003</v>
      </c>
      <c r="O38" s="13">
        <f>N38*VLOOKUP('Données projet'!$B$9,Paramètres!$A$1:$I$89,3,0)*VLOOKUP('Données projet'!$B$9,Paramètres!$A$1:$I$89,5,0)</f>
        <v>143.89284000000006</v>
      </c>
      <c r="P38" s="13">
        <f t="shared" si="33"/>
        <v>37.187371991533887</v>
      </c>
      <c r="Q38" s="20">
        <f t="shared" si="53"/>
        <v>315.3813692185883</v>
      </c>
      <c r="R38" s="59">
        <f t="shared" si="0"/>
        <v>608.71470255192162</v>
      </c>
      <c r="S38" s="59">
        <f ca="1">AVERAGE(OFFSET($R$3,0,0,'Données projet'!$E$9+1,1))-AVERAGE(OFFSET($H$3,0,0,'Données projet'!$E$9+1,1))</f>
        <v>413.25558401068383</v>
      </c>
      <c r="T38" s="59">
        <f t="shared" si="34"/>
        <v>289.56516326172863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5.6427468187024017</v>
      </c>
      <c r="AA38" s="21">
        <f>EXP(-LN(2)/25)*AA37+(1-EXP(-LN(2)/25))/(LN(2)/25)*Calculateur!V38*Calculateur!X38*VLOOKUP('Données projet'!$B$9,Paramètres!$A$1:$I$89,3,0)*0.475*44/12</f>
        <v>6.4994272015166565</v>
      </c>
      <c r="AB38" s="21">
        <f>EXP(-LN(2)/2)*AB37+(1-EXP(-LN(2)/2))/(LN(2)/2)*V38*Y38*VLOOKUP('Données projet'!$B$9,Paramètres!$A$1:$I$89,3,0)*0.475*44/12</f>
        <v>0</v>
      </c>
      <c r="AC38" s="22">
        <f t="shared" si="3"/>
        <v>12.142174020219059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18.811538461538461</v>
      </c>
      <c r="AI38" s="13">
        <f>IF('Données projet'!$A$62&gt;35,AI37+AH38-AQ37,IF(A38&lt;'Données projet'!$A$62,$AF$205^A38,IF(A38='Données projet'!$A$62,'Données projet'!$B$62,AI37+AH38-AQ37)))</f>
        <v>315.77461538461546</v>
      </c>
      <c r="AJ38" s="13">
        <f>AI38*VLOOKUP('Données projet'!$B$10,Paramètres!$A$1:$I$89,3,0)*VLOOKUP('Données projet'!$B$10,Paramètres!$A$1:$I$89,5,0)</f>
        <v>188.83322000000004</v>
      </c>
      <c r="AK38" s="13">
        <f t="shared" si="35"/>
        <v>47.281901952869688</v>
      </c>
      <c r="AL38" s="20">
        <f t="shared" si="4"/>
        <v>411.23383740124814</v>
      </c>
      <c r="AM38" s="59">
        <f t="shared" si="5"/>
        <v>704.5671707345814</v>
      </c>
      <c r="AN38" s="59">
        <f ca="1">AVERAGE(OFFSET($AM$3,0,0,'Données projet'!$E$10+1,1))-AVERAGE(OFFSET($H$3,0,0,'Données projet'!$E$10+1,1))</f>
        <v>287.52077437571728</v>
      </c>
      <c r="AO38" s="59">
        <f t="shared" si="36"/>
        <v>420.95891230839874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9.4971786481292746</v>
      </c>
      <c r="AV38" s="21">
        <f>EXP(-LN(2)/25)*AV37+(1-EXP(-LN(2)/25))/(LN(2)/25)*Calculateur!AQ38*Calculateur!AS38*VLOOKUP('Données projet'!$B$10,Paramètres!$A$1:$I$89,3,0)*0.475*44/12</f>
        <v>46.023606109079921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55.520784757209199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3.887142857142857</v>
      </c>
      <c r="BD38" s="12">
        <f>IF('Données projet'!$A$88&gt;35,BD37+BC38-BL37,IF(A38&lt;'Données projet'!$A$88,$BA$205^A38,IF(A38='Données projet'!$A$88,'Données projet'!$B$88,BD37+BC38-BL37)))</f>
        <v>136.05000000000007</v>
      </c>
      <c r="BE38" s="13">
        <f>BD38*VLOOKUP('Données projet'!$B$11,Paramètres!$A$1:$I$89,3,0)*VLOOKUP('Données projet'!$B$11,Paramètres!$A$1:$I$89,5,0)</f>
        <v>123.09804000000005</v>
      </c>
      <c r="BF38" s="13">
        <f t="shared" si="37"/>
        <v>32.396490846405321</v>
      </c>
      <c r="BG38" s="20">
        <f t="shared" si="7"/>
        <v>270.81964122415599</v>
      </c>
      <c r="BH38" s="59">
        <f t="shared" si="8"/>
        <v>564.1529745574893</v>
      </c>
      <c r="BI38" s="59">
        <f ca="1">AVERAGE(OFFSET($BH$3,0,0,'Données projet'!$E$11+1,1))-AVERAGE(OFFSET($H$3,0,0,'Données projet'!$E$11+1,1))</f>
        <v>581.88778927327667</v>
      </c>
      <c r="BJ38" s="59">
        <f t="shared" si="38"/>
        <v>269.67340993773422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10.212499999999999</v>
      </c>
      <c r="N39" s="13">
        <f>IF('Données projet'!$A$36&gt;35,N38+M39-V38,IF(A39&lt;'Données projet'!$A$36,$K$205^A39,IF(A39='Données projet'!$A$36,'Données projet'!$B$36,N38+M39-V38)))</f>
        <v>174.92500000000004</v>
      </c>
      <c r="O39" s="13">
        <f>N39*VLOOKUP('Données projet'!$B$9,Paramètres!$A$1:$I$89,3,0)*VLOOKUP('Données projet'!$B$9,Paramètres!$A$1:$I$89,5,0)</f>
        <v>152.81448000000006</v>
      </c>
      <c r="P39" s="13">
        <f t="shared" si="33"/>
        <v>39.217492673671899</v>
      </c>
      <c r="Q39" s="20">
        <f t="shared" si="53"/>
        <v>334.45568573997866</v>
      </c>
      <c r="R39" s="59">
        <f t="shared" si="0"/>
        <v>627.78901907331192</v>
      </c>
      <c r="S39" s="59">
        <f ca="1">AVERAGE(OFFSET($R$3,0,0,'Données projet'!$E$9+1,1))-AVERAGE(OFFSET($H$3,0,0,'Données projet'!$E$9+1,1))</f>
        <v>413.25558401068383</v>
      </c>
      <c r="T39" s="59">
        <f t="shared" si="34"/>
        <v>289.56516326172863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5.5320959953233642</v>
      </c>
      <c r="AA39" s="21">
        <f>EXP(-LN(2)/25)*AA38+(1-EXP(-LN(2)/25))/(LN(2)/25)*Calculateur!V39*Calculateur!X39*VLOOKUP('Données projet'!$B$9,Paramètres!$A$1:$I$89,3,0)*0.475*44/12</f>
        <v>6.3217000229011617</v>
      </c>
      <c r="AB39" s="21">
        <f>EXP(-LN(2)/2)*AB38+(1-EXP(-LN(2)/2))/(LN(2)/2)*V39*Y39*VLOOKUP('Données projet'!$B$9,Paramètres!$A$1:$I$89,3,0)*0.475*44/12</f>
        <v>0</v>
      </c>
      <c r="AC39" s="22">
        <f t="shared" si="3"/>
        <v>11.853796018224525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18.811538461538461</v>
      </c>
      <c r="AI39" s="13">
        <f>IF('Données projet'!$A$62&gt;35,AI38+AH39-AQ38,IF(A39&lt;'Données projet'!$A$62,$AF$205^A39,IF(A39='Données projet'!$A$62,'Données projet'!$B$62,AI38+AH39-AQ38)))</f>
        <v>334.58615384615393</v>
      </c>
      <c r="AJ39" s="13">
        <f>AI39*VLOOKUP('Données projet'!$B$10,Paramètres!$A$1:$I$89,3,0)*VLOOKUP('Données projet'!$B$10,Paramètres!$A$1:$I$89,5,0)</f>
        <v>200.08252000000007</v>
      </c>
      <c r="AK39" s="13">
        <f t="shared" si="35"/>
        <v>49.762302688326976</v>
      </c>
      <c r="AL39" s="20">
        <f t="shared" si="4"/>
        <v>435.14639951550294</v>
      </c>
      <c r="AM39" s="59">
        <f t="shared" si="5"/>
        <v>728.47973284883619</v>
      </c>
      <c r="AN39" s="59">
        <f ca="1">AVERAGE(OFFSET($AM$3,0,0,'Données projet'!$E$10+1,1))-AVERAGE(OFFSET($H$3,0,0,'Données projet'!$E$10+1,1))</f>
        <v>287.52077437571728</v>
      </c>
      <c r="AO39" s="59">
        <f t="shared" si="36"/>
        <v>420.95891230839874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9.3109447675464523</v>
      </c>
      <c r="AV39" s="21">
        <f>EXP(-LN(2)/25)*AV38+(1-EXP(-LN(2)/25))/(LN(2)/25)*Calculateur!AQ39*Calculateur!AS39*VLOOKUP('Données projet'!$B$10,Paramètres!$A$1:$I$89,3,0)*0.475*44/12</f>
        <v>44.765088179750876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54.076032947297328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3.887142857142857</v>
      </c>
      <c r="BD39" s="12">
        <f>IF('Données projet'!$A$88&gt;35,BD38+BC39-BL38,IF(A39&lt;'Données projet'!$A$88,$BA$205^A39,IF(A39='Données projet'!$A$88,'Données projet'!$B$88,BD38+BC39-BL38)))</f>
        <v>139.93714285714293</v>
      </c>
      <c r="BE39" s="13">
        <f>BD39*VLOOKUP('Données projet'!$B$11,Paramètres!$A$1:$I$89,3,0)*VLOOKUP('Données projet'!$B$11,Paramètres!$A$1:$I$89,5,0)</f>
        <v>126.61512685714293</v>
      </c>
      <c r="BF39" s="13">
        <f t="shared" si="37"/>
        <v>33.213017638275041</v>
      </c>
      <c r="BG39" s="20">
        <f t="shared" si="7"/>
        <v>278.36735166285297</v>
      </c>
      <c r="BH39" s="59">
        <f t="shared" si="8"/>
        <v>571.70068499618628</v>
      </c>
      <c r="BI39" s="59">
        <f ca="1">AVERAGE(OFFSET($BH$3,0,0,'Données projet'!$E$11+1,1))-AVERAGE(OFFSET($H$3,0,0,'Données projet'!$E$11+1,1))</f>
        <v>581.88778927327667</v>
      </c>
      <c r="BJ39" s="59">
        <f t="shared" si="38"/>
        <v>269.67340993773422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10.212499999999999</v>
      </c>
      <c r="N40" s="13">
        <f>IF('Données projet'!$A$36&gt;35,N39+M40-V39,IF(A40&lt;'Données projet'!$A$36,$K$205^A40,IF(A40='Données projet'!$A$36,'Données projet'!$B$36,N39+M40-V39)))</f>
        <v>185.13750000000005</v>
      </c>
      <c r="O40" s="13">
        <f>N40*VLOOKUP('Données projet'!$B$9,Paramètres!$A$1:$I$89,3,0)*VLOOKUP('Données projet'!$B$9,Paramètres!$A$1:$I$89,5,0)</f>
        <v>161.73612000000006</v>
      </c>
      <c r="P40" s="13">
        <f t="shared" si="33"/>
        <v>41.233855819285729</v>
      </c>
      <c r="Q40" s="20">
        <f t="shared" si="53"/>
        <v>353.50604121858942</v>
      </c>
      <c r="R40" s="59">
        <f t="shared" si="0"/>
        <v>646.83937455192267</v>
      </c>
      <c r="S40" s="59">
        <f ca="1">AVERAGE(OFFSET($R$3,0,0,'Données projet'!$E$9+1,1))-AVERAGE(OFFSET($H$3,0,0,'Données projet'!$E$9+1,1))</f>
        <v>413.25558401068383</v>
      </c>
      <c r="T40" s="59">
        <f t="shared" si="34"/>
        <v>289.56516326172863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5.423614967100451</v>
      </c>
      <c r="AA40" s="21">
        <f>EXP(-LN(2)/25)*AA39+(1-EXP(-LN(2)/25))/(LN(2)/25)*Calculateur!V40*Calculateur!X40*VLOOKUP('Données projet'!$B$9,Paramètres!$A$1:$I$89,3,0)*0.475*44/12</f>
        <v>6.1488328033311737</v>
      </c>
      <c r="AB40" s="21">
        <f>EXP(-LN(2)/2)*AB39+(1-EXP(-LN(2)/2))/(LN(2)/2)*V40*Y40*VLOOKUP('Données projet'!$B$9,Paramètres!$A$1:$I$89,3,0)*0.475*44/12</f>
        <v>0</v>
      </c>
      <c r="AC40" s="22">
        <f t="shared" si="3"/>
        <v>11.572447770431625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18.811538461538461</v>
      </c>
      <c r="AI40" s="13">
        <f>IF('Données projet'!$A$62&gt;35,AI39+AH40-AQ39,IF(A40&lt;'Données projet'!$A$62,$AF$205^A40,IF(A40='Données projet'!$A$62,'Données projet'!$B$62,AI39+AH40-AQ39)))</f>
        <v>353.39769230769241</v>
      </c>
      <c r="AJ40" s="13">
        <f>AI40*VLOOKUP('Données projet'!$B$10,Paramètres!$A$1:$I$89,3,0)*VLOOKUP('Données projet'!$B$10,Paramètres!$A$1:$I$89,5,0)</f>
        <v>211.33182000000008</v>
      </c>
      <c r="AK40" s="13">
        <f t="shared" si="35"/>
        <v>52.226514706347821</v>
      </c>
      <c r="AL40" s="20">
        <f t="shared" si="4"/>
        <v>459.03076628022262</v>
      </c>
      <c r="AM40" s="59">
        <f t="shared" si="5"/>
        <v>752.36409961355594</v>
      </c>
      <c r="AN40" s="59">
        <f ca="1">AVERAGE(OFFSET($AM$3,0,0,'Données projet'!$E$10+1,1))-AVERAGE(OFFSET($H$3,0,0,'Données projet'!$E$10+1,1))</f>
        <v>287.52077437571728</v>
      </c>
      <c r="AO40" s="59">
        <f t="shared" si="36"/>
        <v>420.95891230839874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9.128362819770409</v>
      </c>
      <c r="AV40" s="21">
        <f>EXP(-LN(2)/25)*AV39+(1-EXP(-LN(2)/25))/(LN(2)/25)*Calculateur!AQ40*Calculateur!AS40*VLOOKUP('Données projet'!$B$10,Paramètres!$A$1:$I$89,3,0)*0.475*44/12</f>
        <v>43.540984489381913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52.669347309152322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3.887142857142857</v>
      </c>
      <c r="BD40" s="12">
        <f>IF('Données projet'!$A$88&gt;35,BD39+BC40-BL39,IF(A40&lt;'Données projet'!$A$88,$BA$205^A40,IF(A40='Données projet'!$A$88,'Données projet'!$B$88,BD39+BC40-BL39)))</f>
        <v>143.82428571428579</v>
      </c>
      <c r="BE40" s="13">
        <f>BD40*VLOOKUP('Données projet'!$B$11,Paramètres!$A$1:$I$89,3,0)*VLOOKUP('Données projet'!$B$11,Paramètres!$A$1:$I$89,5,0)</f>
        <v>130.13221371428577</v>
      </c>
      <c r="BF40" s="13">
        <f t="shared" si="37"/>
        <v>34.026908232186209</v>
      </c>
      <c r="BG40" s="20">
        <f t="shared" si="7"/>
        <v>285.91047072343866</v>
      </c>
      <c r="BH40" s="59">
        <f t="shared" si="8"/>
        <v>579.24380405677198</v>
      </c>
      <c r="BI40" s="59">
        <f ca="1">AVERAGE(OFFSET($BH$3,0,0,'Données projet'!$E$11+1,1))-AVERAGE(OFFSET($H$3,0,0,'Données projet'!$E$11+1,1))</f>
        <v>581.88778927327667</v>
      </c>
      <c r="BJ40" s="59">
        <f t="shared" si="38"/>
        <v>269.67340993773422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10.212499999999999</v>
      </c>
      <c r="N41" s="13">
        <f>IF('Données projet'!$A$36&gt;35,N40+M41-V40,IF(A41&lt;'Données projet'!$A$36,$K$205^A41,IF(A41='Données projet'!$A$36,'Données projet'!$B$36,N40+M41-V40)))</f>
        <v>195.35000000000005</v>
      </c>
      <c r="O41" s="13">
        <f>N41*VLOOKUP('Données projet'!$B$9,Paramètres!$A$1:$I$89,3,0)*VLOOKUP('Données projet'!$B$9,Paramètres!$A$1:$I$89,5,0)</f>
        <v>170.65776000000008</v>
      </c>
      <c r="P41" s="13">
        <f t="shared" si="33"/>
        <v>43.237306818575412</v>
      </c>
      <c r="Q41" s="20">
        <f t="shared" si="53"/>
        <v>372.53390804235232</v>
      </c>
      <c r="R41" s="59">
        <f t="shared" si="0"/>
        <v>665.86724137568558</v>
      </c>
      <c r="S41" s="59">
        <f ca="1">AVERAGE(OFFSET($R$3,0,0,'Données projet'!$E$9+1,1))-AVERAGE(OFFSET($H$3,0,0,'Données projet'!$E$9+1,1))</f>
        <v>413.25558401068383</v>
      </c>
      <c r="T41" s="59">
        <f t="shared" si="34"/>
        <v>289.56516326172863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5.3172611856740959</v>
      </c>
      <c r="AA41" s="21">
        <f>EXP(-LN(2)/25)*AA40+(1-EXP(-LN(2)/25))/(LN(2)/25)*Calculateur!V41*Calculateur!X41*VLOOKUP('Données projet'!$B$9,Paramètres!$A$1:$I$89,3,0)*0.475*44/12</f>
        <v>5.9806926469710193</v>
      </c>
      <c r="AB41" s="21">
        <f>EXP(-LN(2)/2)*AB40+(1-EXP(-LN(2)/2))/(LN(2)/2)*V41*Y41*VLOOKUP('Données projet'!$B$9,Paramètres!$A$1:$I$89,3,0)*0.475*44/12</f>
        <v>0</v>
      </c>
      <c r="AC41" s="22">
        <f t="shared" si="3"/>
        <v>11.297953832645115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18.811538461538461</v>
      </c>
      <c r="AI41" s="13">
        <f>IF('Données projet'!$A$62&gt;35,AI40+AH41-AQ40,IF(A41&lt;'Données projet'!$A$62,$AF$205^A41,IF(A41='Données projet'!$A$62,'Données projet'!$B$62,AI40+AH41-AQ40)))</f>
        <v>372.20923076923089</v>
      </c>
      <c r="AJ41" s="13">
        <f>AI41*VLOOKUP('Données projet'!$B$10,Paramètres!$A$1:$I$89,3,0)*VLOOKUP('Données projet'!$B$10,Paramètres!$A$1:$I$89,5,0)</f>
        <v>222.58112000000008</v>
      </c>
      <c r="AK41" s="13">
        <f t="shared" si="35"/>
        <v>54.675498002213622</v>
      </c>
      <c r="AL41" s="20">
        <f t="shared" si="4"/>
        <v>482.88860968718888</v>
      </c>
      <c r="AM41" s="59">
        <f t="shared" si="5"/>
        <v>776.22194302052219</v>
      </c>
      <c r="AN41" s="59">
        <f ca="1">AVERAGE(OFFSET($AM$3,0,0,'Données projet'!$E$10+1,1))-AVERAGE(OFFSET($H$3,0,0,'Données projet'!$E$10+1,1))</f>
        <v>287.52077437571728</v>
      </c>
      <c r="AO41" s="59">
        <f t="shared" si="36"/>
        <v>420.95891230839874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8.9493611926262613</v>
      </c>
      <c r="AV41" s="21">
        <f>EXP(-LN(2)/25)*AV40+(1-EXP(-LN(2)/25))/(LN(2)/25)*Calculateur!AQ41*Calculateur!AS41*VLOOKUP('Données projet'!$B$10,Paramètres!$A$1:$I$89,3,0)*0.475*44/12</f>
        <v>42.350353978798907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51.29971517142517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3.887142857142857</v>
      </c>
      <c r="BD41" s="12">
        <f>IF('Données projet'!$A$88&gt;35,BD40+BC41-BL40,IF(A41&lt;'Données projet'!$A$88,$BA$205^A41,IF(A41='Données projet'!$A$88,'Données projet'!$B$88,BD40+BC41-BL40)))</f>
        <v>147.71142857142866</v>
      </c>
      <c r="BE41" s="13">
        <f>BD41*VLOOKUP('Données projet'!$B$11,Paramètres!$A$1:$I$89,3,0)*VLOOKUP('Données projet'!$B$11,Paramètres!$A$1:$I$89,5,0)</f>
        <v>133.64930057142865</v>
      </c>
      <c r="BF41" s="13">
        <f t="shared" si="37"/>
        <v>34.8382420646657</v>
      </c>
      <c r="BG41" s="20">
        <f t="shared" si="7"/>
        <v>293.44913675786432</v>
      </c>
      <c r="BH41" s="59">
        <f t="shared" si="8"/>
        <v>586.78247009119764</v>
      </c>
      <c r="BI41" s="59">
        <f ca="1">AVERAGE(OFFSET($BH$3,0,0,'Données projet'!$E$11+1,1))-AVERAGE(OFFSET($H$3,0,0,'Données projet'!$E$11+1,1))</f>
        <v>581.88778927327667</v>
      </c>
      <c r="BJ41" s="59">
        <f t="shared" si="38"/>
        <v>269.67340993773422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10.212499999999999</v>
      </c>
      <c r="N42" s="13">
        <f>IF('Données projet'!$A$36&gt;35,N41+M42-V41,IF(A42&lt;'Données projet'!$A$36,$K$205^A42,IF(A42='Données projet'!$A$36,'Données projet'!$B$36,N41+M42-V41)))</f>
        <v>205.56250000000006</v>
      </c>
      <c r="O42" s="13">
        <f>N42*VLOOKUP('Données projet'!$B$9,Paramètres!$A$1:$I$89,3,0)*VLOOKUP('Données projet'!$B$9,Paramètres!$A$1:$I$89,5,0)</f>
        <v>179.57940000000008</v>
      </c>
      <c r="P42" s="13">
        <f t="shared" si="33"/>
        <v>45.228597678839186</v>
      </c>
      <c r="Q42" s="20">
        <f t="shared" si="53"/>
        <v>391.54059595731172</v>
      </c>
      <c r="R42" s="59">
        <f t="shared" si="0"/>
        <v>684.87392929064504</v>
      </c>
      <c r="S42" s="59">
        <f ca="1">AVERAGE(OFFSET($R$3,0,0,'Données projet'!$E$9+1,1))-AVERAGE(OFFSET($H$3,0,0,'Données projet'!$E$9+1,1))</f>
        <v>413.25558401068383</v>
      </c>
      <c r="T42" s="59">
        <f t="shared" si="34"/>
        <v>289.56516326172863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5.2129929370321095</v>
      </c>
      <c r="AA42" s="21">
        <f>EXP(-LN(2)/25)*AA41+(1-EXP(-LN(2)/25))/(LN(2)/25)*Calculateur!V42*Calculateur!X42*VLOOKUP('Données projet'!$B$9,Paramètres!$A$1:$I$89,3,0)*0.475*44/12</f>
        <v>5.8171502920286393</v>
      </c>
      <c r="AB42" s="21">
        <f>EXP(-LN(2)/2)*AB41+(1-EXP(-LN(2)/2))/(LN(2)/2)*V42*Y42*VLOOKUP('Données projet'!$B$9,Paramètres!$A$1:$I$89,3,0)*0.475*44/12</f>
        <v>0</v>
      </c>
      <c r="AC42" s="22">
        <f t="shared" si="3"/>
        <v>11.030143229060748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18.811538461538461</v>
      </c>
      <c r="AI42" s="13">
        <f>IF('Données projet'!$A$62&gt;35,AI41+AH42-AQ41,IF(A42&lt;'Données projet'!$A$62,$AF$205^A42,IF(A42='Données projet'!$A$62,'Données projet'!$B$62,AI41+AH42-AQ41)))</f>
        <v>391.02076923076936</v>
      </c>
      <c r="AJ42" s="13">
        <f>AI42*VLOOKUP('Données projet'!$B$10,Paramètres!$A$1:$I$89,3,0)*VLOOKUP('Données projet'!$B$10,Paramètres!$A$1:$I$89,5,0)</f>
        <v>233.83042000000009</v>
      </c>
      <c r="AK42" s="13">
        <f t="shared" si="35"/>
        <v>57.11011005315418</v>
      </c>
      <c r="AL42" s="20">
        <f t="shared" si="4"/>
        <v>506.72142317591027</v>
      </c>
      <c r="AM42" s="59">
        <f t="shared" si="5"/>
        <v>800.05475650924359</v>
      </c>
      <c r="AN42" s="59">
        <f ca="1">AVERAGE(OFFSET($AM$3,0,0,'Données projet'!$E$10+1,1))-AVERAGE(OFFSET($H$3,0,0,'Données projet'!$E$10+1,1))</f>
        <v>287.52077437571728</v>
      </c>
      <c r="AO42" s="59">
        <f t="shared" si="36"/>
        <v>420.95891230839874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8.7738696782101986</v>
      </c>
      <c r="AV42" s="21">
        <f>EXP(-LN(2)/25)*AV41+(1-EXP(-LN(2)/25))/(LN(2)/25)*Calculateur!AQ42*Calculateur!AS42*VLOOKUP('Données projet'!$B$10,Paramètres!$A$1:$I$89,3,0)*0.475*44/12</f>
        <v>41.192281322140332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49.966151000350528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3.887142857142857</v>
      </c>
      <c r="BD42" s="12">
        <f>IF('Données projet'!$A$88&gt;35,BD41+BC42-BL41,IF(A42&lt;'Données projet'!$A$88,$BA$205^A42,IF(A42='Données projet'!$A$88,'Données projet'!$B$88,BD41+BC42-BL41)))</f>
        <v>151.59857142857152</v>
      </c>
      <c r="BE42" s="13">
        <f>BD42*VLOOKUP('Données projet'!$B$11,Paramètres!$A$1:$I$89,3,0)*VLOOKUP('Données projet'!$B$11,Paramètres!$A$1:$I$89,5,0)</f>
        <v>137.16638742857151</v>
      </c>
      <c r="BF42" s="13">
        <f t="shared" si="37"/>
        <v>35.647094153273272</v>
      </c>
      <c r="BG42" s="20">
        <f t="shared" si="7"/>
        <v>300.98348042171295</v>
      </c>
      <c r="BH42" s="59">
        <f t="shared" si="8"/>
        <v>594.31681375504627</v>
      </c>
      <c r="BI42" s="59">
        <f ca="1">AVERAGE(OFFSET($BH$3,0,0,'Données projet'!$E$11+1,1))-AVERAGE(OFFSET($H$3,0,0,'Données projet'!$E$11+1,1))</f>
        <v>581.88778927327667</v>
      </c>
      <c r="BJ42" s="59">
        <f t="shared" si="38"/>
        <v>269.67340993773422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10.212499999999999</v>
      </c>
      <c r="N43" s="13">
        <f>IF('Données projet'!$A$36&gt;35,N42+M43-V42,IF(A43&lt;'Données projet'!$A$36,$K$205^A43,IF(A43='Données projet'!$A$36,'Données projet'!$B$36,N42+M43-V42)))</f>
        <v>215.77500000000006</v>
      </c>
      <c r="O43" s="13">
        <f>N43*VLOOKUP('Données projet'!$B$9,Paramètres!$A$1:$I$89,3,0)*VLOOKUP('Données projet'!$B$9,Paramètres!$A$1:$I$89,5,0)</f>
        <v>188.50104000000007</v>
      </c>
      <c r="P43" s="13">
        <f t="shared" si="33"/>
        <v>47.208401465736486</v>
      </c>
      <c r="Q43" s="20">
        <f t="shared" si="53"/>
        <v>410.52727721949122</v>
      </c>
      <c r="R43" s="59">
        <f t="shared" si="0"/>
        <v>703.86061055282448</v>
      </c>
      <c r="S43" s="59">
        <f ca="1">AVERAGE(OFFSET($R$3,0,0,'Données projet'!$E$9+1,1))-AVERAGE(OFFSET($H$3,0,0,'Données projet'!$E$9+1,1))</f>
        <v>413.25558401068383</v>
      </c>
      <c r="T43" s="59">
        <f t="shared" si="34"/>
        <v>289.56516326172863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5.1107693251486408</v>
      </c>
      <c r="AA43" s="21">
        <f>EXP(-LN(2)/25)*AA42+(1-EXP(-LN(2)/25))/(LN(2)/25)*Calculateur!V43*Calculateur!X43*VLOOKUP('Données projet'!$B$9,Paramètres!$A$1:$I$89,3,0)*0.475*44/12</f>
        <v>5.6580800113824772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10.768849336531119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18.811538461538461</v>
      </c>
      <c r="AI43" s="13">
        <f>IF('Données projet'!$A$62&gt;35,AI42+AH43-AQ42,IF(A43&lt;'Données projet'!$A$62,$AF$205^A43,IF(A43='Données projet'!$A$62,'Données projet'!$B$62,AI42+AH43-AQ42)))</f>
        <v>409.83230769230784</v>
      </c>
      <c r="AJ43" s="13">
        <f>AI43*VLOOKUP('Données projet'!$B$10,Paramètres!$A$1:$I$89,3,0)*VLOOKUP('Données projet'!$B$10,Paramètres!$A$1:$I$89,5,0)</f>
        <v>245.07972000000012</v>
      </c>
      <c r="AK43" s="13">
        <f t="shared" si="35"/>
        <v>59.531121170362454</v>
      </c>
      <c r="AL43" s="20">
        <f t="shared" si="4"/>
        <v>530.53054837171476</v>
      </c>
      <c r="AM43" s="59">
        <f t="shared" si="5"/>
        <v>823.86388170504802</v>
      </c>
      <c r="AN43" s="59">
        <f ca="1">AVERAGE(OFFSET($AM$3,0,0,'Données projet'!$E$10+1,1))-AVERAGE(OFFSET($H$3,0,0,'Données projet'!$E$10+1,1))</f>
        <v>287.52077437571728</v>
      </c>
      <c r="AO43" s="59">
        <f t="shared" si="36"/>
        <v>420.95891230839874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8.6018194453525805</v>
      </c>
      <c r="AV43" s="21">
        <f>EXP(-LN(2)/25)*AV42+(1-EXP(-LN(2)/25))/(LN(2)/25)*Calculateur!AQ43*Calculateur!AS43*VLOOKUP('Données projet'!$B$10,Paramètres!$A$1:$I$89,3,0)*0.475*44/12</f>
        <v>40.065876223178478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48.66769566853106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3.887142857142857</v>
      </c>
      <c r="BD43" s="12">
        <f>IF('Données projet'!$A$88&gt;35,BD42+BC43-BL42,IF(A43&lt;'Données projet'!$A$88,$BA$205^A43,IF(A43='Données projet'!$A$88,'Données projet'!$B$88,BD42+BC43-BL42)))</f>
        <v>155.48571428571438</v>
      </c>
      <c r="BE43" s="13">
        <f>BD43*VLOOKUP('Données projet'!$B$11,Paramètres!$A$1:$I$89,3,0)*VLOOKUP('Données projet'!$B$11,Paramètres!$A$1:$I$89,5,0)</f>
        <v>140.68347428571437</v>
      </c>
      <c r="BF43" s="13">
        <f t="shared" si="37"/>
        <v>36.453535449340755</v>
      </c>
      <c r="BG43" s="20">
        <f t="shared" si="7"/>
        <v>308.51362528855435</v>
      </c>
      <c r="BH43" s="59">
        <f t="shared" si="8"/>
        <v>601.84695862188767</v>
      </c>
      <c r="BI43" s="59">
        <f ca="1">AVERAGE(OFFSET($BH$3,0,0,'Données projet'!$E$11+1,1))-AVERAGE(OFFSET($H$3,0,0,'Données projet'!$E$11+1,1))</f>
        <v>581.88778927327667</v>
      </c>
      <c r="BJ43" s="59">
        <f t="shared" si="38"/>
        <v>269.67340993773422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10.212499999999999</v>
      </c>
      <c r="N44" s="13">
        <f>IF('Données projet'!$A$36&gt;35,N43+M44-V43,IF(A44&lt;'Données projet'!$A$36,$K$205^A44,IF(A44='Données projet'!$A$36,'Données projet'!$B$36,N43+M44-V43)))</f>
        <v>225.98750000000007</v>
      </c>
      <c r="O44" s="13">
        <f>N44*VLOOKUP('Données projet'!$B$9,Paramètres!$A$1:$I$89,3,0)*VLOOKUP('Données projet'!$B$9,Paramètres!$A$1:$I$89,5,0)</f>
        <v>197.4226800000001</v>
      </c>
      <c r="P44" s="13">
        <f t="shared" si="33"/>
        <v>49.177323933129124</v>
      </c>
      <c r="Q44" s="20">
        <f t="shared" si="53"/>
        <v>429.49500685020001</v>
      </c>
      <c r="R44" s="59">
        <f t="shared" si="0"/>
        <v>722.82834018353333</v>
      </c>
      <c r="S44" s="59">
        <f ca="1">AVERAGE(OFFSET($R$3,0,0,'Données projet'!$E$9+1,1))-AVERAGE(OFFSET($H$3,0,0,'Données projet'!$E$9+1,1))</f>
        <v>413.25558401068383</v>
      </c>
      <c r="T44" s="59">
        <f t="shared" si="34"/>
        <v>289.56516326172863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5.0105502559439605</v>
      </c>
      <c r="AA44" s="21">
        <f>EXP(-LN(2)/25)*AA43+(1-EXP(-LN(2)/25))/(LN(2)/25)*Calculateur!V44*Calculateur!X44*VLOOKUP('Données projet'!$B$9,Paramètres!$A$1:$I$89,3,0)*0.475*44/12</f>
        <v>5.5033595159257276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10.513909771869688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18.811538461538461</v>
      </c>
      <c r="AI44" s="13">
        <f>IF('Données projet'!$A$62&gt;35,AI43+AH44-AQ43,IF(A44&lt;'Données projet'!$A$62,$AF$205^A44,IF(A44='Données projet'!$A$62,'Données projet'!$B$62,AI43+AH44-AQ43)))</f>
        <v>428.64384615384631</v>
      </c>
      <c r="AJ44" s="13">
        <f>AI44*VLOOKUP('Données projet'!$B$10,Paramètres!$A$1:$I$89,3,0)*VLOOKUP('Données projet'!$B$10,Paramètres!$A$1:$I$89,5,0)</f>
        <v>256.32902000000013</v>
      </c>
      <c r="AK44" s="13">
        <f t="shared" si="35"/>
        <v>61.939226952630833</v>
      </c>
      <c r="AL44" s="20">
        <f t="shared" si="4"/>
        <v>554.31719677583226</v>
      </c>
      <c r="AM44" s="59">
        <f t="shared" si="5"/>
        <v>847.65053010916563</v>
      </c>
      <c r="AN44" s="59">
        <f ca="1">AVERAGE(OFFSET($AM$3,0,0,'Données projet'!$E$10+1,1))-AVERAGE(OFFSET($H$3,0,0,'Données projet'!$E$10+1,1))</f>
        <v>287.52077437571728</v>
      </c>
      <c r="AO44" s="59">
        <f t="shared" si="36"/>
        <v>420.95891230839874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8.4331430126210201</v>
      </c>
      <c r="AV44" s="21">
        <f>EXP(-LN(2)/25)*AV43+(1-EXP(-LN(2)/25))/(LN(2)/25)*Calculateur!AQ44*Calculateur!AS44*VLOOKUP('Données projet'!$B$10,Paramètres!$A$1:$I$89,3,0)*0.475*44/12</f>
        <v>38.970272730882805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47.403415743503828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3.887142857142857</v>
      </c>
      <c r="BD44" s="12">
        <f>IF('Données projet'!$A$88&gt;35,BD43+BC44-BL43,IF(A44&lt;'Données projet'!$A$88,$BA$205^A44,IF(A44='Données projet'!$A$88,'Données projet'!$B$88,BD43+BC44-BL43)))</f>
        <v>159.37285714285724</v>
      </c>
      <c r="BE44" s="13">
        <f>BD44*VLOOKUP('Données projet'!$B$11,Paramètres!$A$1:$I$89,3,0)*VLOOKUP('Données projet'!$B$11,Paramètres!$A$1:$I$89,5,0)</f>
        <v>144.20056114285723</v>
      </c>
      <c r="BF44" s="13">
        <f t="shared" si="37"/>
        <v>37.257633154444321</v>
      </c>
      <c r="BG44" s="20">
        <f t="shared" si="7"/>
        <v>316.03968840113345</v>
      </c>
      <c r="BH44" s="59">
        <f t="shared" si="8"/>
        <v>609.37302173446676</v>
      </c>
      <c r="BI44" s="59">
        <f ca="1">AVERAGE(OFFSET($BH$3,0,0,'Données projet'!$E$11+1,1))-AVERAGE(OFFSET($H$3,0,0,'Données projet'!$E$11+1,1))</f>
        <v>581.88778927327667</v>
      </c>
      <c r="BJ44" s="59">
        <f t="shared" si="38"/>
        <v>269.67340993773422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236.2</v>
      </c>
      <c r="L45" s="12">
        <f>VLOOKUP(A45,'Données projet'!$A$35:$I$55,9,0)</f>
        <v>10.212499999999999</v>
      </c>
      <c r="M45" s="12">
        <f t="array" ref="M45">INDEX(L:L,MIN(IF(ISNUMBER(L45:L241),ROW(L45:L241),"")))</f>
        <v>10.212499999999999</v>
      </c>
      <c r="N45" s="13">
        <f>IF('Données projet'!$A$36&gt;35,N44+M45-V44,IF(A45&lt;'Données projet'!$A$36,$K$205^A45,IF(A45='Données projet'!$A$36,'Données projet'!$B$36,N44+M45-V44)))</f>
        <v>236.20000000000007</v>
      </c>
      <c r="O45" s="13">
        <f>N45*VLOOKUP('Données projet'!$B$9,Paramètres!$A$1:$I$89,3,0)*VLOOKUP('Données projet'!$B$9,Paramètres!$A$1:$I$89,5,0)</f>
        <v>206.3443200000001</v>
      </c>
      <c r="P45" s="13">
        <f t="shared" si="33"/>
        <v>51.1359129912763</v>
      </c>
      <c r="Q45" s="20">
        <f t="shared" si="53"/>
        <v>448.44473912647305</v>
      </c>
      <c r="R45" s="59">
        <f t="shared" si="0"/>
        <v>741.77807245980637</v>
      </c>
      <c r="S45" s="59">
        <f ca="1">AVERAGE(OFFSET($R$3,0,0,'Données projet'!$E$9+1,1))-AVERAGE(OFFSET($H$3,0,0,'Données projet'!$E$9+1,1))</f>
        <v>413.25558401068383</v>
      </c>
      <c r="T45" s="59">
        <f t="shared" si="34"/>
        <v>289.56516326172863</v>
      </c>
      <c r="U45" s="15">
        <f>IF(ISNA(VLOOKUP(A45,'Données projet'!$A$35:$I$55,3,0)),0,VLOOKUP(A45,'Données projet'!$A$35:$I$55,3,0))</f>
        <v>3</v>
      </c>
      <c r="V45" s="15">
        <f>IF(ISNA(VLOOKUP(A45,'Données projet'!$A$35:$I$55,4,0)),0,VLOOKUP(A45,'Données projet'!$A$35:$I$55,4,0))</f>
        <v>47.2</v>
      </c>
      <c r="W45" s="16">
        <f>IF(ISNA(VLOOKUP(A45,'Données projet'!$A$35:$I$55,5,0)),0%,VLOOKUP(A45,'Données projet'!$A$35:$I$55,5,0)*VLOOKUP('Données projet'!$B$9,Paramètres!$A$1:$I$89,7,0))</f>
        <v>0.25800000000000001</v>
      </c>
      <c r="X45" s="16">
        <f>IF(ISNA(VLOOKUP(A45,'Données projet'!$A$35:$I$55,6,0)),0%,VLOOKUP(A45,'Données projet'!$A$35:$I$55,6,0)*VLOOKUP('Données projet'!$B$9,Paramètres!$A$1:$I$89,7,0))</f>
        <v>0.129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16.672678737102864</v>
      </c>
      <c r="AA45" s="21">
        <f>EXP(-LN(2)/25)*AA44+(1-EXP(-LN(2)/25))/(LN(2)/25)*Calculateur!V45*Calculateur!X45*VLOOKUP('Données projet'!$B$9,Paramètres!$A$1:$I$89,3,0)*0.475*44/12</f>
        <v>11.209908465209043</v>
      </c>
      <c r="AB45" s="21">
        <f>EXP(-LN(2)/2)*AB44+(1-EXP(-LN(2)/2))/(LN(2)/2)*V45*Y45*VLOOKUP('Données projet'!$B$9,Paramètres!$A$1:$I$89,3,0)*0.475*44/12</f>
        <v>0</v>
      </c>
      <c r="AC45" s="22">
        <f t="shared" si="3"/>
        <v>27.882587202311907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18.811538461538461</v>
      </c>
      <c r="AI45" s="13">
        <f>IF('Données projet'!$A$62&gt;35,AI44+AH45-AQ44,IF(A45&lt;'Données projet'!$A$62,$AF$205^A45,IF(A45='Données projet'!$A$62,'Données projet'!$B$62,AI44+AH45-AQ44)))</f>
        <v>447.45538461538479</v>
      </c>
      <c r="AJ45" s="13">
        <f>AI45*VLOOKUP('Données projet'!$B$10,Paramètres!$A$1:$I$89,3,0)*VLOOKUP('Données projet'!$B$10,Paramètres!$A$1:$I$89,5,0)</f>
        <v>267.57832000000013</v>
      </c>
      <c r="AK45" s="13">
        <f t="shared" si="35"/>
        <v>64.335058492109823</v>
      </c>
      <c r="AL45" s="20">
        <f t="shared" si="4"/>
        <v>578.08246754042477</v>
      </c>
      <c r="AM45" s="59">
        <f t="shared" si="5"/>
        <v>871.41580087375814</v>
      </c>
      <c r="AN45" s="59">
        <f ca="1">AVERAGE(OFFSET($AM$3,0,0,'Données projet'!$E$10+1,1))-AVERAGE(OFFSET($H$3,0,0,'Données projet'!$E$10+1,1))</f>
        <v>287.52077437571728</v>
      </c>
      <c r="AO45" s="59">
        <f t="shared" si="36"/>
        <v>420.95891230839874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8.2677742218528607</v>
      </c>
      <c r="AV45" s="21">
        <f>EXP(-LN(2)/25)*AV44+(1-EXP(-LN(2)/25))/(LN(2)/25)*Calculateur!AQ45*Calculateur!AS45*VLOOKUP('Données projet'!$B$10,Paramètres!$A$1:$I$89,3,0)*0.475*44/12</f>
        <v>37.904628573699242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46.172402795552102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163.26</v>
      </c>
      <c r="BB45" s="12">
        <f>VLOOKUP(A45,'Données projet'!$A$87:$I$107,9,0)</f>
        <v>3.887142857142857</v>
      </c>
      <c r="BC45" s="12">
        <f t="array" ref="BC45">INDEX(BB:BB,MIN(IF(ISNUMBER(BB45:BB241),ROW(BB45:BB241),"")))</f>
        <v>3.887142857142857</v>
      </c>
      <c r="BD45" s="12">
        <f>IF('Données projet'!$A$88&gt;35,BD44+BC45-BL44,IF(A45&lt;'Données projet'!$A$88,$BA$205^A45,IF(A45='Données projet'!$A$88,'Données projet'!$B$88,BD44+BC45-BL44)))</f>
        <v>163.2600000000001</v>
      </c>
      <c r="BE45" s="13">
        <f>BD45*VLOOKUP('Données projet'!$B$11,Paramètres!$A$1:$I$89,3,0)*VLOOKUP('Données projet'!$B$11,Paramètres!$A$1:$I$89,5,0)</f>
        <v>147.71764800000008</v>
      </c>
      <c r="BF45" s="13">
        <f t="shared" si="37"/>
        <v>38.059451005131997</v>
      </c>
      <c r="BG45" s="20">
        <f t="shared" si="7"/>
        <v>323.56178076727167</v>
      </c>
      <c r="BH45" s="59">
        <f t="shared" si="8"/>
        <v>616.89511410060504</v>
      </c>
      <c r="BI45" s="59">
        <f ca="1">AVERAGE(OFFSET($BH$3,0,0,'Données projet'!$E$11+1,1))-AVERAGE(OFFSET($H$3,0,0,'Données projet'!$E$11+1,1))</f>
        <v>581.88778927327667</v>
      </c>
      <c r="BJ45" s="59">
        <f t="shared" si="38"/>
        <v>269.67340993773422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43.21</v>
      </c>
      <c r="BM45" s="16">
        <f>IF(ISNA(VLOOKUP(A45,'Données projet'!$A$87:$I$107,5,0)),0%,VLOOKUP(A45,'Données projet'!$A$87:$I$107,5,0)*VLOOKUP('Données projet'!$B$11,Paramètres!$A$1:$I$89,7,0))</f>
        <v>0.129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5.575369807727423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5.575369807727423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13.587499999999999</v>
      </c>
      <c r="N46" s="13">
        <f>IF('Données projet'!$A$36&gt;35,N45+M46-V45,IF(A46&lt;'Données projet'!$A$36,$K$205^A46,IF(A46='Données projet'!$A$36,'Données projet'!$B$36,N45+M46-V45)))</f>
        <v>202.58750000000009</v>
      </c>
      <c r="O46" s="13">
        <f>N46*VLOOKUP('Données projet'!$B$9,Paramètres!$A$1:$I$89,3,0)*VLOOKUP('Données projet'!$B$9,Paramètres!$A$1:$I$89,5,0)</f>
        <v>176.9804400000001</v>
      </c>
      <c r="P46" s="13">
        <f t="shared" si="33"/>
        <v>44.649729676139316</v>
      </c>
      <c r="Q46" s="20">
        <f t="shared" si="53"/>
        <v>386.00587885260944</v>
      </c>
      <c r="R46" s="59">
        <f t="shared" si="0"/>
        <v>679.33921218594276</v>
      </c>
      <c r="S46" s="59">
        <f ca="1">AVERAGE(OFFSET($R$3,0,0,'Données projet'!$E$9+1,1))-AVERAGE(OFFSET($H$3,0,0,'Données projet'!$E$9+1,1))</f>
        <v>413.25558401068383</v>
      </c>
      <c r="T46" s="59">
        <f t="shared" si="34"/>
        <v>289.56516326172863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16.345737676398169</v>
      </c>
      <c r="AA46" s="21">
        <f>EXP(-LN(2)/25)*AA45+(1-EXP(-LN(2)/25))/(LN(2)/25)*Calculateur!V46*Calculateur!X46*VLOOKUP('Données projet'!$B$9,Paramètres!$A$1:$I$89,3,0)*0.475*44/12</f>
        <v>10.903372928724437</v>
      </c>
      <c r="AB46" s="21">
        <f>EXP(-LN(2)/2)*AB45+(1-EXP(-LN(2)/2))/(LN(2)/2)*V46*Y46*VLOOKUP('Données projet'!$B$9,Paramètres!$A$1:$I$89,3,0)*0.475*44/12</f>
        <v>0</v>
      </c>
      <c r="AC46" s="22">
        <f t="shared" si="3"/>
        <v>27.249110605122606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18.811538461538461</v>
      </c>
      <c r="AI46" s="13">
        <f>IF('Données projet'!$A$62&gt;35,AI45+AH46-AQ45,IF(A46&lt;'Données projet'!$A$62,$AF$205^A46,IF(A46='Données projet'!$A$62,'Données projet'!$B$62,AI45+AH46-AQ45)))</f>
        <v>466.26692307692326</v>
      </c>
      <c r="AJ46" s="13">
        <f>AI46*VLOOKUP('Données projet'!$B$10,Paramètres!$A$1:$I$89,3,0)*VLOOKUP('Données projet'!$B$10,Paramètres!$A$1:$I$89,5,0)</f>
        <v>278.82762000000014</v>
      </c>
      <c r="AK46" s="13">
        <f t="shared" si="35"/>
        <v>66.719190815445643</v>
      </c>
      <c r="AL46" s="20">
        <f t="shared" si="4"/>
        <v>601.82736217023478</v>
      </c>
      <c r="AM46" s="59">
        <f t="shared" si="5"/>
        <v>895.16069550356815</v>
      </c>
      <c r="AN46" s="59">
        <f ca="1">AVERAGE(OFFSET($AM$3,0,0,'Données projet'!$E$10+1,1))-AVERAGE(OFFSET($H$3,0,0,'Données projet'!$E$10+1,1))</f>
        <v>287.52077437571728</v>
      </c>
      <c r="AO46" s="59">
        <f t="shared" si="36"/>
        <v>420.95891230839874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8.1056482122066615</v>
      </c>
      <c r="AV46" s="21">
        <f>EXP(-LN(2)/25)*AV45+(1-EXP(-LN(2)/25))/(LN(2)/25)*Calculateur!AQ46*Calculateur!AS46*VLOOKUP('Données projet'!$B$10,Paramètres!$A$1:$I$89,3,0)*0.475*44/12</f>
        <v>36.868124512033653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44.973772724240312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9.3712500000000034</v>
      </c>
      <c r="BD46" s="12">
        <f>IF('Données projet'!$A$88&gt;35,BD45+BC46-BL45,IF(A46&lt;'Données projet'!$A$88,$BA$205^A46,IF(A46='Données projet'!$A$88,'Données projet'!$B$88,BD45+BC46-BL45)))</f>
        <v>129.4212500000001</v>
      </c>
      <c r="BE46" s="13">
        <f>BD46*VLOOKUP('Données projet'!$B$11,Paramètres!$A$1:$I$89,3,0)*VLOOKUP('Données projet'!$B$11,Paramètres!$A$1:$I$89,5,0)</f>
        <v>117.10034700000008</v>
      </c>
      <c r="BF46" s="13">
        <f t="shared" si="37"/>
        <v>30.997743089027207</v>
      </c>
      <c r="BG46" s="20">
        <f t="shared" si="7"/>
        <v>257.93750690505584</v>
      </c>
      <c r="BH46" s="59">
        <f t="shared" si="8"/>
        <v>551.27084023838916</v>
      </c>
      <c r="BI46" s="59">
        <f ca="1">AVERAGE(OFFSET($BH$3,0,0,'Données projet'!$E$11+1,1))-AVERAGE(OFFSET($H$3,0,0,'Données projet'!$E$11+1,1))</f>
        <v>581.88778927327667</v>
      </c>
      <c r="BJ46" s="59">
        <f t="shared" si="38"/>
        <v>269.67340993773422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5.4660402064376861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5.4660402064376861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13.587499999999999</v>
      </c>
      <c r="N47" s="13">
        <f>IF('Données projet'!$A$36&gt;35,N46+M47-V46,IF(A47&lt;'Données projet'!$A$36,$K$205^A47,IF(A47='Données projet'!$A$36,'Données projet'!$B$36,N46+M47-V46)))</f>
        <v>216.1750000000001</v>
      </c>
      <c r="O47" s="13">
        <f>N47*VLOOKUP('Données projet'!$B$9,Paramètres!$A$1:$I$89,3,0)*VLOOKUP('Données projet'!$B$9,Paramètres!$A$1:$I$89,5,0)</f>
        <v>188.85048000000012</v>
      </c>
      <c r="P47" s="13">
        <f t="shared" si="33"/>
        <v>47.285720610544388</v>
      </c>
      <c r="Q47" s="20">
        <f t="shared" si="53"/>
        <v>411.2705493966983</v>
      </c>
      <c r="R47" s="59">
        <f t="shared" si="0"/>
        <v>704.60388273003161</v>
      </c>
      <c r="S47" s="59">
        <f ca="1">AVERAGE(OFFSET($R$3,0,0,'Données projet'!$E$9+1,1))-AVERAGE(OFFSET($H$3,0,0,'Données projet'!$E$9+1,1))</f>
        <v>413.25558401068383</v>
      </c>
      <c r="T47" s="59">
        <f t="shared" si="34"/>
        <v>289.56516326172863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16.025207730479536</v>
      </c>
      <c r="AA47" s="21">
        <f>EXP(-LN(2)/25)*AA46+(1-EXP(-LN(2)/25))/(LN(2)/25)*Calculateur!V47*Calculateur!X47*VLOOKUP('Données projet'!$B$9,Paramètres!$A$1:$I$89,3,0)*0.475*44/12</f>
        <v>10.605219622605006</v>
      </c>
      <c r="AB47" s="21">
        <f>EXP(-LN(2)/2)*AB46+(1-EXP(-LN(2)/2))/(LN(2)/2)*V47*Y47*VLOOKUP('Données projet'!$B$9,Paramètres!$A$1:$I$89,3,0)*0.475*44/12</f>
        <v>0</v>
      </c>
      <c r="AC47" s="22">
        <f t="shared" si="3"/>
        <v>26.630427353084542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18.811538461538461</v>
      </c>
      <c r="AI47" s="13">
        <f>IF('Données projet'!$A$62&gt;35,AI46+AH47-AQ46,IF(A47&lt;'Données projet'!$A$62,$AF$205^A47,IF(A47='Données projet'!$A$62,'Données projet'!$B$62,AI46+AH47-AQ46)))</f>
        <v>485.07846153846174</v>
      </c>
      <c r="AJ47" s="13">
        <f>AI47*VLOOKUP('Données projet'!$B$10,Paramètres!$A$1:$I$89,3,0)*VLOOKUP('Données projet'!$B$10,Paramètres!$A$1:$I$89,5,0)</f>
        <v>290.07692000000014</v>
      </c>
      <c r="AK47" s="13">
        <f t="shared" si="35"/>
        <v>69.092149924334223</v>
      </c>
      <c r="AL47" s="20">
        <f t="shared" si="4"/>
        <v>625.55279678488239</v>
      </c>
      <c r="AM47" s="59">
        <f t="shared" si="5"/>
        <v>918.88613011821576</v>
      </c>
      <c r="AN47" s="59">
        <f ca="1">AVERAGE(OFFSET($AM$3,0,0,'Données projet'!$E$10+1,1))-AVERAGE(OFFSET($H$3,0,0,'Données projet'!$E$10+1,1))</f>
        <v>287.52077437571728</v>
      </c>
      <c r="AO47" s="59">
        <f t="shared" si="36"/>
        <v>420.95891230839874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7.9467013947225231</v>
      </c>
      <c r="AV47" s="21">
        <f>EXP(-LN(2)/25)*AV46+(1-EXP(-LN(2)/25))/(LN(2)/25)*Calculateur!AQ47*Calculateur!AS47*VLOOKUP('Données projet'!$B$10,Paramètres!$A$1:$I$89,3,0)*0.475*44/12</f>
        <v>35.85996370844169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43.806665103164214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9.3712500000000034</v>
      </c>
      <c r="BD47" s="12">
        <f>IF('Données projet'!$A$88&gt;35,BD46+BC47-BL46,IF(A47&lt;'Données projet'!$A$88,$BA$205^A47,IF(A47='Données projet'!$A$88,'Données projet'!$B$88,BD46+BC47-BL46)))</f>
        <v>138.7925000000001</v>
      </c>
      <c r="BE47" s="13">
        <f>BD47*VLOOKUP('Données projet'!$B$11,Paramètres!$A$1:$I$89,3,0)*VLOOKUP('Données projet'!$B$11,Paramètres!$A$1:$I$89,5,0)</f>
        <v>125.5794540000001</v>
      </c>
      <c r="BF47" s="13">
        <f t="shared" si="37"/>
        <v>32.97285338000448</v>
      </c>
      <c r="BG47" s="20">
        <f t="shared" si="7"/>
        <v>276.14526868684135</v>
      </c>
      <c r="BH47" s="59">
        <f t="shared" si="8"/>
        <v>569.47860202017466</v>
      </c>
      <c r="BI47" s="59">
        <f ca="1">AVERAGE(OFFSET($BH$3,0,0,'Données projet'!$E$11+1,1))-AVERAGE(OFFSET($H$3,0,0,'Données projet'!$E$11+1,1))</f>
        <v>581.88778927327667</v>
      </c>
      <c r="BJ47" s="59">
        <f t="shared" si="38"/>
        <v>269.67340993773422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5.3588544919447685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5.3588544919447685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13.587499999999999</v>
      </c>
      <c r="N48" s="13">
        <f>IF('Données projet'!$A$36&gt;35,N47+M48-V47,IF(A48&lt;'Données projet'!$A$36,$K$205^A48,IF(A48='Données projet'!$A$36,'Données projet'!$B$36,N47+M48-V47)))</f>
        <v>229.7625000000001</v>
      </c>
      <c r="O48" s="13">
        <f>N48*VLOOKUP('Données projet'!$B$9,Paramètres!$A$1:$I$89,3,0)*VLOOKUP('Données projet'!$B$9,Paramètres!$A$1:$I$89,5,0)</f>
        <v>200.72052000000011</v>
      </c>
      <c r="P48" s="13">
        <f t="shared" si="33"/>
        <v>49.902483056701961</v>
      </c>
      <c r="Q48" s="20">
        <f t="shared" si="53"/>
        <v>436.50173032375602</v>
      </c>
      <c r="R48" s="59">
        <f t="shared" si="0"/>
        <v>729.83506365708934</v>
      </c>
      <c r="S48" s="59">
        <f ca="1">AVERAGE(OFFSET($R$3,0,0,'Données projet'!$E$9+1,1))-AVERAGE(OFFSET($H$3,0,0,'Données projet'!$E$9+1,1))</f>
        <v>413.25558401068383</v>
      </c>
      <c r="T48" s="59">
        <f t="shared" si="34"/>
        <v>289.56516326172863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15.710963181296405</v>
      </c>
      <c r="AA48" s="21">
        <f>EXP(-LN(2)/25)*AA47+(1-EXP(-LN(2)/25))/(LN(2)/25)*Calculateur!V48*Calculateur!X48*VLOOKUP('Données projet'!$B$9,Paramètres!$A$1:$I$89,3,0)*0.475*44/12</f>
        <v>10.315219334320611</v>
      </c>
      <c r="AB48" s="21">
        <f>EXP(-LN(2)/2)*AB47+(1-EXP(-LN(2)/2))/(LN(2)/2)*V48*Y48*VLOOKUP('Données projet'!$B$9,Paramètres!$A$1:$I$89,3,0)*0.475*44/12</f>
        <v>0</v>
      </c>
      <c r="AC48" s="22">
        <f t="shared" si="3"/>
        <v>26.026182515617016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503.89</v>
      </c>
      <c r="AG48" s="12">
        <f>VLOOKUP(A48,'Données projet'!$A$61:$I$81,9,0)</f>
        <v>18.811538461538461</v>
      </c>
      <c r="AH48" s="12">
        <f t="array" ref="AH48">INDEX(AG:AG,MIN(IF(ISNUMBER(AG48:AG244),ROW(AG48:AG244),"")))</f>
        <v>18.811538461538461</v>
      </c>
      <c r="AI48" s="13">
        <f>IF('Données projet'!$A$62&gt;35,AI47+AH48-AQ47,IF(A48&lt;'Données projet'!$A$62,$AF$205^A48,IF(A48='Données projet'!$A$62,'Données projet'!$B$62,AI47+AH48-AQ47)))</f>
        <v>503.89000000000021</v>
      </c>
      <c r="AJ48" s="13">
        <f>AI48*VLOOKUP('Données projet'!$B$10,Paramètres!$A$1:$I$89,3,0)*VLOOKUP('Données projet'!$B$10,Paramètres!$A$1:$I$89,5,0)</f>
        <v>301.32622000000015</v>
      </c>
      <c r="AK48" s="13">
        <f t="shared" si="35"/>
        <v>71.45441871320989</v>
      </c>
      <c r="AL48" s="20">
        <f t="shared" si="4"/>
        <v>649.25961242550738</v>
      </c>
      <c r="AM48" s="59">
        <f t="shared" si="5"/>
        <v>942.59294575884064</v>
      </c>
      <c r="AN48" s="59">
        <f ca="1">AVERAGE(OFFSET($AM$3,0,0,'Données projet'!$E$10+1,1))-AVERAGE(OFFSET($H$3,0,0,'Données projet'!$E$10+1,1))</f>
        <v>287.52077437571728</v>
      </c>
      <c r="AO48" s="59">
        <f t="shared" si="36"/>
        <v>420.95891230839874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503.89</v>
      </c>
      <c r="AR48" s="16">
        <f>IF(ISNA(VLOOKUP(A48,'Données projet'!$A$61:$I$81,5,0)),0%,VLOOKUP(A48,'Données projet'!$A$61:$I$81,5,0)*VLOOKUP('Données projet'!$B$10,Paramètres!$A$1:$I$89,7,0))</f>
        <v>0.13500000000000001</v>
      </c>
      <c r="AS48" s="16">
        <f>IF(ISNA(VLOOKUP(A48,'Données projet'!$A$61:$I$81,6,0)),0%,VLOOKUP(A48,'Données projet'!$A$61:$I$81,6,0)*VLOOKUP('Données projet'!$B$10,Paramètres!$A$1:$I$89,7,0))</f>
        <v>0.22500000000000001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61.754239574815209</v>
      </c>
      <c r="AV48" s="21">
        <f>EXP(-LN(2)/25)*AV47+(1-EXP(-LN(2)/25))/(LN(2)/25)*Calculateur!AQ48*Calculateur!AS48*VLOOKUP('Données projet'!$B$10,Paramètres!$A$1:$I$89,3,0)*0.475*44/12</f>
        <v>124.46419412401119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186.2184336988264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9.3712500000000034</v>
      </c>
      <c r="BD48" s="12">
        <f>IF('Données projet'!$A$88&gt;35,BD47+BC48-BL47,IF(A48&lt;'Données projet'!$A$88,$BA$205^A48,IF(A48='Données projet'!$A$88,'Données projet'!$B$88,BD47+BC48-BL47)))</f>
        <v>148.16375000000011</v>
      </c>
      <c r="BE48" s="13">
        <f>BD48*VLOOKUP('Données projet'!$B$11,Paramètres!$A$1:$I$89,3,0)*VLOOKUP('Données projet'!$B$11,Paramètres!$A$1:$I$89,5,0)</f>
        <v>134.05856100000008</v>
      </c>
      <c r="BF48" s="13">
        <f t="shared" si="37"/>
        <v>34.932489097291651</v>
      </c>
      <c r="BG48" s="20">
        <f t="shared" si="7"/>
        <v>294.3260789194498</v>
      </c>
      <c r="BH48" s="59">
        <f t="shared" si="8"/>
        <v>587.65941225278311</v>
      </c>
      <c r="BI48" s="59">
        <f ca="1">AVERAGE(OFFSET($BH$3,0,0,'Données projet'!$E$11+1,1))-AVERAGE(OFFSET($H$3,0,0,'Données projet'!$E$11+1,1))</f>
        <v>581.88778927327667</v>
      </c>
      <c r="BJ48" s="59">
        <f t="shared" si="38"/>
        <v>269.67340993773422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5.2537706239362265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5.2537706239362265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13.587499999999999</v>
      </c>
      <c r="N49" s="13">
        <f>IF('Données projet'!$A$36&gt;35,N48+M49-V48,IF(A49&lt;'Données projet'!$A$36,$K$205^A49,IF(A49='Données projet'!$A$36,'Données projet'!$B$36,N48+M49-V48)))</f>
        <v>243.35000000000011</v>
      </c>
      <c r="O49" s="13">
        <f>N49*VLOOKUP('Données projet'!$B$9,Paramètres!$A$1:$I$89,3,0)*VLOOKUP('Données projet'!$B$9,Paramètres!$A$1:$I$89,5,0)</f>
        <v>212.59056000000012</v>
      </c>
      <c r="P49" s="13">
        <f t="shared" si="33"/>
        <v>52.501283653296447</v>
      </c>
      <c r="Q49" s="20">
        <f t="shared" si="53"/>
        <v>461.70162769615814</v>
      </c>
      <c r="R49" s="59">
        <f t="shared" si="0"/>
        <v>755.03496102949146</v>
      </c>
      <c r="S49" s="59">
        <f ca="1">AVERAGE(OFFSET($R$3,0,0,'Données projet'!$E$9+1,1))-AVERAGE(OFFSET($H$3,0,0,'Données projet'!$E$9+1,1))</f>
        <v>413.25558401068383</v>
      </c>
      <c r="T49" s="59">
        <f t="shared" si="34"/>
        <v>289.56516326172863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15.402880776052505</v>
      </c>
      <c r="AA49" s="21">
        <f>EXP(-LN(2)/25)*AA48+(1-EXP(-LN(2)/25))/(LN(2)/25)*Calculateur!V49*Calculateur!X49*VLOOKUP('Données projet'!$B$9,Paramètres!$A$1:$I$89,3,0)*0.475*44/12</f>
        <v>10.033149119169805</v>
      </c>
      <c r="AB49" s="21">
        <f>EXP(-LN(2)/2)*AB48+(1-EXP(-LN(2)/2))/(LN(2)/2)*V49*Y49*VLOOKUP('Données projet'!$B$9,Paramètres!$A$1:$I$89,3,0)*0.475*44/12</f>
        <v>0</v>
      </c>
      <c r="AC49" s="22">
        <f t="shared" si="3"/>
        <v>25.436029895222312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2.2737367544323206E-13</v>
      </c>
      <c r="AJ49" s="13">
        <f>AI49*VLOOKUP('Données projet'!$B$10,Paramètres!$A$1:$I$89,3,0)*VLOOKUP('Données projet'!$B$10,Paramètres!$A$1:$I$89,5,0)</f>
        <v>1.3596945791505279E-13</v>
      </c>
      <c r="AK49" s="13">
        <f t="shared" si="35"/>
        <v>1.9708830566360721E-12</v>
      </c>
      <c r="AL49" s="20">
        <f t="shared" si="4"/>
        <v>3.669434796176543E-12</v>
      </c>
      <c r="AM49" s="59">
        <f t="shared" si="5"/>
        <v>293.33333333333701</v>
      </c>
      <c r="AN49" s="59">
        <f ca="1">AVERAGE(OFFSET($AM$3,0,0,'Données projet'!$E$10+1,1))-AVERAGE(OFFSET($H$3,0,0,'Données projet'!$E$10+1,1))</f>
        <v>287.52077437571728</v>
      </c>
      <c r="AO49" s="59">
        <f t="shared" si="36"/>
        <v>420.95891230839874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60.543276603119978</v>
      </c>
      <c r="AV49" s="21">
        <f>EXP(-LN(2)/25)*AV48+(1-EXP(-LN(2)/25))/(LN(2)/25)*Calculateur!AQ49*Calculateur!AS49*VLOOKUP('Données projet'!$B$10,Paramètres!$A$1:$I$89,3,0)*0.475*44/12</f>
        <v>121.06071419040259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181.60399079352257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9.3712500000000034</v>
      </c>
      <c r="BD49" s="12">
        <f>IF('Données projet'!$A$88&gt;35,BD48+BC49-BL48,IF(A49&lt;'Données projet'!$A$88,$BA$205^A49,IF(A49='Données projet'!$A$88,'Données projet'!$B$88,BD48+BC49-BL48)))</f>
        <v>157.53500000000011</v>
      </c>
      <c r="BE49" s="13">
        <f>BD49*VLOOKUP('Données projet'!$B$11,Paramètres!$A$1:$I$89,3,0)*VLOOKUP('Données projet'!$B$11,Paramètres!$A$1:$I$89,5,0)</f>
        <v>142.53766800000008</v>
      </c>
      <c r="BF49" s="13">
        <f t="shared" si="37"/>
        <v>36.877740410345027</v>
      </c>
      <c r="BG49" s="20">
        <f t="shared" si="7"/>
        <v>312.48183631468436</v>
      </c>
      <c r="BH49" s="59">
        <f t="shared" si="8"/>
        <v>605.81516964801767</v>
      </c>
      <c r="BI49" s="59">
        <f ca="1">AVERAGE(OFFSET($BH$3,0,0,'Données projet'!$E$11+1,1))-AVERAGE(OFFSET($H$3,0,0,'Données projet'!$E$11+1,1))</f>
        <v>581.88778927327667</v>
      </c>
      <c r="BJ49" s="59">
        <f t="shared" si="38"/>
        <v>269.67340993773422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5.1507473864845013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5.1507473864845013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13.587499999999999</v>
      </c>
      <c r="N50" s="13">
        <f>IF('Données projet'!$A$36&gt;35,N49+M50-V49,IF(A50&lt;'Données projet'!$A$36,$K$205^A50,IF(A50='Données projet'!$A$36,'Données projet'!$B$36,N49+M50-V49)))</f>
        <v>256.93750000000011</v>
      </c>
      <c r="O50" s="13">
        <f>N50*VLOOKUP('Données projet'!$B$9,Paramètres!$A$1:$I$89,3,0)*VLOOKUP('Données projet'!$B$9,Paramètres!$A$1:$I$89,5,0)</f>
        <v>224.46060000000011</v>
      </c>
      <c r="P50" s="13">
        <f t="shared" si="33"/>
        <v>55.083239604126604</v>
      </c>
      <c r="Q50" s="20">
        <f t="shared" si="53"/>
        <v>486.87218731052076</v>
      </c>
      <c r="R50" s="59">
        <f t="shared" si="0"/>
        <v>780.20552064385402</v>
      </c>
      <c r="S50" s="59">
        <f ca="1">AVERAGE(OFFSET($R$3,0,0,'Données projet'!$E$9+1,1))-AVERAGE(OFFSET($H$3,0,0,'Données projet'!$E$9+1,1))</f>
        <v>413.25558401068383</v>
      </c>
      <c r="T50" s="59">
        <f t="shared" si="34"/>
        <v>289.56516326172863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15.100839678863727</v>
      </c>
      <c r="AA50" s="21">
        <f>EXP(-LN(2)/25)*AA49+(1-EXP(-LN(2)/25))/(LN(2)/25)*Calculateur!V50*Calculateur!X50*VLOOKUP('Données projet'!$B$9,Paramètres!$A$1:$I$89,3,0)*0.475*44/12</f>
        <v>9.7587921288857249</v>
      </c>
      <c r="AB50" s="21">
        <f>EXP(-LN(2)/2)*AB49+(1-EXP(-LN(2)/2))/(LN(2)/2)*V50*Y50*VLOOKUP('Données projet'!$B$9,Paramètres!$A$1:$I$89,3,0)*0.475*44/12</f>
        <v>0</v>
      </c>
      <c r="AC50" s="22">
        <f t="shared" si="3"/>
        <v>24.859631807749452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2.2737367544323206E-13</v>
      </c>
      <c r="AJ50" s="13">
        <f>AI50*VLOOKUP('Données projet'!$B$10,Paramètres!$A$1:$I$89,3,0)*VLOOKUP('Données projet'!$B$10,Paramètres!$A$1:$I$89,5,0)</f>
        <v>1.3596945791505279E-13</v>
      </c>
      <c r="AK50" s="13">
        <f t="shared" si="35"/>
        <v>1.9708830566360721E-12</v>
      </c>
      <c r="AL50" s="20">
        <f t="shared" si="4"/>
        <v>3.669434796176543E-12</v>
      </c>
      <c r="AM50" s="59">
        <f t="shared" si="5"/>
        <v>293.33333333333701</v>
      </c>
      <c r="AN50" s="59">
        <f ca="1">AVERAGE(OFFSET($AM$3,0,0,'Données projet'!$E$10+1,1))-AVERAGE(OFFSET($H$3,0,0,'Données projet'!$E$10+1,1))</f>
        <v>287.52077437571728</v>
      </c>
      <c r="AO50" s="59">
        <f t="shared" si="36"/>
        <v>420.95891230839874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59.356059876685208</v>
      </c>
      <c r="AV50" s="21">
        <f>EXP(-LN(2)/25)*AV49+(1-EXP(-LN(2)/25))/(LN(2)/25)*Calculateur!AQ50*Calculateur!AS50*VLOOKUP('Données projet'!$B$10,Paramètres!$A$1:$I$89,3,0)*0.475*44/12</f>
        <v>117.75030259455976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177.10636247124495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9.3712500000000034</v>
      </c>
      <c r="BD50" s="12">
        <f>IF('Données projet'!$A$88&gt;35,BD49+BC50-BL49,IF(A50&lt;'Données projet'!$A$88,$BA$205^A50,IF(A50='Données projet'!$A$88,'Données projet'!$B$88,BD49+BC50-BL49)))</f>
        <v>166.90625000000011</v>
      </c>
      <c r="BE50" s="13">
        <f>BD50*VLOOKUP('Données projet'!$B$11,Paramètres!$A$1:$I$89,3,0)*VLOOKUP('Données projet'!$B$11,Paramètres!$A$1:$I$89,5,0)</f>
        <v>151.01677500000011</v>
      </c>
      <c r="BF50" s="13">
        <f t="shared" si="37"/>
        <v>38.809560459830927</v>
      </c>
      <c r="BG50" s="20">
        <f t="shared" si="7"/>
        <v>330.61420092587235</v>
      </c>
      <c r="BH50" s="59">
        <f t="shared" si="8"/>
        <v>623.94753425920567</v>
      </c>
      <c r="BI50" s="59">
        <f ca="1">AVERAGE(OFFSET($BH$3,0,0,'Données projet'!$E$11+1,1))-AVERAGE(OFFSET($H$3,0,0,'Données projet'!$E$11+1,1))</f>
        <v>581.88778927327667</v>
      </c>
      <c r="BJ50" s="59">
        <f t="shared" si="38"/>
        <v>269.67340993773422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5.0497443718812338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5.0497443718812338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13.587499999999999</v>
      </c>
      <c r="N51" s="13">
        <f>IF('Données projet'!$A$36&gt;35,N50+M51-V50,IF(A51&lt;'Données projet'!$A$36,$K$205^A51,IF(A51='Données projet'!$A$36,'Données projet'!$B$36,N50+M51-V50)))</f>
        <v>270.52500000000009</v>
      </c>
      <c r="O51" s="13">
        <f>N51*VLOOKUP('Données projet'!$B$9,Paramètres!$A$1:$I$89,3,0)*VLOOKUP('Données projet'!$B$9,Paramètres!$A$1:$I$89,5,0)</f>
        <v>236.3306400000001</v>
      </c>
      <c r="P51" s="13">
        <f t="shared" si="33"/>
        <v>57.649343278258847</v>
      </c>
      <c r="Q51" s="20">
        <f t="shared" si="53"/>
        <v>512.01513754296764</v>
      </c>
      <c r="R51" s="59">
        <f t="shared" si="0"/>
        <v>805.34847087630101</v>
      </c>
      <c r="S51" s="59">
        <f ca="1">AVERAGE(OFFSET($R$3,0,0,'Données projet'!$E$9+1,1))-AVERAGE(OFFSET($H$3,0,0,'Données projet'!$E$9+1,1))</f>
        <v>413.25558401068383</v>
      </c>
      <c r="T51" s="59">
        <f t="shared" si="34"/>
        <v>289.56516326172863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14.804721423363942</v>
      </c>
      <c r="AA51" s="21">
        <f>EXP(-LN(2)/25)*AA50+(1-EXP(-LN(2)/25))/(LN(2)/25)*Calculateur!V51*Calculateur!X51*VLOOKUP('Données projet'!$B$9,Paramètres!$A$1:$I$89,3,0)*0.475*44/12</f>
        <v>9.4919374449287712</v>
      </c>
      <c r="AB51" s="21">
        <f>EXP(-LN(2)/2)*AB50+(1-EXP(-LN(2)/2))/(LN(2)/2)*V51*Y51*VLOOKUP('Données projet'!$B$9,Paramètres!$A$1:$I$89,3,0)*0.475*44/12</f>
        <v>0</v>
      </c>
      <c r="AC51" s="22">
        <f t="shared" si="3"/>
        <v>24.296658868292713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2.2737367544323206E-13</v>
      </c>
      <c r="AJ51" s="13">
        <f>AI51*VLOOKUP('Données projet'!$B$10,Paramètres!$A$1:$I$89,3,0)*VLOOKUP('Données projet'!$B$10,Paramètres!$A$1:$I$89,5,0)</f>
        <v>1.3596945791505279E-13</v>
      </c>
      <c r="AK51" s="13">
        <f t="shared" si="35"/>
        <v>1.9708830566360721E-12</v>
      </c>
      <c r="AL51" s="20">
        <f t="shared" si="4"/>
        <v>3.669434796176543E-12</v>
      </c>
      <c r="AM51" s="59">
        <f t="shared" si="5"/>
        <v>293.33333333333701</v>
      </c>
      <c r="AN51" s="59">
        <f ca="1">AVERAGE(OFFSET($AM$3,0,0,'Données projet'!$E$10+1,1))-AVERAGE(OFFSET($H$3,0,0,'Données projet'!$E$10+1,1))</f>
        <v>287.52077437571728</v>
      </c>
      <c r="AO51" s="59">
        <f t="shared" si="36"/>
        <v>420.95891230839874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58.192123746125127</v>
      </c>
      <c r="AV51" s="21">
        <f>EXP(-LN(2)/25)*AV50+(1-EXP(-LN(2)/25))/(LN(2)/25)*Calculateur!AQ51*Calculateur!AS51*VLOOKUP('Données projet'!$B$10,Paramètres!$A$1:$I$89,3,0)*0.475*44/12</f>
        <v>114.53041437789223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172.72253812401735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9.3712500000000034</v>
      </c>
      <c r="BD51" s="12">
        <f>IF('Données projet'!$A$88&gt;35,BD50+BC51-BL50,IF(A51&lt;'Données projet'!$A$88,$BA$205^A51,IF(A51='Données projet'!$A$88,'Données projet'!$B$88,BD50+BC51-BL50)))</f>
        <v>176.27750000000012</v>
      </c>
      <c r="BE51" s="13">
        <f>BD51*VLOOKUP('Données projet'!$B$11,Paramètres!$A$1:$I$89,3,0)*VLOOKUP('Données projet'!$B$11,Paramètres!$A$1:$I$89,5,0)</f>
        <v>159.49588200000008</v>
      </c>
      <c r="BF51" s="13">
        <f t="shared" si="37"/>
        <v>40.728789309687656</v>
      </c>
      <c r="BG51" s="20">
        <f t="shared" si="7"/>
        <v>348.72463586437283</v>
      </c>
      <c r="BH51" s="59">
        <f t="shared" si="8"/>
        <v>642.05796919770614</v>
      </c>
      <c r="BI51" s="59">
        <f ca="1">AVERAGE(OFFSET($BH$3,0,0,'Données projet'!$E$11+1,1))-AVERAGE(OFFSET($H$3,0,0,'Données projet'!$E$11+1,1))</f>
        <v>581.88778927327667</v>
      </c>
      <c r="BJ51" s="59">
        <f t="shared" si="38"/>
        <v>269.67340993773422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4.9507219647885812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4.9507219647885812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13.587499999999999</v>
      </c>
      <c r="N52" s="13">
        <f>IF('Données projet'!$A$36&gt;35,N51+M52-V51,IF(A52&lt;'Données projet'!$A$36,$K$205^A52,IF(A52='Données projet'!$A$36,'Données projet'!$B$36,N51+M52-V51)))</f>
        <v>284.11250000000007</v>
      </c>
      <c r="O52" s="13">
        <f>N52*VLOOKUP('Données projet'!$B$9,Paramètres!$A$1:$I$89,3,0)*VLOOKUP('Données projet'!$B$9,Paramètres!$A$1:$I$89,5,0)</f>
        <v>248.20068000000012</v>
      </c>
      <c r="P52" s="13">
        <f t="shared" si="33"/>
        <v>60.200481727374978</v>
      </c>
      <c r="Q52" s="20">
        <f t="shared" si="53"/>
        <v>537.13202334184496</v>
      </c>
      <c r="R52" s="59">
        <f t="shared" si="0"/>
        <v>830.46535667517833</v>
      </c>
      <c r="S52" s="59">
        <f ca="1">AVERAGE(OFFSET($R$3,0,0,'Données projet'!$E$9+1,1))-AVERAGE(OFFSET($H$3,0,0,'Données projet'!$E$9+1,1))</f>
        <v>413.25558401068383</v>
      </c>
      <c r="T52" s="59">
        <f t="shared" si="34"/>
        <v>289.56516326172863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14.514409866240205</v>
      </c>
      <c r="AA52" s="21">
        <f>EXP(-LN(2)/25)*AA51+(1-EXP(-LN(2)/25))/(LN(2)/25)*Calculateur!V52*Calculateur!X52*VLOOKUP('Données projet'!$B$9,Paramètres!$A$1:$I$89,3,0)*0.475*44/12</f>
        <v>9.2323799163378979</v>
      </c>
      <c r="AB52" s="21">
        <f>EXP(-LN(2)/2)*AB51+(1-EXP(-LN(2)/2))/(LN(2)/2)*V52*Y52*VLOOKUP('Données projet'!$B$9,Paramètres!$A$1:$I$89,3,0)*0.475*44/12</f>
        <v>0</v>
      </c>
      <c r="AC52" s="22">
        <f t="shared" si="3"/>
        <v>23.746789782578105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2.2737367544323206E-13</v>
      </c>
      <c r="AJ52" s="13">
        <f>AI52*VLOOKUP('Données projet'!$B$10,Paramètres!$A$1:$I$89,3,0)*VLOOKUP('Données projet'!$B$10,Paramètres!$A$1:$I$89,5,0)</f>
        <v>1.3596945791505279E-13</v>
      </c>
      <c r="AK52" s="13">
        <f t="shared" si="35"/>
        <v>1.9708830566360721E-12</v>
      </c>
      <c r="AL52" s="20">
        <f t="shared" si="4"/>
        <v>3.669434796176543E-12</v>
      </c>
      <c r="AM52" s="59">
        <f t="shared" si="5"/>
        <v>293.33333333333701</v>
      </c>
      <c r="AN52" s="59">
        <f ca="1">AVERAGE(OFFSET($AM$3,0,0,'Données projet'!$E$10+1,1))-AVERAGE(OFFSET($H$3,0,0,'Données projet'!$E$10+1,1))</f>
        <v>287.52077437571728</v>
      </c>
      <c r="AO52" s="59">
        <f t="shared" si="36"/>
        <v>420.95891230839874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57.051011693154386</v>
      </c>
      <c r="AV52" s="21">
        <f>EXP(-LN(2)/25)*AV51+(1-EXP(-LN(2)/25))/(LN(2)/25)*Calculateur!AQ52*Calculateur!AS52*VLOOKUP('Données projet'!$B$10,Paramètres!$A$1:$I$89,3,0)*0.475*44/12</f>
        <v>111.39857417383604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168.44958586699042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9.3712500000000034</v>
      </c>
      <c r="BD52" s="12">
        <f>IF('Données projet'!$A$88&gt;35,BD51+BC52-BL51,IF(A52&lt;'Données projet'!$A$88,$BA$205^A52,IF(A52='Données projet'!$A$88,'Données projet'!$B$88,BD51+BC52-BL51)))</f>
        <v>185.64875000000012</v>
      </c>
      <c r="BE52" s="13">
        <f>BD52*VLOOKUP('Données projet'!$B$11,Paramètres!$A$1:$I$89,3,0)*VLOOKUP('Données projet'!$B$11,Paramètres!$A$1:$I$89,5,0)</f>
        <v>167.97498900000011</v>
      </c>
      <c r="BF52" s="13">
        <f t="shared" si="37"/>
        <v>42.636172660412917</v>
      </c>
      <c r="BG52" s="20">
        <f t="shared" si="7"/>
        <v>366.81443989188602</v>
      </c>
      <c r="BH52" s="59">
        <f t="shared" si="8"/>
        <v>660.14777322521934</v>
      </c>
      <c r="BI52" s="59">
        <f ca="1">AVERAGE(OFFSET($BH$3,0,0,'Données projet'!$E$11+1,1))-AVERAGE(OFFSET($H$3,0,0,'Données projet'!$E$11+1,1))</f>
        <v>581.88778927327667</v>
      </c>
      <c r="BJ52" s="59">
        <f t="shared" si="38"/>
        <v>269.67340993773422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4.853641326701311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4.853641326701311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297.7</v>
      </c>
      <c r="L53" s="12">
        <f>VLOOKUP(A53,'Données projet'!$A$35:$I$55,9,0)</f>
        <v>13.587499999999999</v>
      </c>
      <c r="M53" s="12">
        <f t="array" ref="M53">INDEX(L:L,MIN(IF(ISNUMBER(L53:L249),ROW(L53:L249),"")))</f>
        <v>13.587499999999999</v>
      </c>
      <c r="N53" s="13">
        <f>IF('Données projet'!$A$36&gt;35,N52+M53-V52,IF(A53&lt;'Données projet'!$A$36,$K$205^A53,IF(A53='Données projet'!$A$36,'Données projet'!$B$36,N52+M53-V52)))</f>
        <v>297.70000000000005</v>
      </c>
      <c r="O53" s="13">
        <f>N53*VLOOKUP('Données projet'!$B$9,Paramètres!$A$1:$I$89,3,0)*VLOOKUP('Données projet'!$B$9,Paramètres!$A$1:$I$89,5,0)</f>
        <v>260.07072000000011</v>
      </c>
      <c r="P53" s="13">
        <f t="shared" si="33"/>
        <v>62.737452363689243</v>
      </c>
      <c r="Q53" s="20">
        <f t="shared" si="53"/>
        <v>562.22423353342549</v>
      </c>
      <c r="R53" s="59">
        <f t="shared" si="0"/>
        <v>855.55756686675886</v>
      </c>
      <c r="S53" s="59">
        <f ca="1">AVERAGE(OFFSET($R$3,0,0,'Données projet'!$E$9+1,1))-AVERAGE(OFFSET($H$3,0,0,'Données projet'!$E$9+1,1))</f>
        <v>413.25558401068383</v>
      </c>
      <c r="T53" s="59">
        <f t="shared" si="34"/>
        <v>289.56516326172863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79.7</v>
      </c>
      <c r="W53" s="16">
        <f>IF(ISNA(VLOOKUP(A53,'Données projet'!$A$35:$I$55,5,0)),0%,VLOOKUP(A53,'Données projet'!$A$35:$I$55,5,0)*VLOOKUP('Données projet'!$B$9,Paramètres!$A$1:$I$89,7,0))</f>
        <v>0.25800000000000001</v>
      </c>
      <c r="X53" s="16">
        <f>IF(ISNA(VLOOKUP(A53,'Données projet'!$A$35:$I$55,6,0)),0%,VLOOKUP(A53,'Données projet'!$A$35:$I$55,6,0)*VLOOKUP('Données projet'!$B$9,Paramètres!$A$1:$I$89,7,0))</f>
        <v>0.129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34.08789433127366</v>
      </c>
      <c r="AA53" s="21">
        <f>EXP(-LN(2)/25)*AA52+(1-EXP(-LN(2)/25))/(LN(2)/25)*Calculateur!V53*Calculateur!X53*VLOOKUP('Données projet'!$B$9,Paramètres!$A$1:$I$89,3,0)*0.475*44/12</f>
        <v>18.869877137419181</v>
      </c>
      <c r="AB53" s="21">
        <f>EXP(-LN(2)/2)*AB52+(1-EXP(-LN(2)/2))/(LN(2)/2)*V53*Y53*VLOOKUP('Données projet'!$B$9,Paramètres!$A$1:$I$89,3,0)*0.475*44/12</f>
        <v>0</v>
      </c>
      <c r="AC53" s="22">
        <f t="shared" si="3"/>
        <v>52.95777146869284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2.2737367544323206E-13</v>
      </c>
      <c r="AJ53" s="13">
        <f>AI53*VLOOKUP('Données projet'!$B$10,Paramètres!$A$1:$I$89,3,0)*VLOOKUP('Données projet'!$B$10,Paramètres!$A$1:$I$89,5,0)</f>
        <v>1.3596945791505279E-13</v>
      </c>
      <c r="AK53" s="13">
        <f t="shared" si="35"/>
        <v>1.9708830566360721E-12</v>
      </c>
      <c r="AL53" s="20">
        <f t="shared" si="4"/>
        <v>3.669434796176543E-12</v>
      </c>
      <c r="AM53" s="59">
        <f t="shared" si="5"/>
        <v>293.33333333333701</v>
      </c>
      <c r="AN53" s="59">
        <f ca="1">AVERAGE(OFFSET($AM$3,0,0,'Données projet'!$E$10+1,1))-AVERAGE(OFFSET($H$3,0,0,'Données projet'!$E$10+1,1))</f>
        <v>287.52077437571728</v>
      </c>
      <c r="AO53" s="59">
        <f t="shared" si="36"/>
        <v>420.95891230839874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55.932276151532776</v>
      </c>
      <c r="AV53" s="21">
        <f>EXP(-LN(2)/25)*AV52+(1-EXP(-LN(2)/25))/(LN(2)/25)*Calculateur!AQ53*Calculateur!AS53*VLOOKUP('Données projet'!$B$10,Paramètres!$A$1:$I$89,3,0)*0.475*44/12</f>
        <v>108.35237430485608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164.28465045638887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195.02</v>
      </c>
      <c r="BB53" s="12">
        <f>VLOOKUP(A53,'Données projet'!$A$87:$I$107,9,0)</f>
        <v>9.3712500000000034</v>
      </c>
      <c r="BC53" s="12">
        <f t="array" ref="BC53">INDEX(BB:BB,MIN(IF(ISNUMBER(BB53:BB249),ROW(BB53:BB249),"")))</f>
        <v>9.3712500000000034</v>
      </c>
      <c r="BD53" s="12">
        <f>IF('Données projet'!$A$88&gt;35,BD52+BC53-BL52,IF(A53&lt;'Données projet'!$A$88,$BA$205^A53,IF(A53='Données projet'!$A$88,'Données projet'!$B$88,BD52+BC53-BL52)))</f>
        <v>195.02000000000012</v>
      </c>
      <c r="BE53" s="13">
        <f>BD53*VLOOKUP('Données projet'!$B$11,Paramètres!$A$1:$I$89,3,0)*VLOOKUP('Données projet'!$B$11,Paramètres!$A$1:$I$89,5,0)</f>
        <v>176.45409600000011</v>
      </c>
      <c r="BF53" s="13">
        <f t="shared" si="37"/>
        <v>44.532376676436577</v>
      </c>
      <c r="BG53" s="20">
        <f t="shared" si="7"/>
        <v>384.88477324479385</v>
      </c>
      <c r="BH53" s="59">
        <f t="shared" si="8"/>
        <v>678.21810657812716</v>
      </c>
      <c r="BI53" s="59">
        <f ca="1">AVERAGE(OFFSET($BH$3,0,0,'Données projet'!$E$11+1,1))-AVERAGE(OFFSET($H$3,0,0,'Données projet'!$E$11+1,1))</f>
        <v>581.88778927327667</v>
      </c>
      <c r="BJ53" s="59">
        <f t="shared" si="38"/>
        <v>269.67340993773422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35.58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9.3493382006381829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9.3493382006381829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12.324999999999998</v>
      </c>
      <c r="N54" s="13">
        <f>IF('Données projet'!$A$36&gt;35,N53+M54-V53,IF(A54&lt;'Données projet'!$A$36,$K$205^A54,IF(A54='Données projet'!$A$36,'Données projet'!$B$36,N53+M54-V53)))</f>
        <v>230.32500000000005</v>
      </c>
      <c r="O54" s="13">
        <f>N54*VLOOKUP('Données projet'!$B$9,Paramètres!$A$1:$I$89,3,0)*VLOOKUP('Données projet'!$B$9,Paramètres!$A$1:$I$89,5,0)</f>
        <v>201.21192000000005</v>
      </c>
      <c r="P54" s="13">
        <f t="shared" si="33"/>
        <v>50.010417340386411</v>
      </c>
      <c r="Q54" s="20">
        <f t="shared" si="53"/>
        <v>437.54557086783967</v>
      </c>
      <c r="R54" s="59">
        <f t="shared" si="0"/>
        <v>730.87890420117299</v>
      </c>
      <c r="S54" s="59">
        <f ca="1">AVERAGE(OFFSET($R$3,0,0,'Données projet'!$E$9+1,1))-AVERAGE(OFFSET($H$3,0,0,'Données projet'!$E$9+1,1))</f>
        <v>413.25558401068383</v>
      </c>
      <c r="T54" s="59">
        <f t="shared" si="34"/>
        <v>289.56516326172863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33.419451514999928</v>
      </c>
      <c r="AA54" s="21">
        <f>EXP(-LN(2)/25)*AA53+(1-EXP(-LN(2)/25))/(LN(2)/25)*Calculateur!V54*Calculateur!X54*VLOOKUP('Données projet'!$B$9,Paramètres!$A$1:$I$89,3,0)*0.475*44/12</f>
        <v>18.353879354772744</v>
      </c>
      <c r="AB54" s="21">
        <f>EXP(-LN(2)/2)*AB53+(1-EXP(-LN(2)/2))/(LN(2)/2)*V54*Y54*VLOOKUP('Données projet'!$B$9,Paramètres!$A$1:$I$89,3,0)*0.475*44/12</f>
        <v>0</v>
      </c>
      <c r="AC54" s="22">
        <f t="shared" si="3"/>
        <v>51.773330869772671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2.2737367544323206E-13</v>
      </c>
      <c r="AJ54" s="13">
        <f>AI54*VLOOKUP('Données projet'!$B$10,Paramètres!$A$1:$I$89,3,0)*VLOOKUP('Données projet'!$B$10,Paramètres!$A$1:$I$89,5,0)</f>
        <v>1.3596945791505279E-13</v>
      </c>
      <c r="AK54" s="13">
        <f t="shared" si="35"/>
        <v>1.9708830566360721E-12</v>
      </c>
      <c r="AL54" s="20">
        <f t="shared" si="4"/>
        <v>3.669434796176543E-12</v>
      </c>
      <c r="AM54" s="59">
        <f t="shared" si="5"/>
        <v>293.33333333333701</v>
      </c>
      <c r="AN54" s="59">
        <f ca="1">AVERAGE(OFFSET($AM$3,0,0,'Données projet'!$E$10+1,1))-AVERAGE(OFFSET($H$3,0,0,'Données projet'!$E$10+1,1))</f>
        <v>287.52077437571728</v>
      </c>
      <c r="AO54" s="59">
        <f t="shared" si="36"/>
        <v>420.95891230839874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54.83547833152106</v>
      </c>
      <c r="AV54" s="21">
        <f>EXP(-LN(2)/25)*AV53+(1-EXP(-LN(2)/25))/(LN(2)/25)*Calculateur!AQ54*Calculateur!AS54*VLOOKUP('Données projet'!$B$10,Paramètres!$A$1:$I$89,3,0)*0.475*44/12</f>
        <v>105.38947293148607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160.22495126300714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9.5537500000000009</v>
      </c>
      <c r="BD54" s="12">
        <f>IF('Données projet'!$A$88&gt;35,BD53+BC54-BL53,IF(A54&lt;'Données projet'!$A$88,$BA$205^A54,IF(A54='Données projet'!$A$88,'Données projet'!$B$88,BD53+BC54-BL53)))</f>
        <v>168.99375000000015</v>
      </c>
      <c r="BE54" s="13">
        <f>BD54*VLOOKUP('Données projet'!$B$11,Paramètres!$A$1:$I$89,3,0)*VLOOKUP('Données projet'!$B$11,Paramètres!$A$1:$I$89,5,0)</f>
        <v>152.90554500000013</v>
      </c>
      <c r="BF54" s="13">
        <f t="shared" si="37"/>
        <v>39.238142074568863</v>
      </c>
      <c r="BG54" s="20">
        <f t="shared" si="7"/>
        <v>334.65025498820768</v>
      </c>
      <c r="BH54" s="59">
        <f t="shared" si="8"/>
        <v>627.98358832154099</v>
      </c>
      <c r="BI54" s="59">
        <f ca="1">AVERAGE(OFFSET($BH$3,0,0,'Données projet'!$E$11+1,1))-AVERAGE(OFFSET($H$3,0,0,'Données projet'!$E$11+1,1))</f>
        <v>581.88778927327667</v>
      </c>
      <c r="BJ54" s="59">
        <f t="shared" si="38"/>
        <v>269.67340993773422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9.1660033810568926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9.1660033810568926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12.324999999999998</v>
      </c>
      <c r="N55" s="13">
        <f>IF('Données projet'!$A$36&gt;35,N54+M55-V54,IF(A55&lt;'Données projet'!$A$36,$K$205^A55,IF(A55='Données projet'!$A$36,'Données projet'!$B$36,N54+M55-V54)))</f>
        <v>242.65000000000003</v>
      </c>
      <c r="O55" s="13">
        <f>N55*VLOOKUP('Données projet'!$B$9,Paramètres!$A$1:$I$89,3,0)*VLOOKUP('Données projet'!$B$9,Paramètres!$A$1:$I$89,5,0)</f>
        <v>211.97904000000008</v>
      </c>
      <c r="P55" s="13">
        <f t="shared" si="33"/>
        <v>52.367819358175034</v>
      </c>
      <c r="Q55" s="20">
        <f t="shared" si="53"/>
        <v>460.40411338215495</v>
      </c>
      <c r="R55" s="59">
        <f t="shared" si="0"/>
        <v>753.7374467154882</v>
      </c>
      <c r="S55" s="59">
        <f ca="1">AVERAGE(OFFSET($R$3,0,0,'Données projet'!$E$9+1,1))-AVERAGE(OFFSET($H$3,0,0,'Données projet'!$E$9+1,1))</f>
        <v>413.25558401068383</v>
      </c>
      <c r="T55" s="59">
        <f t="shared" si="34"/>
        <v>289.56516326172863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32.764116454643464</v>
      </c>
      <c r="AA55" s="21">
        <f>EXP(-LN(2)/25)*AA54+(1-EXP(-LN(2)/25))/(LN(2)/25)*Calculateur!V55*Calculateur!X55*VLOOKUP('Données projet'!$B$9,Paramètres!$A$1:$I$89,3,0)*0.475*44/12</f>
        <v>17.851991558627915</v>
      </c>
      <c r="AB55" s="21">
        <f>EXP(-LN(2)/2)*AB54+(1-EXP(-LN(2)/2))/(LN(2)/2)*V55*Y55*VLOOKUP('Données projet'!$B$9,Paramètres!$A$1:$I$89,3,0)*0.475*44/12</f>
        <v>0</v>
      </c>
      <c r="AC55" s="22">
        <f t="shared" si="3"/>
        <v>50.616108013271379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2.2737367544323206E-13</v>
      </c>
      <c r="AJ55" s="13">
        <f>AI55*VLOOKUP('Données projet'!$B$10,Paramètres!$A$1:$I$89,3,0)*VLOOKUP('Données projet'!$B$10,Paramètres!$A$1:$I$89,5,0)</f>
        <v>1.3596945791505279E-13</v>
      </c>
      <c r="AK55" s="13">
        <f t="shared" si="35"/>
        <v>1.9708830566360721E-12</v>
      </c>
      <c r="AL55" s="20">
        <f t="shared" si="4"/>
        <v>3.669434796176543E-12</v>
      </c>
      <c r="AM55" s="59">
        <f t="shared" si="5"/>
        <v>293.33333333333701</v>
      </c>
      <c r="AN55" s="59">
        <f ca="1">AVERAGE(OFFSET($AM$3,0,0,'Données projet'!$E$10+1,1))-AVERAGE(OFFSET($H$3,0,0,'Données projet'!$E$10+1,1))</f>
        <v>287.52077437571728</v>
      </c>
      <c r="AO55" s="59">
        <f t="shared" si="36"/>
        <v>420.95891230839874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53.76018804777916</v>
      </c>
      <c r="AV55" s="21">
        <f>EXP(-LN(2)/25)*AV54+(1-EXP(-LN(2)/25))/(LN(2)/25)*Calculateur!AQ55*Calculateur!AS55*VLOOKUP('Données projet'!$B$10,Paramètres!$A$1:$I$89,3,0)*0.475*44/12</f>
        <v>102.50759225198307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156.26778029976222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9.5537500000000009</v>
      </c>
      <c r="BD55" s="12">
        <f>IF('Données projet'!$A$88&gt;35,BD54+BC55-BL54,IF(A55&lt;'Données projet'!$A$88,$BA$205^A55,IF(A55='Données projet'!$A$88,'Données projet'!$B$88,BD54+BC55-BL54)))</f>
        <v>178.54750000000016</v>
      </c>
      <c r="BE55" s="13">
        <f>BD55*VLOOKUP('Données projet'!$B$11,Paramètres!$A$1:$I$89,3,0)*VLOOKUP('Données projet'!$B$11,Paramètres!$A$1:$I$89,5,0)</f>
        <v>161.54977800000012</v>
      </c>
      <c r="BF55" s="13">
        <f t="shared" si="37"/>
        <v>41.191875810979205</v>
      </c>
      <c r="BG55" s="20">
        <f t="shared" si="7"/>
        <v>353.10838038745561</v>
      </c>
      <c r="BH55" s="59">
        <f t="shared" si="8"/>
        <v>646.44171372078893</v>
      </c>
      <c r="BI55" s="59">
        <f ca="1">AVERAGE(OFFSET($BH$3,0,0,'Données projet'!$E$11+1,1))-AVERAGE(OFFSET($H$3,0,0,'Données projet'!$E$11+1,1))</f>
        <v>581.88778927327667</v>
      </c>
      <c r="BJ55" s="59">
        <f t="shared" si="38"/>
        <v>269.67340993773422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8.9862636454643923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8.9862636454643923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12.324999999999998</v>
      </c>
      <c r="N56" s="13">
        <f>IF('Données projet'!$A$36&gt;35,N55+M56-V55,IF(A56&lt;'Données projet'!$A$36,$K$205^A56,IF(A56='Données projet'!$A$36,'Données projet'!$B$36,N55+M56-V55)))</f>
        <v>254.97500000000002</v>
      </c>
      <c r="O56" s="13">
        <f>N56*VLOOKUP('Données projet'!$B$9,Paramètres!$A$1:$I$89,3,0)*VLOOKUP('Données projet'!$B$9,Paramètres!$A$1:$I$89,5,0)</f>
        <v>222.74616000000006</v>
      </c>
      <c r="P56" s="13">
        <f t="shared" si="33"/>
        <v>54.711318416900006</v>
      </c>
      <c r="Q56" s="20">
        <f t="shared" si="53"/>
        <v>483.23844157610097</v>
      </c>
      <c r="R56" s="59">
        <f t="shared" si="0"/>
        <v>776.57177490943423</v>
      </c>
      <c r="S56" s="59">
        <f ca="1">AVERAGE(OFFSET($R$3,0,0,'Données projet'!$E$9+1,1))-AVERAGE(OFFSET($H$3,0,0,'Données projet'!$E$9+1,1))</f>
        <v>413.25558401068383</v>
      </c>
      <c r="T56" s="59">
        <f t="shared" si="34"/>
        <v>289.56516326172863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32.121632115105676</v>
      </c>
      <c r="AA56" s="21">
        <f>EXP(-LN(2)/25)*AA55+(1-EXP(-LN(2)/25))/(LN(2)/25)*Calculateur!V56*Calculateur!X56*VLOOKUP('Données projet'!$B$9,Paramètres!$A$1:$I$89,3,0)*0.475*44/12</f>
        <v>17.363827910661801</v>
      </c>
      <c r="AB56" s="21">
        <f>EXP(-LN(2)/2)*AB55+(1-EXP(-LN(2)/2))/(LN(2)/2)*V56*Y56*VLOOKUP('Données projet'!$B$9,Paramètres!$A$1:$I$89,3,0)*0.475*44/12</f>
        <v>0</v>
      </c>
      <c r="AC56" s="22">
        <f t="shared" si="3"/>
        <v>49.48546002576748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2.2737367544323206E-13</v>
      </c>
      <c r="AJ56" s="13">
        <f>AI56*VLOOKUP('Données projet'!$B$10,Paramètres!$A$1:$I$89,3,0)*VLOOKUP('Données projet'!$B$10,Paramètres!$A$1:$I$89,5,0)</f>
        <v>1.3596945791505279E-13</v>
      </c>
      <c r="AK56" s="13">
        <f t="shared" si="35"/>
        <v>1.9708830566360721E-12</v>
      </c>
      <c r="AL56" s="20">
        <f t="shared" si="4"/>
        <v>3.669434796176543E-12</v>
      </c>
      <c r="AM56" s="59">
        <f t="shared" si="5"/>
        <v>293.33333333333701</v>
      </c>
      <c r="AN56" s="59">
        <f ca="1">AVERAGE(OFFSET($AM$3,0,0,'Données projet'!$E$10+1,1))-AVERAGE(OFFSET($H$3,0,0,'Données projet'!$E$10+1,1))</f>
        <v>287.52077437571728</v>
      </c>
      <c r="AO56" s="59">
        <f t="shared" si="36"/>
        <v>420.95891230839874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52.705983550639125</v>
      </c>
      <c r="AV56" s="21">
        <f>EXP(-LN(2)/25)*AV55+(1-EXP(-LN(2)/25))/(LN(2)/25)*Calculateur!AQ56*Calculateur!AS56*VLOOKUP('Données projet'!$B$10,Paramètres!$A$1:$I$89,3,0)*0.475*44/12</f>
        <v>99.704516751212594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152.41050030185173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9.5537500000000009</v>
      </c>
      <c r="BD56" s="12">
        <f>IF('Données projet'!$A$88&gt;35,BD55+BC56-BL55,IF(A56&lt;'Données projet'!$A$88,$BA$205^A56,IF(A56='Données projet'!$A$88,'Données projet'!$B$88,BD55+BC56-BL55)))</f>
        <v>188.10125000000016</v>
      </c>
      <c r="BE56" s="13">
        <f>BD56*VLOOKUP('Données projet'!$B$11,Paramètres!$A$1:$I$89,3,0)*VLOOKUP('Données projet'!$B$11,Paramètres!$A$1:$I$89,5,0)</f>
        <v>170.19401100000013</v>
      </c>
      <c r="BF56" s="13">
        <f t="shared" si="37"/>
        <v>43.133472710542861</v>
      </c>
      <c r="BG56" s="20">
        <f t="shared" si="7"/>
        <v>371.54536746252899</v>
      </c>
      <c r="BH56" s="59">
        <f t="shared" si="8"/>
        <v>664.8787007958623</v>
      </c>
      <c r="BI56" s="59">
        <f ca="1">AVERAGE(OFFSET($BH$3,0,0,'Données projet'!$E$11+1,1))-AVERAGE(OFFSET($H$3,0,0,'Données projet'!$E$11+1,1))</f>
        <v>581.88778927327667</v>
      </c>
      <c r="BJ56" s="59">
        <f t="shared" si="38"/>
        <v>269.67340993773422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8.8100484964564476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8.8100484964564476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12.324999999999998</v>
      </c>
      <c r="N57" s="13">
        <f>IF('Données projet'!$A$36&gt;35,N56+M57-V56,IF(A57&lt;'Données projet'!$A$36,$K$205^A57,IF(A57='Données projet'!$A$36,'Données projet'!$B$36,N56+M57-V56)))</f>
        <v>267.3</v>
      </c>
      <c r="O57" s="13">
        <f>N57*VLOOKUP('Données projet'!$B$9,Paramètres!$A$1:$I$89,3,0)*VLOOKUP('Données projet'!$B$9,Paramètres!$A$1:$I$89,5,0)</f>
        <v>233.51328000000004</v>
      </c>
      <c r="P57" s="13">
        <f t="shared" si="33"/>
        <v>57.041663274479895</v>
      </c>
      <c r="Q57" s="20">
        <f t="shared" si="53"/>
        <v>506.04985953638578</v>
      </c>
      <c r="R57" s="59">
        <f t="shared" si="0"/>
        <v>799.3831928697191</v>
      </c>
      <c r="S57" s="59">
        <f ca="1">AVERAGE(OFFSET($R$3,0,0,'Données projet'!$E$9+1,1))-AVERAGE(OFFSET($H$3,0,0,'Données projet'!$E$9+1,1))</f>
        <v>413.25558401068383</v>
      </c>
      <c r="T57" s="59">
        <f t="shared" si="34"/>
        <v>289.56516326172863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31.491746501589468</v>
      </c>
      <c r="AA57" s="21">
        <f>EXP(-LN(2)/25)*AA56+(1-EXP(-LN(2)/25))/(LN(2)/25)*Calculateur!V57*Calculateur!X57*VLOOKUP('Données projet'!$B$9,Paramètres!$A$1:$I$89,3,0)*0.475*44/12</f>
        <v>16.88901312332073</v>
      </c>
      <c r="AB57" s="21">
        <f>EXP(-LN(2)/2)*AB56+(1-EXP(-LN(2)/2))/(LN(2)/2)*V57*Y57*VLOOKUP('Données projet'!$B$9,Paramètres!$A$1:$I$89,3,0)*0.475*44/12</f>
        <v>0</v>
      </c>
      <c r="AC57" s="22">
        <f t="shared" si="3"/>
        <v>48.380759624910198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2.2737367544323206E-13</v>
      </c>
      <c r="AJ57" s="13">
        <f>AI57*VLOOKUP('Données projet'!$B$10,Paramètres!$A$1:$I$89,3,0)*VLOOKUP('Données projet'!$B$10,Paramètres!$A$1:$I$89,5,0)</f>
        <v>1.3596945791505279E-13</v>
      </c>
      <c r="AK57" s="13">
        <f t="shared" si="35"/>
        <v>1.9708830566360721E-12</v>
      </c>
      <c r="AL57" s="20">
        <f t="shared" si="4"/>
        <v>3.669434796176543E-12</v>
      </c>
      <c r="AM57" s="59">
        <f t="shared" si="5"/>
        <v>293.33333333333701</v>
      </c>
      <c r="AN57" s="59">
        <f ca="1">AVERAGE(OFFSET($AM$3,0,0,'Données projet'!$E$10+1,1))-AVERAGE(OFFSET($H$3,0,0,'Données projet'!$E$10+1,1))</f>
        <v>287.52077437571728</v>
      </c>
      <c r="AO57" s="59">
        <f t="shared" si="36"/>
        <v>420.95891230839874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51.672451360686757</v>
      </c>
      <c r="AV57" s="21">
        <f>EXP(-LN(2)/25)*AV56+(1-EXP(-LN(2)/25))/(LN(2)/25)*Calculateur!AQ57*Calculateur!AS57*VLOOKUP('Données projet'!$B$10,Paramètres!$A$1:$I$89,3,0)*0.475*44/12</f>
        <v>96.978091497418035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148.65054285810479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9.5537500000000009</v>
      </c>
      <c r="BD57" s="12">
        <f>IF('Données projet'!$A$88&gt;35,BD56+BC57-BL56,IF(A57&lt;'Données projet'!$A$88,$BA$205^A57,IF(A57='Données projet'!$A$88,'Données projet'!$B$88,BD56+BC57-BL56)))</f>
        <v>197.65500000000017</v>
      </c>
      <c r="BE57" s="13">
        <f>BD57*VLOOKUP('Données projet'!$B$11,Paramètres!$A$1:$I$89,3,0)*VLOOKUP('Données projet'!$B$11,Paramètres!$A$1:$I$89,5,0)</f>
        <v>178.83824400000015</v>
      </c>
      <c r="BF57" s="13">
        <f t="shared" si="37"/>
        <v>45.06361953668285</v>
      </c>
      <c r="BG57" s="20">
        <f t="shared" si="7"/>
        <v>389.96241232638954</v>
      </c>
      <c r="BH57" s="59">
        <f t="shared" si="8"/>
        <v>683.2957456597228</v>
      </c>
      <c r="BI57" s="59">
        <f ca="1">AVERAGE(OFFSET($BH$3,0,0,'Données projet'!$E$11+1,1))-AVERAGE(OFFSET($H$3,0,0,'Données projet'!$E$11+1,1))</f>
        <v>581.88778927327667</v>
      </c>
      <c r="BJ57" s="59">
        <f t="shared" si="38"/>
        <v>269.67340993773422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8.6372888190399202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8.6372888190399202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12.324999999999998</v>
      </c>
      <c r="N58" s="13">
        <f>IF('Données projet'!$A$36&gt;35,N57+M58-V57,IF(A58&lt;'Données projet'!$A$36,$K$205^A58,IF(A58='Données projet'!$A$36,'Données projet'!$B$36,N57+M58-V57)))</f>
        <v>279.625</v>
      </c>
      <c r="O58" s="13">
        <f>N58*VLOOKUP('Données projet'!$B$9,Paramètres!$A$1:$I$89,3,0)*VLOOKUP('Données projet'!$B$9,Paramètres!$A$1:$I$89,5,0)</f>
        <v>244.28040000000001</v>
      </c>
      <c r="P58" s="13">
        <f t="shared" si="33"/>
        <v>59.359529736886969</v>
      </c>
      <c r="Q58" s="20">
        <f t="shared" si="53"/>
        <v>528.8395442917448</v>
      </c>
      <c r="R58" s="59">
        <f t="shared" si="0"/>
        <v>822.17287762507817</v>
      </c>
      <c r="S58" s="59">
        <f ca="1">AVERAGE(OFFSET($R$3,0,0,'Données projet'!$E$9+1,1))-AVERAGE(OFFSET($H$3,0,0,'Données projet'!$E$9+1,1))</f>
        <v>413.25558401068383</v>
      </c>
      <c r="T58" s="59">
        <f t="shared" si="34"/>
        <v>289.56516326172863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30.874212560762025</v>
      </c>
      <c r="AA58" s="21">
        <f>EXP(-LN(2)/25)*AA57+(1-EXP(-LN(2)/25))/(LN(2)/25)*Calculateur!V58*Calculateur!X58*VLOOKUP('Données projet'!$B$9,Paramètres!$A$1:$I$89,3,0)*0.475*44/12</f>
        <v>16.427182171308925</v>
      </c>
      <c r="AB58" s="21">
        <f>EXP(-LN(2)/2)*AB57+(1-EXP(-LN(2)/2))/(LN(2)/2)*V58*Y58*VLOOKUP('Données projet'!$B$9,Paramètres!$A$1:$I$89,3,0)*0.475*44/12</f>
        <v>0</v>
      </c>
      <c r="AC58" s="22">
        <f t="shared" si="3"/>
        <v>47.301394732070946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2.2737367544323206E-13</v>
      </c>
      <c r="AJ58" s="13">
        <f>AI58*VLOOKUP('Données projet'!$B$10,Paramètres!$A$1:$I$89,3,0)*VLOOKUP('Données projet'!$B$10,Paramètres!$A$1:$I$89,5,0)</f>
        <v>1.3596945791505279E-13</v>
      </c>
      <c r="AK58" s="13">
        <f t="shared" si="35"/>
        <v>1.9708830566360721E-12</v>
      </c>
      <c r="AL58" s="20">
        <f t="shared" si="4"/>
        <v>3.669434796176543E-12</v>
      </c>
      <c r="AM58" s="59">
        <f t="shared" si="5"/>
        <v>293.33333333333701</v>
      </c>
      <c r="AN58" s="59">
        <f ca="1">AVERAGE(OFFSET($AM$3,0,0,'Données projet'!$E$10+1,1))-AVERAGE(OFFSET($H$3,0,0,'Données projet'!$E$10+1,1))</f>
        <v>287.52077437571728</v>
      </c>
      <c r="AO58" s="59">
        <f t="shared" si="36"/>
        <v>420.95891230839874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50.659186106586965</v>
      </c>
      <c r="AV58" s="21">
        <f>EXP(-LN(2)/25)*AV57+(1-EXP(-LN(2)/25))/(LN(2)/25)*Calculateur!AQ58*Calculateur!AS58*VLOOKUP('Données projet'!$B$10,Paramètres!$A$1:$I$89,3,0)*0.475*44/12</f>
        <v>94.32622048556496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144.98540659215192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9.5537500000000009</v>
      </c>
      <c r="BD58" s="12">
        <f>IF('Données projet'!$A$88&gt;35,BD57+BC58-BL57,IF(A58&lt;'Données projet'!$A$88,$BA$205^A58,IF(A58='Données projet'!$A$88,'Données projet'!$B$88,BD57+BC58-BL57)))</f>
        <v>207.20875000000018</v>
      </c>
      <c r="BE58" s="13">
        <f>BD58*VLOOKUP('Données projet'!$B$11,Paramètres!$A$1:$I$89,3,0)*VLOOKUP('Données projet'!$B$11,Paramètres!$A$1:$I$89,5,0)</f>
        <v>187.48247700000016</v>
      </c>
      <c r="BF58" s="13">
        <f t="shared" si="37"/>
        <v>46.982932911694917</v>
      </c>
      <c r="BG58" s="20">
        <f t="shared" si="7"/>
        <v>408.3605889295356</v>
      </c>
      <c r="BH58" s="59">
        <f t="shared" si="8"/>
        <v>701.69392226286891</v>
      </c>
      <c r="BI58" s="59">
        <f ca="1">AVERAGE(OFFSET($BH$3,0,0,'Données projet'!$E$11+1,1))-AVERAGE(OFFSET($H$3,0,0,'Données projet'!$E$11+1,1))</f>
        <v>581.88778927327667</v>
      </c>
      <c r="BJ58" s="59">
        <f t="shared" si="38"/>
        <v>269.67340993773422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8.4679168535245335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8.4679168535245335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12.324999999999998</v>
      </c>
      <c r="N59" s="13">
        <f>IF('Données projet'!$A$36&gt;35,N58+M59-V58,IF(A59&lt;'Données projet'!$A$36,$K$205^A59,IF(A59='Données projet'!$A$36,'Données projet'!$B$36,N58+M59-V58)))</f>
        <v>291.95</v>
      </c>
      <c r="O59" s="13">
        <f>N59*VLOOKUP('Données projet'!$B$9,Paramètres!$A$1:$I$89,3,0)*VLOOKUP('Données projet'!$B$9,Paramètres!$A$1:$I$89,5,0)</f>
        <v>255.04752000000005</v>
      </c>
      <c r="P59" s="13">
        <f t="shared" si="33"/>
        <v>61.665530666742399</v>
      </c>
      <c r="Q59" s="20">
        <f t="shared" si="53"/>
        <v>551.60856324457643</v>
      </c>
      <c r="R59" s="59">
        <f t="shared" si="0"/>
        <v>844.9418965779098</v>
      </c>
      <c r="S59" s="59">
        <f ca="1">AVERAGE(OFFSET($R$3,0,0,'Données projet'!$E$9+1,1))-AVERAGE(OFFSET($H$3,0,0,'Données projet'!$E$9+1,1))</f>
        <v>413.25558401068383</v>
      </c>
      <c r="T59" s="59">
        <f t="shared" si="34"/>
        <v>289.56516326172863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30.268788083855696</v>
      </c>
      <c r="AA59" s="21">
        <f>EXP(-LN(2)/25)*AA58+(1-EXP(-LN(2)/25))/(LN(2)/25)*Calculateur!V59*Calculateur!X59*VLOOKUP('Données projet'!$B$9,Paramètres!$A$1:$I$89,3,0)*0.475*44/12</f>
        <v>15.977980010966517</v>
      </c>
      <c r="AB59" s="21">
        <f>EXP(-LN(2)/2)*AB58+(1-EXP(-LN(2)/2))/(LN(2)/2)*V59*Y59*VLOOKUP('Données projet'!$B$9,Paramètres!$A$1:$I$89,3,0)*0.475*44/12</f>
        <v>0</v>
      </c>
      <c r="AC59" s="22">
        <f t="shared" si="3"/>
        <v>46.246768094822215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2.2737367544323206E-13</v>
      </c>
      <c r="AJ59" s="13">
        <f>AI59*VLOOKUP('Données projet'!$B$10,Paramètres!$A$1:$I$89,3,0)*VLOOKUP('Données projet'!$B$10,Paramètres!$A$1:$I$89,5,0)</f>
        <v>1.3596945791505279E-13</v>
      </c>
      <c r="AK59" s="13">
        <f t="shared" si="35"/>
        <v>1.9708830566360721E-12</v>
      </c>
      <c r="AL59" s="20">
        <f t="shared" si="4"/>
        <v>3.669434796176543E-12</v>
      </c>
      <c r="AM59" s="59">
        <f t="shared" si="5"/>
        <v>293.33333333333701</v>
      </c>
      <c r="AN59" s="59">
        <f ca="1">AVERAGE(OFFSET($AM$3,0,0,'Données projet'!$E$10+1,1))-AVERAGE(OFFSET($H$3,0,0,'Données projet'!$E$10+1,1))</f>
        <v>287.52077437571728</v>
      </c>
      <c r="AO59" s="59">
        <f t="shared" si="36"/>
        <v>420.95891230839874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49.66579036608929</v>
      </c>
      <c r="AV59" s="21">
        <f>EXP(-LN(2)/25)*AV58+(1-EXP(-LN(2)/25))/(LN(2)/25)*Calculateur!AQ59*Calculateur!AS59*VLOOKUP('Données projet'!$B$10,Paramètres!$A$1:$I$89,3,0)*0.475*44/12</f>
        <v>91.746865025986835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141.41265539207612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9.5537500000000009</v>
      </c>
      <c r="BD59" s="12">
        <f>IF('Données projet'!$A$88&gt;35,BD58+BC59-BL58,IF(A59&lt;'Données projet'!$A$88,$BA$205^A59,IF(A59='Données projet'!$A$88,'Données projet'!$B$88,BD58+BC59-BL58)))</f>
        <v>216.76250000000019</v>
      </c>
      <c r="BE59" s="13">
        <f>BD59*VLOOKUP('Données projet'!$B$11,Paramètres!$A$1:$I$89,3,0)*VLOOKUP('Données projet'!$B$11,Paramètres!$A$1:$I$89,5,0)</f>
        <v>196.12671000000017</v>
      </c>
      <c r="BF59" s="13">
        <f t="shared" si="37"/>
        <v>48.891969383051702</v>
      </c>
      <c r="BG59" s="20">
        <f t="shared" si="7"/>
        <v>426.74086659214868</v>
      </c>
      <c r="BH59" s="59">
        <f t="shared" si="8"/>
        <v>720.07419992548193</v>
      </c>
      <c r="BI59" s="59">
        <f ca="1">AVERAGE(OFFSET($BH$3,0,0,'Données projet'!$E$11+1,1))-AVERAGE(OFFSET($H$3,0,0,'Données projet'!$E$11+1,1))</f>
        <v>581.88778927327667</v>
      </c>
      <c r="BJ59" s="59">
        <f t="shared" si="38"/>
        <v>269.67340993773422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8.301866168946205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8.301866168946205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12.324999999999998</v>
      </c>
      <c r="N60" s="13">
        <f>IF('Données projet'!$A$36&gt;35,N59+M60-V59,IF(A60&lt;'Données projet'!$A$36,$K$205^A60,IF(A60='Données projet'!$A$36,'Données projet'!$B$36,N59+M60-V59)))</f>
        <v>304.27499999999998</v>
      </c>
      <c r="O60" s="13">
        <f>N60*VLOOKUP('Données projet'!$B$9,Paramètres!$A$1:$I$89,3,0)*VLOOKUP('Données projet'!$B$9,Paramètres!$A$1:$I$89,5,0)</f>
        <v>265.81464</v>
      </c>
      <c r="P60" s="13">
        <f t="shared" si="33"/>
        <v>63.960224254172132</v>
      </c>
      <c r="Q60" s="20">
        <f t="shared" si="53"/>
        <v>574.35788857601642</v>
      </c>
      <c r="R60" s="59">
        <f t="shared" si="0"/>
        <v>867.69122190934968</v>
      </c>
      <c r="S60" s="59">
        <f ca="1">AVERAGE(OFFSET($R$3,0,0,'Données projet'!$E$9+1,1))-AVERAGE(OFFSET($H$3,0,0,'Données projet'!$E$9+1,1))</f>
        <v>413.25558401068383</v>
      </c>
      <c r="T60" s="59">
        <f t="shared" si="34"/>
        <v>289.56516326172863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29.675235611669034</v>
      </c>
      <c r="AA60" s="21">
        <f>EXP(-LN(2)/25)*AA59+(1-EXP(-LN(2)/25))/(LN(2)/25)*Calculateur!V60*Calculateur!X60*VLOOKUP('Données projet'!$B$9,Paramètres!$A$1:$I$89,3,0)*0.475*44/12</f>
        <v>15.541061307321186</v>
      </c>
      <c r="AB60" s="21">
        <f>EXP(-LN(2)/2)*AB59+(1-EXP(-LN(2)/2))/(LN(2)/2)*V60*Y60*VLOOKUP('Données projet'!$B$9,Paramètres!$A$1:$I$89,3,0)*0.475*44/12</f>
        <v>0</v>
      </c>
      <c r="AC60" s="22">
        <f t="shared" si="3"/>
        <v>45.216296918990224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2.2737367544323206E-13</v>
      </c>
      <c r="AJ60" s="13">
        <f>AI60*VLOOKUP('Données projet'!$B$10,Paramètres!$A$1:$I$89,3,0)*VLOOKUP('Données projet'!$B$10,Paramètres!$A$1:$I$89,5,0)</f>
        <v>1.3596945791505279E-13</v>
      </c>
      <c r="AK60" s="13">
        <f t="shared" si="35"/>
        <v>1.9708830566360721E-12</v>
      </c>
      <c r="AL60" s="20">
        <f t="shared" si="4"/>
        <v>3.669434796176543E-12</v>
      </c>
      <c r="AM60" s="59">
        <f t="shared" si="5"/>
        <v>293.33333333333701</v>
      </c>
      <c r="AN60" s="59">
        <f ca="1">AVERAGE(OFFSET($AM$3,0,0,'Données projet'!$E$10+1,1))-AVERAGE(OFFSET($H$3,0,0,'Données projet'!$E$10+1,1))</f>
        <v>287.52077437571728</v>
      </c>
      <c r="AO60" s="59">
        <f t="shared" si="36"/>
        <v>420.95891230839874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48.691874510151202</v>
      </c>
      <c r="AV60" s="21">
        <f>EXP(-LN(2)/25)*AV59+(1-EXP(-LN(2)/25))/(LN(2)/25)*Calculateur!AQ60*Calculateur!AS60*VLOOKUP('Données projet'!$B$10,Paramètres!$A$1:$I$89,3,0)*0.475*44/12</f>
        <v>89.238042177093277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137.92991668724449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9.5537500000000009</v>
      </c>
      <c r="BD60" s="12">
        <f>IF('Données projet'!$A$88&gt;35,BD59+BC60-BL59,IF(A60&lt;'Données projet'!$A$88,$BA$205^A60,IF(A60='Données projet'!$A$88,'Données projet'!$B$88,BD59+BC60-BL59)))</f>
        <v>226.3162500000002</v>
      </c>
      <c r="BE60" s="13">
        <f>BD60*VLOOKUP('Données projet'!$B$11,Paramètres!$A$1:$I$89,3,0)*VLOOKUP('Données projet'!$B$11,Paramètres!$A$1:$I$89,5,0)</f>
        <v>204.77094300000016</v>
      </c>
      <c r="BF60" s="13">
        <f t="shared" si="37"/>
        <v>50.791233664926693</v>
      </c>
      <c r="BG60" s="20">
        <f t="shared" si="7"/>
        <v>445.10412435808092</v>
      </c>
      <c r="BH60" s="59">
        <f t="shared" si="8"/>
        <v>738.43745769141424</v>
      </c>
      <c r="BI60" s="59">
        <f ca="1">AVERAGE(OFFSET($BH$3,0,0,'Données projet'!$E$11+1,1))-AVERAGE(OFFSET($H$3,0,0,'Données projet'!$E$11+1,1))</f>
        <v>581.88778927327667</v>
      </c>
      <c r="BJ60" s="59">
        <f t="shared" si="38"/>
        <v>269.67340993773422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8.1390716370115399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8.1390716370115399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12.324999999999998</v>
      </c>
      <c r="N61" s="13">
        <f>IF('Données projet'!$A$36&gt;35,N60+M61-V60,IF(A61&lt;'Données projet'!$A$36,$K$205^A61,IF(A61='Données projet'!$A$36,'Données projet'!$B$36,N60+M61-V60)))</f>
        <v>316.59999999999997</v>
      </c>
      <c r="O61" s="13">
        <f>N61*VLOOKUP('Données projet'!$B$9,Paramètres!$A$1:$I$89,3,0)*VLOOKUP('Données projet'!$B$9,Paramètres!$A$1:$I$89,5,0)</f>
        <v>276.58175999999997</v>
      </c>
      <c r="P61" s="13">
        <f t="shared" si="33"/>
        <v>66.244120909848903</v>
      </c>
      <c r="Q61" s="20">
        <f t="shared" si="53"/>
        <v>597.08840925132006</v>
      </c>
      <c r="R61" s="59">
        <f t="shared" si="0"/>
        <v>890.42174258465343</v>
      </c>
      <c r="S61" s="59">
        <f ca="1">AVERAGE(OFFSET($R$3,0,0,'Données projet'!$E$9+1,1))-AVERAGE(OFFSET($H$3,0,0,'Données projet'!$E$9+1,1))</f>
        <v>413.25558401068383</v>
      </c>
      <c r="T61" s="59">
        <f t="shared" si="34"/>
        <v>289.56516326172863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29.093322341430692</v>
      </c>
      <c r="AA61" s="21">
        <f>EXP(-LN(2)/25)*AA60+(1-EXP(-LN(2)/25))/(LN(2)/25)*Calculateur!V61*Calculateur!X61*VLOOKUP('Données projet'!$B$9,Paramètres!$A$1:$I$89,3,0)*0.475*44/12</f>
        <v>15.116090168603593</v>
      </c>
      <c r="AB61" s="21">
        <f>EXP(-LN(2)/2)*AB60+(1-EXP(-LN(2)/2))/(LN(2)/2)*V61*Y61*VLOOKUP('Données projet'!$B$9,Paramètres!$A$1:$I$89,3,0)*0.475*44/12</f>
        <v>0</v>
      </c>
      <c r="AC61" s="22">
        <f t="shared" si="3"/>
        <v>44.209412510034284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2.2737367544323206E-13</v>
      </c>
      <c r="AJ61" s="13">
        <f>AI61*VLOOKUP('Données projet'!$B$10,Paramètres!$A$1:$I$89,3,0)*VLOOKUP('Données projet'!$B$10,Paramètres!$A$1:$I$89,5,0)</f>
        <v>1.3596945791505279E-13</v>
      </c>
      <c r="AK61" s="13">
        <f t="shared" si="35"/>
        <v>1.9708830566360721E-12</v>
      </c>
      <c r="AL61" s="20">
        <f t="shared" si="4"/>
        <v>3.669434796176543E-12</v>
      </c>
      <c r="AM61" s="59">
        <f t="shared" si="5"/>
        <v>293.33333333333701</v>
      </c>
      <c r="AN61" s="59">
        <f ca="1">AVERAGE(OFFSET($AM$3,0,0,'Données projet'!$E$10+1,1))-AVERAGE(OFFSET($H$3,0,0,'Données projet'!$E$10+1,1))</f>
        <v>287.52077437571728</v>
      </c>
      <c r="AO61" s="59">
        <f t="shared" si="36"/>
        <v>420.95891230839874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47.737056550118041</v>
      </c>
      <c r="AV61" s="21">
        <f>EXP(-LN(2)/25)*AV60+(1-EXP(-LN(2)/25))/(LN(2)/25)*Calculateur!AQ61*Calculateur!AS61*VLOOKUP('Données projet'!$B$10,Paramètres!$A$1:$I$89,3,0)*0.475*44/12</f>
        <v>86.797823220935982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134.53487977105402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235.87</v>
      </c>
      <c r="BB61" s="12">
        <f>VLOOKUP(A61,'Données projet'!$A$87:$I$107,9,0)</f>
        <v>9.5537500000000009</v>
      </c>
      <c r="BC61" s="12">
        <f t="array" ref="BC61">INDEX(BB:BB,MIN(IF(ISNUMBER(BB61:BB257),ROW(BB61:BB257),"")))</f>
        <v>9.5537500000000009</v>
      </c>
      <c r="BD61" s="12">
        <f>IF('Données projet'!$A$88&gt;35,BD60+BC61-BL60,IF(A61&lt;'Données projet'!$A$88,$BA$205^A61,IF(A61='Données projet'!$A$88,'Données projet'!$B$88,BD60+BC61-BL60)))</f>
        <v>235.8700000000002</v>
      </c>
      <c r="BE61" s="13">
        <f>BD61*VLOOKUP('Données projet'!$B$11,Paramètres!$A$1:$I$89,3,0)*VLOOKUP('Données projet'!$B$11,Paramètres!$A$1:$I$89,5,0)</f>
        <v>213.41517600000017</v>
      </c>
      <c r="BF61" s="13">
        <f t="shared" si="37"/>
        <v>52.681185448853228</v>
      </c>
      <c r="BG61" s="20">
        <f t="shared" si="7"/>
        <v>463.45116285675294</v>
      </c>
      <c r="BH61" s="59">
        <f t="shared" si="8"/>
        <v>756.7844961900862</v>
      </c>
      <c r="BI61" s="59">
        <f ca="1">AVERAGE(OFFSET($BH$3,0,0,'Données projet'!$E$11+1,1))-AVERAGE(OFFSET($H$3,0,0,'Données projet'!$E$11+1,1))</f>
        <v>581.88778927327667</v>
      </c>
      <c r="BJ61" s="59">
        <f t="shared" si="38"/>
        <v>269.67340993773422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44.93</v>
      </c>
      <c r="BM61" s="16">
        <f>IF(ISNA(VLOOKUP(A61,'Données projet'!$A$87:$I$107,5,0)),0%,VLOOKUP(A61,'Données projet'!$A$87:$I$107,5,0)*VLOOKUP('Données projet'!$B$11,Paramètres!$A$1:$I$89,7,0))</f>
        <v>0.129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13.776770157795863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13.776770157795863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12.324999999999998</v>
      </c>
      <c r="N62" s="13">
        <f>IF('Données projet'!$A$36&gt;35,N61+M62-V61,IF(A62&lt;'Données projet'!$A$36,$K$205^A62,IF(A62='Données projet'!$A$36,'Données projet'!$B$36,N61+M62-V61)))</f>
        <v>328.92499999999995</v>
      </c>
      <c r="O62" s="13">
        <f>N62*VLOOKUP('Données projet'!$B$9,Paramètres!$A$1:$I$89,3,0)*VLOOKUP('Données projet'!$B$9,Paramètres!$A$1:$I$89,5,0)</f>
        <v>287.34887999999995</v>
      </c>
      <c r="P62" s="13">
        <f t="shared" si="33"/>
        <v>68.517689054473152</v>
      </c>
      <c r="Q62" s="20">
        <f t="shared" si="53"/>
        <v>619.80094110320726</v>
      </c>
      <c r="R62" s="59">
        <f t="shared" si="0"/>
        <v>913.13427443654064</v>
      </c>
      <c r="S62" s="59">
        <f ca="1">AVERAGE(OFFSET($R$3,0,0,'Données projet'!$E$9+1,1))-AVERAGE(OFFSET($H$3,0,0,'Données projet'!$E$9+1,1))</f>
        <v>413.25558401068383</v>
      </c>
      <c r="T62" s="59">
        <f t="shared" si="34"/>
        <v>289.56516326172863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28.522820035489673</v>
      </c>
      <c r="AA62" s="21">
        <f>EXP(-LN(2)/25)*AA61+(1-EXP(-LN(2)/25))/(LN(2)/25)*Calculateur!V62*Calculateur!X62*VLOOKUP('Données projet'!$B$9,Paramètres!$A$1:$I$89,3,0)*0.475*44/12</f>
        <v>14.702739888022494</v>
      </c>
      <c r="AB62" s="21">
        <f>EXP(-LN(2)/2)*AB61+(1-EXP(-LN(2)/2))/(LN(2)/2)*V62*Y62*VLOOKUP('Données projet'!$B$9,Paramètres!$A$1:$I$89,3,0)*0.475*44/12</f>
        <v>0</v>
      </c>
      <c r="AC62" s="22">
        <f t="shared" si="3"/>
        <v>43.225559923512165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2.2737367544323206E-13</v>
      </c>
      <c r="AJ62" s="13">
        <f>AI62*VLOOKUP('Données projet'!$B$10,Paramètres!$A$1:$I$89,3,0)*VLOOKUP('Données projet'!$B$10,Paramètres!$A$1:$I$89,5,0)</f>
        <v>1.3596945791505279E-13</v>
      </c>
      <c r="AK62" s="13">
        <f t="shared" si="35"/>
        <v>1.9708830566360721E-12</v>
      </c>
      <c r="AL62" s="20">
        <f t="shared" si="4"/>
        <v>3.669434796176543E-12</v>
      </c>
      <c r="AM62" s="59">
        <f t="shared" si="5"/>
        <v>293.33333333333701</v>
      </c>
      <c r="AN62" s="59">
        <f ca="1">AVERAGE(OFFSET($AM$3,0,0,'Données projet'!$E$10+1,1))-AVERAGE(OFFSET($H$3,0,0,'Données projet'!$E$10+1,1))</f>
        <v>287.52077437571728</v>
      </c>
      <c r="AO62" s="59">
        <f t="shared" si="36"/>
        <v>420.95891230839874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46.800961987899683</v>
      </c>
      <c r="AV62" s="21">
        <f>EXP(-LN(2)/25)*AV61+(1-EXP(-LN(2)/25))/(LN(2)/25)*Calculateur!AQ62*Calculateur!AS62*VLOOKUP('Données projet'!$B$10,Paramètres!$A$1:$I$89,3,0)*0.475*44/12</f>
        <v>84.42433218046034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131.22529416836002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9.2524999999999977</v>
      </c>
      <c r="BD62" s="12">
        <f>IF('Données projet'!$A$88&gt;35,BD61+BC62-BL61,IF(A62&lt;'Données projet'!$A$88,$BA$205^A62,IF(A62='Données projet'!$A$88,'Données projet'!$B$88,BD61+BC62-BL61)))</f>
        <v>200.19250000000019</v>
      </c>
      <c r="BE62" s="13">
        <f>BD62*VLOOKUP('Données projet'!$B$11,Paramètres!$A$1:$I$89,3,0)*VLOOKUP('Données projet'!$B$11,Paramètres!$A$1:$I$89,5,0)</f>
        <v>181.13417400000017</v>
      </c>
      <c r="BF62" s="13">
        <f t="shared" si="37"/>
        <v>45.574426667354729</v>
      </c>
      <c r="BG62" s="20">
        <f t="shared" si="7"/>
        <v>394.85081282897653</v>
      </c>
      <c r="BH62" s="59">
        <f t="shared" si="8"/>
        <v>688.18414616230984</v>
      </c>
      <c r="BI62" s="59">
        <f ca="1">AVERAGE(OFFSET($BH$3,0,0,'Données projet'!$E$11+1,1))-AVERAGE(OFFSET($H$3,0,0,'Données projet'!$E$11+1,1))</f>
        <v>581.88778927327667</v>
      </c>
      <c r="BJ62" s="59">
        <f t="shared" si="38"/>
        <v>269.67340993773422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13.506616098001555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13.506616098001555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12.324999999999998</v>
      </c>
      <c r="N63" s="13">
        <f>IF('Données projet'!$A$36&gt;35,N62+M63-V62,IF(A63&lt;'Données projet'!$A$36,$K$205^A63,IF(A63='Données projet'!$A$36,'Données projet'!$B$36,N62+M63-V62)))</f>
        <v>341.24999999999994</v>
      </c>
      <c r="O63" s="13">
        <f>N63*VLOOKUP('Données projet'!$B$9,Paramètres!$A$1:$I$89,3,0)*VLOOKUP('Données projet'!$B$9,Paramètres!$A$1:$I$89,5,0)</f>
        <v>298.11599999999999</v>
      </c>
      <c r="P63" s="13">
        <f t="shared" si="33"/>
        <v>70.781360016116508</v>
      </c>
      <c r="Q63" s="20">
        <f t="shared" si="53"/>
        <v>642.49623536140291</v>
      </c>
      <c r="R63" s="59">
        <f t="shared" si="0"/>
        <v>935.82956869473628</v>
      </c>
      <c r="S63" s="59">
        <f ca="1">AVERAGE(OFFSET($R$3,0,0,'Données projet'!$E$9+1,1))-AVERAGE(OFFSET($H$3,0,0,'Données projet'!$E$9+1,1))</f>
        <v>413.25558401068383</v>
      </c>
      <c r="T63" s="59">
        <f t="shared" si="34"/>
        <v>289.56516326172863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27.963504931796113</v>
      </c>
      <c r="AA63" s="21">
        <f>EXP(-LN(2)/25)*AA62+(1-EXP(-LN(2)/25))/(LN(2)/25)*Calculateur!V63*Calculateur!X63*VLOOKUP('Données projet'!$B$9,Paramètres!$A$1:$I$89,3,0)*0.475*44/12</f>
        <v>14.300692692601032</v>
      </c>
      <c r="AB63" s="21">
        <f>EXP(-LN(2)/2)*AB62+(1-EXP(-LN(2)/2))/(LN(2)/2)*V63*Y63*VLOOKUP('Données projet'!$B$9,Paramètres!$A$1:$I$89,3,0)*0.475*44/12</f>
        <v>0</v>
      </c>
      <c r="AC63" s="22">
        <f t="shared" si="3"/>
        <v>42.264197624397141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2.2737367544323206E-13</v>
      </c>
      <c r="AJ63" s="13">
        <f>AI63*VLOOKUP('Données projet'!$B$10,Paramètres!$A$1:$I$89,3,0)*VLOOKUP('Données projet'!$B$10,Paramètres!$A$1:$I$89,5,0)</f>
        <v>1.3596945791505279E-13</v>
      </c>
      <c r="AK63" s="13">
        <f t="shared" si="35"/>
        <v>1.9708830566360721E-12</v>
      </c>
      <c r="AL63" s="20">
        <f t="shared" si="4"/>
        <v>3.669434796176543E-12</v>
      </c>
      <c r="AM63" s="59">
        <f t="shared" si="5"/>
        <v>293.33333333333701</v>
      </c>
      <c r="AN63" s="59">
        <f ca="1">AVERAGE(OFFSET($AM$3,0,0,'Données projet'!$E$10+1,1))-AVERAGE(OFFSET($H$3,0,0,'Données projet'!$E$10+1,1))</f>
        <v>287.52077437571728</v>
      </c>
      <c r="AO63" s="59">
        <f t="shared" si="36"/>
        <v>420.95891230839874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45.883223669085119</v>
      </c>
      <c r="AV63" s="21">
        <f>EXP(-LN(2)/25)*AV62+(1-EXP(-LN(2)/25))/(LN(2)/25)*Calculateur!AQ63*Calculateur!AS63*VLOOKUP('Données projet'!$B$10,Paramètres!$A$1:$I$89,3,0)*0.475*44/12</f>
        <v>82.115744377302974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127.99896804638809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9.2524999999999977</v>
      </c>
      <c r="BD63" s="12">
        <f>IF('Données projet'!$A$88&gt;35,BD62+BC63-BL62,IF(A63&lt;'Données projet'!$A$88,$BA$205^A63,IF(A63='Données projet'!$A$88,'Données projet'!$B$88,BD62+BC63-BL62)))</f>
        <v>209.44500000000019</v>
      </c>
      <c r="BE63" s="13">
        <f>BD63*VLOOKUP('Données projet'!$B$11,Paramètres!$A$1:$I$89,3,0)*VLOOKUP('Données projet'!$B$11,Paramètres!$A$1:$I$89,5,0)</f>
        <v>189.50583600000016</v>
      </c>
      <c r="BF63" s="13">
        <f t="shared" si="37"/>
        <v>47.430683653447495</v>
      </c>
      <c r="BG63" s="20">
        <f t="shared" si="7"/>
        <v>412.6644383964213</v>
      </c>
      <c r="BH63" s="59">
        <f t="shared" si="8"/>
        <v>705.99777172975462</v>
      </c>
      <c r="BI63" s="59">
        <f ca="1">AVERAGE(OFFSET($BH$3,0,0,'Données projet'!$E$11+1,1))-AVERAGE(OFFSET($H$3,0,0,'Données projet'!$E$11+1,1))</f>
        <v>581.88778927327667</v>
      </c>
      <c r="BJ63" s="59">
        <f t="shared" si="38"/>
        <v>269.67340993773422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13.241759594542106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13.241759594542106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12.324999999999998</v>
      </c>
      <c r="N64" s="13">
        <f>IF('Données projet'!$A$36&gt;35,N63+M64-V63,IF(A64&lt;'Données projet'!$A$36,$K$205^A64,IF(A64='Données projet'!$A$36,'Données projet'!$B$36,N63+M64-V63)))</f>
        <v>353.57499999999993</v>
      </c>
      <c r="O64" s="13">
        <f>N64*VLOOKUP('Données projet'!$B$9,Paramètres!$A$1:$I$89,3,0)*VLOOKUP('Données projet'!$B$9,Paramètres!$A$1:$I$89,5,0)</f>
        <v>308.88311999999996</v>
      </c>
      <c r="P64" s="13">
        <f t="shared" si="33"/>
        <v>73.035532200167751</v>
      </c>
      <c r="Q64" s="20">
        <f t="shared" si="53"/>
        <v>665.17498591529204</v>
      </c>
      <c r="R64" s="59">
        <f t="shared" si="0"/>
        <v>958.50831924862541</v>
      </c>
      <c r="S64" s="59">
        <f ca="1">AVERAGE(OFFSET($R$3,0,0,'Données projet'!$E$9+1,1))-AVERAGE(OFFSET($H$3,0,0,'Données projet'!$E$9+1,1))</f>
        <v>413.25558401068383</v>
      </c>
      <c r="T64" s="59">
        <f t="shared" si="34"/>
        <v>289.56516326172863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27.415157656137453</v>
      </c>
      <c r="AA64" s="21">
        <f>EXP(-LN(2)/25)*AA63+(1-EXP(-LN(2)/25))/(LN(2)/25)*Calculateur!V64*Calculateur!X64*VLOOKUP('Données projet'!$B$9,Paramètres!$A$1:$I$89,3,0)*0.475*44/12</f>
        <v>13.909639498881113</v>
      </c>
      <c r="AB64" s="21">
        <f>EXP(-LN(2)/2)*AB63+(1-EXP(-LN(2)/2))/(LN(2)/2)*V64*Y64*VLOOKUP('Données projet'!$B$9,Paramètres!$A$1:$I$89,3,0)*0.475*44/12</f>
        <v>0</v>
      </c>
      <c r="AC64" s="22">
        <f t="shared" si="3"/>
        <v>41.324797155018565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2.2737367544323206E-13</v>
      </c>
      <c r="AJ64" s="13">
        <f>AI64*VLOOKUP('Données projet'!$B$10,Paramètres!$A$1:$I$89,3,0)*VLOOKUP('Données projet'!$B$10,Paramètres!$A$1:$I$89,5,0)</f>
        <v>1.3596945791505279E-13</v>
      </c>
      <c r="AK64" s="13">
        <f t="shared" si="35"/>
        <v>1.9708830566360721E-12</v>
      </c>
      <c r="AL64" s="20">
        <f t="shared" si="4"/>
        <v>3.669434796176543E-12</v>
      </c>
      <c r="AM64" s="59">
        <f t="shared" si="5"/>
        <v>293.33333333333701</v>
      </c>
      <c r="AN64" s="59">
        <f ca="1">AVERAGE(OFFSET($AM$3,0,0,'Données projet'!$E$10+1,1))-AVERAGE(OFFSET($H$3,0,0,'Données projet'!$E$10+1,1))</f>
        <v>287.52077437571728</v>
      </c>
      <c r="AO64" s="59">
        <f t="shared" si="36"/>
        <v>420.95891230839874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44.983481638937413</v>
      </c>
      <c r="AV64" s="21">
        <f>EXP(-LN(2)/25)*AV63+(1-EXP(-LN(2)/25))/(LN(2)/25)*Calculateur!AQ64*Calculateur!AS64*VLOOKUP('Données projet'!$B$10,Paramètres!$A$1:$I$89,3,0)*0.475*44/12</f>
        <v>79.870285029026306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124.85376666796373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9.2524999999999977</v>
      </c>
      <c r="BD64" s="12">
        <f>IF('Données projet'!$A$88&gt;35,BD63+BC64-BL63,IF(A64&lt;'Données projet'!$A$88,$BA$205^A64,IF(A64='Données projet'!$A$88,'Données projet'!$B$88,BD63+BC64-BL63)))</f>
        <v>218.69750000000019</v>
      </c>
      <c r="BE64" s="13">
        <f>BD64*VLOOKUP('Données projet'!$B$11,Paramètres!$A$1:$I$89,3,0)*VLOOKUP('Données projet'!$B$11,Paramètres!$A$1:$I$89,5,0)</f>
        <v>197.87749800000014</v>
      </c>
      <c r="BF64" s="13">
        <f t="shared" si="37"/>
        <v>49.277416774103372</v>
      </c>
      <c r="BG64" s="20">
        <f t="shared" si="7"/>
        <v>430.46147656489694</v>
      </c>
      <c r="BH64" s="59">
        <f t="shared" si="8"/>
        <v>723.79480989823026</v>
      </c>
      <c r="BI64" s="59">
        <f ca="1">AVERAGE(OFFSET($BH$3,0,0,'Données projet'!$E$11+1,1))-AVERAGE(OFFSET($H$3,0,0,'Données projet'!$E$11+1,1))</f>
        <v>581.88778927327667</v>
      </c>
      <c r="BJ64" s="59">
        <f t="shared" si="38"/>
        <v>269.67340993773422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12.982096765568983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12.982096765568983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365.9</v>
      </c>
      <c r="L65" s="12">
        <f>VLOOKUP(A65,'Données projet'!$A$35:$I$55,9,0)</f>
        <v>12.324999999999998</v>
      </c>
      <c r="M65" s="12">
        <f t="array" ref="M65">INDEX(L:L,MIN(IF(ISNUMBER(L65:L261),ROW(L65:L261),"")))</f>
        <v>12.324999999999998</v>
      </c>
      <c r="N65" s="13">
        <f>IF('Données projet'!$A$36&gt;35,N64+M65-V64,IF(A65&lt;'Données projet'!$A$36,$K$205^A65,IF(A65='Données projet'!$A$36,'Données projet'!$B$36,N64+M65-V64)))</f>
        <v>365.89999999999992</v>
      </c>
      <c r="O65" s="13">
        <f>N65*VLOOKUP('Données projet'!$B$9,Paramètres!$A$1:$I$89,3,0)*VLOOKUP('Données projet'!$B$9,Paramètres!$A$1:$I$89,5,0)</f>
        <v>319.65023999999994</v>
      </c>
      <c r="P65" s="13">
        <f t="shared" si="33"/>
        <v>75.280574661515132</v>
      </c>
      <c r="Q65" s="20">
        <f t="shared" si="53"/>
        <v>687.83783553547198</v>
      </c>
      <c r="R65" s="59">
        <f t="shared" si="0"/>
        <v>981.17116886880535</v>
      </c>
      <c r="S65" s="59">
        <f ca="1">AVERAGE(OFFSET($R$3,0,0,'Données projet'!$E$9+1,1))-AVERAGE(OFFSET($H$3,0,0,'Données projet'!$E$9+1,1))</f>
        <v>413.25558401068383</v>
      </c>
      <c r="T65" s="59">
        <f t="shared" si="34"/>
        <v>289.56516326172863</v>
      </c>
      <c r="U65" s="15">
        <f>IF(ISNA(VLOOKUP(A65,'Données projet'!$A$35:$I$55,3,0)),0,VLOOKUP(A65,'Données projet'!$A$35:$I$55,3,0))</f>
        <v>5</v>
      </c>
      <c r="V65" s="15">
        <f>IF(ISNA(VLOOKUP(A65,'Données projet'!$A$35:$I$55,4,0)),0,VLOOKUP(A65,'Données projet'!$A$35:$I$55,4,0))</f>
        <v>15.5</v>
      </c>
      <c r="W65" s="16">
        <f>IF(ISNA(VLOOKUP(A65,'Données projet'!$A$35:$I$55,5,0)),0%,VLOOKUP(A65,'Données projet'!$A$35:$I$55,5,0)*VLOOKUP('Données projet'!$B$9,Paramètres!$A$1:$I$89,7,0))</f>
        <v>0.25800000000000001</v>
      </c>
      <c r="X65" s="16">
        <f>IF(ISNA(VLOOKUP(A65,'Données projet'!$A$35:$I$55,6,0)),0%,VLOOKUP(A65,'Données projet'!$A$35:$I$55,6,0)*VLOOKUP('Données projet'!$B$9,Paramètres!$A$1:$I$89,7,0))</f>
        <v>0.129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30.739553091412027</v>
      </c>
      <c r="AA65" s="21">
        <f>EXP(-LN(2)/25)*AA64+(1-EXP(-LN(2)/25))/(LN(2)/25)*Calculateur!V65*Calculateur!X65*VLOOKUP('Données projet'!$B$9,Paramètres!$A$1:$I$89,3,0)*0.475*44/12</f>
        <v>15.452671589972439</v>
      </c>
      <c r="AB65" s="21">
        <f>EXP(-LN(2)/2)*AB64+(1-EXP(-LN(2)/2))/(LN(2)/2)*V65*Y65*VLOOKUP('Données projet'!$B$9,Paramètres!$A$1:$I$89,3,0)*0.475*44/12</f>
        <v>0</v>
      </c>
      <c r="AC65" s="22">
        <f t="shared" si="3"/>
        <v>46.192224681384467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2.2737367544323206E-13</v>
      </c>
      <c r="AJ65" s="13">
        <f>AI65*VLOOKUP('Données projet'!$B$10,Paramètres!$A$1:$I$89,3,0)*VLOOKUP('Données projet'!$B$10,Paramètres!$A$1:$I$89,5,0)</f>
        <v>1.3596945791505279E-13</v>
      </c>
      <c r="AK65" s="13">
        <f t="shared" si="35"/>
        <v>1.9708830566360721E-12</v>
      </c>
      <c r="AL65" s="20">
        <f t="shared" si="4"/>
        <v>3.669434796176543E-12</v>
      </c>
      <c r="AM65" s="59">
        <f t="shared" si="5"/>
        <v>293.33333333333701</v>
      </c>
      <c r="AN65" s="59">
        <f ca="1">AVERAGE(OFFSET($AM$3,0,0,'Données projet'!$E$10+1,1))-AVERAGE(OFFSET($H$3,0,0,'Données projet'!$E$10+1,1))</f>
        <v>287.52077437571728</v>
      </c>
      <c r="AO65" s="59">
        <f t="shared" si="36"/>
        <v>420.95891230839874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44.101383001212447</v>
      </c>
      <c r="AV65" s="21">
        <f>EXP(-LN(2)/25)*AV64+(1-EXP(-LN(2)/25))/(LN(2)/25)*Calculateur!AQ65*Calculateur!AS65*VLOOKUP('Données projet'!$B$10,Paramètres!$A$1:$I$89,3,0)*0.475*44/12</f>
        <v>77.68622788471184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121.78761088592429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9.2524999999999977</v>
      </c>
      <c r="BD65" s="12">
        <f>IF('Données projet'!$A$88&gt;35,BD64+BC65-BL64,IF(A65&lt;'Données projet'!$A$88,$BA$205^A65,IF(A65='Données projet'!$A$88,'Données projet'!$B$88,BD64+BC65-BL64)))</f>
        <v>227.95000000000019</v>
      </c>
      <c r="BE65" s="13">
        <f>BD65*VLOOKUP('Données projet'!$B$11,Paramètres!$A$1:$I$89,3,0)*VLOOKUP('Données projet'!$B$11,Paramètres!$A$1:$I$89,5,0)</f>
        <v>206.24916000000016</v>
      </c>
      <c r="BF65" s="13">
        <f t="shared" si="37"/>
        <v>51.115075026737237</v>
      </c>
      <c r="BG65" s="20">
        <f t="shared" si="7"/>
        <v>448.24270933823431</v>
      </c>
      <c r="BH65" s="59">
        <f t="shared" si="8"/>
        <v>741.57604267156762</v>
      </c>
      <c r="BI65" s="59">
        <f ca="1">AVERAGE(OFFSET($BH$3,0,0,'Données projet'!$E$11+1,1))-AVERAGE(OFFSET($H$3,0,0,'Données projet'!$E$11+1,1))</f>
        <v>581.88778927327667</v>
      </c>
      <c r="BJ65" s="59">
        <f t="shared" si="38"/>
        <v>269.67340993773422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12.727525766293335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12.727525766293335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11.53125</v>
      </c>
      <c r="N66" s="13">
        <f>IF('Données projet'!$A$36&gt;35,N65+M66-V65,IF(A66&lt;'Données projet'!$A$36,$K$205^A66,IF(A66='Données projet'!$A$36,'Données projet'!$B$36,N65+M66-V65)))</f>
        <v>361.93124999999992</v>
      </c>
      <c r="O66" s="13">
        <f>N66*VLOOKUP('Données projet'!$B$9,Paramètres!$A$1:$I$89,3,0)*VLOOKUP('Données projet'!$B$9,Paramètres!$A$1:$I$89,5,0)</f>
        <v>316.18313999999998</v>
      </c>
      <c r="P66" s="13">
        <f t="shared" si="33"/>
        <v>74.558627940302458</v>
      </c>
      <c r="Q66" s="20">
        <f t="shared" si="53"/>
        <v>680.54191249602673</v>
      </c>
      <c r="R66" s="59">
        <f t="shared" si="0"/>
        <v>973.87524582935998</v>
      </c>
      <c r="S66" s="59">
        <f ca="1">AVERAGE(OFFSET($R$3,0,0,'Données projet'!$E$9+1,1))-AVERAGE(OFFSET($H$3,0,0,'Données projet'!$E$9+1,1))</f>
        <v>413.25558401068383</v>
      </c>
      <c r="T66" s="59">
        <f t="shared" si="34"/>
        <v>289.56516326172863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30.136769204565486</v>
      </c>
      <c r="AA66" s="21">
        <f>EXP(-LN(2)/25)*AA65+(1-EXP(-LN(2)/25))/(LN(2)/25)*Calculateur!V66*Calculateur!X66*VLOOKUP('Données projet'!$B$9,Paramètres!$A$1:$I$89,3,0)*0.475*44/12</f>
        <v>15.030117472723962</v>
      </c>
      <c r="AB66" s="21">
        <f>EXP(-LN(2)/2)*AB65+(1-EXP(-LN(2)/2))/(LN(2)/2)*V66*Y66*VLOOKUP('Données projet'!$B$9,Paramètres!$A$1:$I$89,3,0)*0.475*44/12</f>
        <v>0</v>
      </c>
      <c r="AC66" s="22">
        <f t="shared" si="3"/>
        <v>45.166886677289448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2.2737367544323206E-13</v>
      </c>
      <c r="AJ66" s="13">
        <f>AI66*VLOOKUP('Données projet'!$B$10,Paramètres!$A$1:$I$89,3,0)*VLOOKUP('Données projet'!$B$10,Paramètres!$A$1:$I$89,5,0)</f>
        <v>1.3596945791505279E-13</v>
      </c>
      <c r="AK66" s="13">
        <f t="shared" si="35"/>
        <v>1.9708830566360721E-12</v>
      </c>
      <c r="AL66" s="20">
        <f t="shared" si="4"/>
        <v>3.669434796176543E-12</v>
      </c>
      <c r="AM66" s="59">
        <f t="shared" si="5"/>
        <v>293.33333333333701</v>
      </c>
      <c r="AN66" s="59">
        <f ca="1">AVERAGE(OFFSET($AM$3,0,0,'Données projet'!$E$10+1,1))-AVERAGE(OFFSET($H$3,0,0,'Données projet'!$E$10+1,1))</f>
        <v>287.52077437571728</v>
      </c>
      <c r="AO66" s="59">
        <f t="shared" si="36"/>
        <v>420.95891230839874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43.236581779746231</v>
      </c>
      <c r="AV66" s="21">
        <f>EXP(-LN(2)/25)*AV65+(1-EXP(-LN(2)/25))/(LN(2)/25)*Calculateur!AQ66*Calculateur!AS66*VLOOKUP('Données projet'!$B$10,Paramètres!$A$1:$I$89,3,0)*0.475*44/12</f>
        <v>75.561893897863229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118.79847567760946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9.2524999999999977</v>
      </c>
      <c r="BD66" s="12">
        <f>IF('Données projet'!$A$88&gt;35,BD65+BC66-BL65,IF(A66&lt;'Données projet'!$A$88,$BA$205^A66,IF(A66='Données projet'!$A$88,'Données projet'!$B$88,BD65+BC66-BL65)))</f>
        <v>237.20250000000019</v>
      </c>
      <c r="BE66" s="13">
        <f>BD66*VLOOKUP('Données projet'!$B$11,Paramètres!$A$1:$I$89,3,0)*VLOOKUP('Données projet'!$B$11,Paramètres!$A$1:$I$89,5,0)</f>
        <v>214.62082200000015</v>
      </c>
      <c r="BF66" s="13">
        <f t="shared" si="37"/>
        <v>52.944068896315315</v>
      </c>
      <c r="BG66" s="20">
        <f t="shared" si="7"/>
        <v>466.0088516444161</v>
      </c>
      <c r="BH66" s="59">
        <f t="shared" si="8"/>
        <v>759.34218497774941</v>
      </c>
      <c r="BI66" s="59">
        <f ca="1">AVERAGE(OFFSET($BH$3,0,0,'Données projet'!$E$11+1,1))-AVERAGE(OFFSET($H$3,0,0,'Données projet'!$E$11+1,1))</f>
        <v>581.88778927327667</v>
      </c>
      <c r="BJ66" s="59">
        <f t="shared" si="38"/>
        <v>269.67340993773422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12.477946749040505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12.477946749040505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11.53125</v>
      </c>
      <c r="N67" s="13">
        <f>IF('Données projet'!$A$36&gt;35,N66+M67-V66,IF(A67&lt;'Données projet'!$A$36,$K$205^A67,IF(A67='Données projet'!$A$36,'Données projet'!$B$36,N66+M67-V66)))</f>
        <v>373.46249999999992</v>
      </c>
      <c r="O67" s="13">
        <f>N67*VLOOKUP('Données projet'!$B$9,Paramètres!$A$1:$I$89,3,0)*VLOOKUP('Données projet'!$B$9,Paramètres!$A$1:$I$89,5,0)</f>
        <v>326.25683999999995</v>
      </c>
      <c r="P67" s="13">
        <f t="shared" si="33"/>
        <v>76.653740110766279</v>
      </c>
      <c r="Q67" s="20">
        <f t="shared" ref="Q67:Q98" si="54">(O67+P67)*0.475*44/12</f>
        <v>701.73592702625103</v>
      </c>
      <c r="R67" s="59">
        <f t="shared" ref="R67:R130" si="55">Q67+(I67+J67)*44/12</f>
        <v>995.0692603595844</v>
      </c>
      <c r="S67" s="59">
        <f ca="1">AVERAGE(OFFSET($R$3,0,0,'Données projet'!$E$9+1,1))-AVERAGE(OFFSET($H$3,0,0,'Données projet'!$E$9+1,1))</f>
        <v>413.25558401068383</v>
      </c>
      <c r="T67" s="59">
        <f t="shared" si="34"/>
        <v>289.56516326172863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29.545805542078138</v>
      </c>
      <c r="AA67" s="21">
        <f>EXP(-LN(2)/25)*AA66+(1-EXP(-LN(2)/25))/(LN(2)/25)*Calculateur!V67*Calculateur!X67*VLOOKUP('Données projet'!$B$9,Paramètres!$A$1:$I$89,3,0)*0.475*44/12</f>
        <v>14.6191181200328</v>
      </c>
      <c r="AB67" s="21">
        <f>EXP(-LN(2)/2)*AB66+(1-EXP(-LN(2)/2))/(LN(2)/2)*V67*Y67*VLOOKUP('Données projet'!$B$9,Paramètres!$A$1:$I$89,3,0)*0.475*44/12</f>
        <v>0</v>
      </c>
      <c r="AC67" s="22">
        <f t="shared" si="3"/>
        <v>44.164923662110937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2.2737367544323206E-13</v>
      </c>
      <c r="AJ67" s="13">
        <f>AI67*VLOOKUP('Données projet'!$B$10,Paramètres!$A$1:$I$89,3,0)*VLOOKUP('Données projet'!$B$10,Paramètres!$A$1:$I$89,5,0)</f>
        <v>1.3596945791505279E-13</v>
      </c>
      <c r="AK67" s="13">
        <f t="shared" si="35"/>
        <v>1.9708830566360721E-12</v>
      </c>
      <c r="AL67" s="20">
        <f t="shared" si="4"/>
        <v>3.669434796176543E-12</v>
      </c>
      <c r="AM67" s="59">
        <f t="shared" si="5"/>
        <v>293.33333333333701</v>
      </c>
      <c r="AN67" s="59">
        <f ca="1">AVERAGE(OFFSET($AM$3,0,0,'Données projet'!$E$10+1,1))-AVERAGE(OFFSET($H$3,0,0,'Données projet'!$E$10+1,1))</f>
        <v>287.52077437571728</v>
      </c>
      <c r="AO67" s="59">
        <f t="shared" si="36"/>
        <v>420.95891230839874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42.388738782756306</v>
      </c>
      <c r="AV67" s="21">
        <f>EXP(-LN(2)/25)*AV66+(1-EXP(-LN(2)/25))/(LN(2)/25)*Calculateur!AQ67*Calculateur!AS67*VLOOKUP('Données projet'!$B$10,Paramètres!$A$1:$I$89,3,0)*0.475*44/12</f>
        <v>73.495649935598863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115.88438871835517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9.2524999999999977</v>
      </c>
      <c r="BD67" s="12">
        <f>IF('Données projet'!$A$88&gt;35,BD66+BC67-BL66,IF(A67&lt;'Données projet'!$A$88,$BA$205^A67,IF(A67='Données projet'!$A$88,'Données projet'!$B$88,BD66+BC67-BL66)))</f>
        <v>246.45500000000018</v>
      </c>
      <c r="BE67" s="13">
        <f>BD67*VLOOKUP('Données projet'!$B$11,Paramètres!$A$1:$I$89,3,0)*VLOOKUP('Données projet'!$B$11,Paramètres!$A$1:$I$89,5,0)</f>
        <v>222.99248400000016</v>
      </c>
      <c r="BF67" s="13">
        <f t="shared" si="37"/>
        <v>54.764775031234961</v>
      </c>
      <c r="BG67" s="20">
        <f t="shared" si="7"/>
        <v>483.76055947940108</v>
      </c>
      <c r="BH67" s="59">
        <f t="shared" si="8"/>
        <v>777.09389281273434</v>
      </c>
      <c r="BI67" s="59">
        <f ca="1">AVERAGE(OFFSET($BH$3,0,0,'Données projet'!$E$11+1,1))-AVERAGE(OFFSET($H$3,0,0,'Données projet'!$E$11+1,1))</f>
        <v>581.88778927327667</v>
      </c>
      <c r="BJ67" s="59">
        <f t="shared" si="38"/>
        <v>269.67340993773422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12.233261824087835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12.233261824087835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11.53125</v>
      </c>
      <c r="N68" s="13">
        <f>IF('Données projet'!$A$36&gt;35,N67+M68-V67,IF(A68&lt;'Données projet'!$A$36,$K$205^A68,IF(A68='Données projet'!$A$36,'Données projet'!$B$36,N67+M68-V67)))</f>
        <v>384.99374999999992</v>
      </c>
      <c r="O68" s="13">
        <f>N68*VLOOKUP('Données projet'!$B$9,Paramètres!$A$1:$I$89,3,0)*VLOOKUP('Données projet'!$B$9,Paramètres!$A$1:$I$89,5,0)</f>
        <v>336.33053999999993</v>
      </c>
      <c r="P68" s="13">
        <f t="shared" si="33"/>
        <v>78.741334626746422</v>
      </c>
      <c r="Q68" s="20">
        <f t="shared" si="54"/>
        <v>722.91684830824988</v>
      </c>
      <c r="R68" s="59">
        <f t="shared" si="55"/>
        <v>1016.2501816415831</v>
      </c>
      <c r="S68" s="59">
        <f ca="1">AVERAGE(OFFSET($R$3,0,0,'Données projet'!$E$9+1,1))-AVERAGE(OFFSET($H$3,0,0,'Données projet'!$E$9+1,1))</f>
        <v>413.25558401068383</v>
      </c>
      <c r="T68" s="59">
        <f t="shared" si="34"/>
        <v>289.56516326172863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28.966430316559926</v>
      </c>
      <c r="AA68" s="21">
        <f>EXP(-LN(2)/25)*AA67+(1-EXP(-LN(2)/25))/(LN(2)/25)*Calculateur!V68*Calculateur!X68*VLOOKUP('Données projet'!$B$9,Paramètres!$A$1:$I$89,3,0)*0.475*44/12</f>
        <v>14.219357566254494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43.185787882814424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2.2737367544323206E-13</v>
      </c>
      <c r="AJ68" s="13">
        <f>AI68*VLOOKUP('Données projet'!$B$10,Paramètres!$A$1:$I$89,3,0)*VLOOKUP('Données projet'!$B$10,Paramètres!$A$1:$I$89,5,0)</f>
        <v>1.3596945791505279E-13</v>
      </c>
      <c r="AK68" s="13">
        <f t="shared" si="35"/>
        <v>1.9708830566360721E-12</v>
      </c>
      <c r="AL68" s="20">
        <f t="shared" ref="AL68:AL131" si="58">(AJ68+AK68)*0.475*44/12</f>
        <v>3.669434796176543E-12</v>
      </c>
      <c r="AM68" s="59">
        <f t="shared" ref="AM68:AM131" si="59">AL68+(AD68+AE68)*44/12</f>
        <v>293.33333333333701</v>
      </c>
      <c r="AN68" s="59">
        <f ca="1">AVERAGE(OFFSET($AM$3,0,0,'Données projet'!$E$10+1,1))-AVERAGE(OFFSET($H$3,0,0,'Données projet'!$E$10+1,1))</f>
        <v>287.52077437571728</v>
      </c>
      <c r="AO68" s="59">
        <f t="shared" si="36"/>
        <v>420.95891230839874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41.557521469804186</v>
      </c>
      <c r="AV68" s="21">
        <f>EXP(-LN(2)/25)*AV67+(1-EXP(-LN(2)/25))/(LN(2)/25)*Calculateur!AQ68*Calculateur!AS68*VLOOKUP('Données projet'!$B$10,Paramètres!$A$1:$I$89,3,0)*0.475*44/12</f>
        <v>71.485907523141663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113.04342899294585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9.2524999999999977</v>
      </c>
      <c r="BD68" s="12">
        <f>IF('Données projet'!$A$88&gt;35,BD67+BC68-BL67,IF(A68&lt;'Données projet'!$A$88,$BA$205^A68,IF(A68='Données projet'!$A$88,'Données projet'!$B$88,BD67+BC68-BL67)))</f>
        <v>255.70750000000018</v>
      </c>
      <c r="BE68" s="13">
        <f>BD68*VLOOKUP('Données projet'!$B$11,Paramètres!$A$1:$I$89,3,0)*VLOOKUP('Données projet'!$B$11,Paramètres!$A$1:$I$89,5,0)</f>
        <v>231.36414600000015</v>
      </c>
      <c r="BF68" s="13">
        <f t="shared" si="37"/>
        <v>56.57754019728695</v>
      </c>
      <c r="BG68" s="20">
        <f t="shared" ref="BG68:BG131" si="61">(BE68+BF68)*0.475*44/12</f>
        <v>501.49843679360833</v>
      </c>
      <c r="BH68" s="59">
        <f t="shared" ref="BH68:BH131" si="62">BG68+(AY68+AZ68)*44/12</f>
        <v>794.83177012694159</v>
      </c>
      <c r="BI68" s="59">
        <f ca="1">AVERAGE(OFFSET($BH$3,0,0,'Données projet'!$E$11+1,1))-AVERAGE(OFFSET($H$3,0,0,'Données projet'!$E$11+1,1))</f>
        <v>581.88778927327667</v>
      </c>
      <c r="BJ68" s="59">
        <f t="shared" si="38"/>
        <v>269.67340993773422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11.993375021270419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11.993375021270419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11.53125</v>
      </c>
      <c r="N69" s="13">
        <f>IF('Données projet'!$A$36&gt;35,N68+M69-V68,IF(A69&lt;'Données projet'!$A$36,$K$205^A69,IF(A69='Données projet'!$A$36,'Données projet'!$B$36,N68+M69-V68)))</f>
        <v>396.52499999999992</v>
      </c>
      <c r="O69" s="13">
        <f>N69*VLOOKUP('Données projet'!$B$9,Paramètres!$A$1:$I$89,3,0)*VLOOKUP('Données projet'!$B$9,Paramètres!$A$1:$I$89,5,0)</f>
        <v>346.40423999999996</v>
      </c>
      <c r="P69" s="13">
        <f t="shared" ref="P69:P132" si="87">EXP(-1.0587+0.8836*LN(O69)+0.284)</f>
        <v>80.821662503289502</v>
      </c>
      <c r="Q69" s="20">
        <f t="shared" si="54"/>
        <v>744.08511352656251</v>
      </c>
      <c r="R69" s="59">
        <f t="shared" si="55"/>
        <v>1037.4184468598958</v>
      </c>
      <c r="S69" s="59">
        <f ca="1">AVERAGE(OFFSET($R$3,0,0,'Données projet'!$E$9+1,1))-AVERAGE(OFFSET($H$3,0,0,'Données projet'!$E$9+1,1))</f>
        <v>413.25558401068383</v>
      </c>
      <c r="T69" s="59">
        <f t="shared" ref="T69:T132" si="88">$T$3</f>
        <v>289.56516326172863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28.39841628583013</v>
      </c>
      <c r="AA69" s="21">
        <f>EXP(-LN(2)/25)*AA68+(1-EXP(-LN(2)/25))/(LN(2)/25)*Calculateur!V69*Calculateur!X69*VLOOKUP('Données projet'!$B$9,Paramètres!$A$1:$I$89,3,0)*0.475*44/12</f>
        <v>13.83052848584175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42.228944771671877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2.2737367544323206E-13</v>
      </c>
      <c r="AJ69" s="13">
        <f>AI69*VLOOKUP('Données projet'!$B$10,Paramètres!$A$1:$I$89,3,0)*VLOOKUP('Données projet'!$B$10,Paramètres!$A$1:$I$89,5,0)</f>
        <v>1.3596945791505279E-13</v>
      </c>
      <c r="AK69" s="13">
        <f t="shared" ref="AK69:AK132" si="89">EXP(-1.0587+0.8836*LN(AJ69)+0.284)</f>
        <v>1.9708830566360721E-12</v>
      </c>
      <c r="AL69" s="20">
        <f t="shared" si="58"/>
        <v>3.669434796176543E-12</v>
      </c>
      <c r="AM69" s="59">
        <f t="shared" si="59"/>
        <v>293.33333333333701</v>
      </c>
      <c r="AN69" s="59">
        <f ca="1">AVERAGE(OFFSET($AM$3,0,0,'Données projet'!$E$10+1,1))-AVERAGE(OFFSET($H$3,0,0,'Données projet'!$E$10+1,1))</f>
        <v>287.52077437571728</v>
      </c>
      <c r="AO69" s="59">
        <f t="shared" ref="AO69:AO132" si="90">$AO$3</f>
        <v>420.95891230839874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40.742603821366558</v>
      </c>
      <c r="AV69" s="21">
        <f>EXP(-LN(2)/25)*AV68+(1-EXP(-LN(2)/25))/(LN(2)/25)*Calculateur!AQ69*Calculateur!AS69*VLOOKUP('Données projet'!$B$10,Paramètres!$A$1:$I$89,3,0)*0.475*44/12</f>
        <v>69.531121622640853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110.27372544400741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264.95999999999998</v>
      </c>
      <c r="BB69" s="12">
        <f>VLOOKUP(A69,'Données projet'!$A$87:$I$107,9,0)</f>
        <v>9.2524999999999977</v>
      </c>
      <c r="BC69" s="12">
        <f t="array" ref="BC69">INDEX(BB:BB,MIN(IF(ISNUMBER(BB69:BB265),ROW(BB69:BB265),"")))</f>
        <v>9.2524999999999977</v>
      </c>
      <c r="BD69" s="12">
        <f>IF('Données projet'!$A$88&gt;35,BD68+BC69-BL68,IF(A69&lt;'Données projet'!$A$88,$BA$205^A69,IF(A69='Données projet'!$A$88,'Données projet'!$B$88,BD68+BC69-BL68)))</f>
        <v>264.96000000000015</v>
      </c>
      <c r="BE69" s="13">
        <f>BD69*VLOOKUP('Données projet'!$B$11,Paramètres!$A$1:$I$89,3,0)*VLOOKUP('Données projet'!$B$11,Paramètres!$A$1:$I$89,5,0)</f>
        <v>239.73580800000011</v>
      </c>
      <c r="BF69" s="13">
        <f t="shared" ref="BF69:BF132" si="91">EXP(-1.0587+0.8836*LN(BE69)+0.284)</f>
        <v>58.38268464325516</v>
      </c>
      <c r="BG69" s="20">
        <f t="shared" si="61"/>
        <v>519.22304135366949</v>
      </c>
      <c r="BH69" s="59">
        <f t="shared" si="62"/>
        <v>812.55637468700274</v>
      </c>
      <c r="BI69" s="59">
        <f ca="1">AVERAGE(OFFSET($BH$3,0,0,'Données projet'!$E$11+1,1))-AVERAGE(OFFSET($H$3,0,0,'Données projet'!$E$11+1,1))</f>
        <v>581.88778927327667</v>
      </c>
      <c r="BJ69" s="59">
        <f t="shared" ref="BJ69:BJ132" si="92">$BJ$3</f>
        <v>269.67340993773422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49.91</v>
      </c>
      <c r="BM69" s="16">
        <f>IF(ISNA(VLOOKUP(A69,'Données projet'!$A$87:$I$107,5,0)),0%,VLOOKUP(A69,'Données projet'!$A$87:$I$107,5,0)*VLOOKUP('Données projet'!$B$11,Paramètres!$A$1:$I$89,7,0))</f>
        <v>0.25800000000000001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24.637928753319876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24.637928753319876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11.53125</v>
      </c>
      <c r="N70" s="13">
        <f>IF('Données projet'!$A$36&gt;35,N69+M70-V69,IF(A70&lt;'Données projet'!$A$36,$K$205^A70,IF(A70='Données projet'!$A$36,'Données projet'!$B$36,N69+M70-V69)))</f>
        <v>408.05624999999992</v>
      </c>
      <c r="O70" s="13">
        <f>N70*VLOOKUP('Données projet'!$B$9,Paramètres!$A$1:$I$89,3,0)*VLOOKUP('Données projet'!$B$9,Paramètres!$A$1:$I$89,5,0)</f>
        <v>356.47793999999999</v>
      </c>
      <c r="P70" s="13">
        <f t="shared" si="87"/>
        <v>82.894959325871184</v>
      </c>
      <c r="Q70" s="20">
        <f t="shared" si="54"/>
        <v>765.24113299255896</v>
      </c>
      <c r="R70" s="59">
        <f t="shared" si="55"/>
        <v>1058.5744663258922</v>
      </c>
      <c r="S70" s="59">
        <f ca="1">AVERAGE(OFFSET($R$3,0,0,'Données projet'!$E$9+1,1))-AVERAGE(OFFSET($H$3,0,0,'Données projet'!$E$9+1,1))</f>
        <v>413.25558401068383</v>
      </c>
      <c r="T70" s="59">
        <f t="shared" si="88"/>
        <v>289.56516326172863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27.841540663788596</v>
      </c>
      <c r="AA70" s="21">
        <f>EXP(-LN(2)/25)*AA69+(1-EXP(-LN(2)/25))/(LN(2)/25)*Calculateur!V70*Calculateur!X70*VLOOKUP('Données projet'!$B$9,Paramètres!$A$1:$I$89,3,0)*0.475*44/12</f>
        <v>13.452331957080524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41.293872620869124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2.2737367544323206E-13</v>
      </c>
      <c r="AJ70" s="13">
        <f>AI70*VLOOKUP('Données projet'!$B$10,Paramètres!$A$1:$I$89,3,0)*VLOOKUP('Données projet'!$B$10,Paramètres!$A$1:$I$89,5,0)</f>
        <v>1.3596945791505279E-13</v>
      </c>
      <c r="AK70" s="13">
        <f t="shared" si="89"/>
        <v>1.9708830566360721E-12</v>
      </c>
      <c r="AL70" s="20">
        <f t="shared" si="58"/>
        <v>3.669434796176543E-12</v>
      </c>
      <c r="AM70" s="59">
        <f t="shared" si="59"/>
        <v>293.33333333333701</v>
      </c>
      <c r="AN70" s="59">
        <f ca="1">AVERAGE(OFFSET($AM$3,0,0,'Données projet'!$E$10+1,1))-AVERAGE(OFFSET($H$3,0,0,'Données projet'!$E$10+1,1))</f>
        <v>287.52077437571728</v>
      </c>
      <c r="AO70" s="59">
        <f t="shared" si="90"/>
        <v>420.95891230839874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39.943666210964103</v>
      </c>
      <c r="AV70" s="21">
        <f>EXP(-LN(2)/25)*AV69+(1-EXP(-LN(2)/25))/(LN(2)/25)*Calculateur!AQ70*Calculateur!AS70*VLOOKUP('Données projet'!$B$10,Paramètres!$A$1:$I$89,3,0)*0.475*44/12</f>
        <v>67.629789445386962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107.57345565635106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8.8662500000000044</v>
      </c>
      <c r="BD70" s="12">
        <f>IF('Données projet'!$A$88&gt;35,BD69+BC70-BL69,IF(A70&lt;'Données projet'!$A$88,$BA$205^A70,IF(A70='Données projet'!$A$88,'Données projet'!$B$88,BD69+BC70-BL69)))</f>
        <v>223.91625000000013</v>
      </c>
      <c r="BE70" s="13">
        <f>BD70*VLOOKUP('Données projet'!$B$11,Paramètres!$A$1:$I$89,3,0)*VLOOKUP('Données projet'!$B$11,Paramètres!$A$1:$I$89,5,0)</f>
        <v>202.59942300000012</v>
      </c>
      <c r="BF70" s="13">
        <f t="shared" si="91"/>
        <v>50.315012169520465</v>
      </c>
      <c r="BG70" s="20">
        <f t="shared" si="61"/>
        <v>440.49264125358167</v>
      </c>
      <c r="BH70" s="59">
        <f t="shared" si="62"/>
        <v>733.82597458691498</v>
      </c>
      <c r="BI70" s="59">
        <f ca="1">AVERAGE(OFFSET($BH$3,0,0,'Données projet'!$E$11+1,1))-AVERAGE(OFFSET($H$3,0,0,'Données projet'!$E$11+1,1))</f>
        <v>581.88778927327667</v>
      </c>
      <c r="BJ70" s="59">
        <f t="shared" si="92"/>
        <v>269.67340993773422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24.154793998119956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24.154793998119956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11.53125</v>
      </c>
      <c r="N71" s="13">
        <f>IF('Données projet'!$A$36&gt;35,N70+M71-V70,IF(A71&lt;'Données projet'!$A$36,$K$205^A71,IF(A71='Données projet'!$A$36,'Données projet'!$B$36,N70+M71-V70)))</f>
        <v>419.58749999999992</v>
      </c>
      <c r="O71" s="13">
        <f>N71*VLOOKUP('Données projet'!$B$9,Paramètres!$A$1:$I$89,3,0)*VLOOKUP('Données projet'!$B$9,Paramètres!$A$1:$I$89,5,0)</f>
        <v>366.55163999999996</v>
      </c>
      <c r="P71" s="13">
        <f t="shared" si="87"/>
        <v>84.961446607721712</v>
      </c>
      <c r="Q71" s="20">
        <f t="shared" si="54"/>
        <v>786.38529250844852</v>
      </c>
      <c r="R71" s="59">
        <f t="shared" si="55"/>
        <v>1079.7186258417819</v>
      </c>
      <c r="S71" s="59">
        <f ca="1">AVERAGE(OFFSET($R$3,0,0,'Données projet'!$E$9+1,1))-AVERAGE(OFFSET($H$3,0,0,'Données projet'!$E$9+1,1))</f>
        <v>413.25558401068383</v>
      </c>
      <c r="T71" s="59">
        <f t="shared" si="88"/>
        <v>289.56516326172863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27.295585033034705</v>
      </c>
      <c r="AA71" s="21">
        <f>EXP(-LN(2)/25)*AA70+(1-EXP(-LN(2)/25))/(LN(2)/25)*Calculateur!V71*Calculateur!X71*VLOOKUP('Données projet'!$B$9,Paramètres!$A$1:$I$89,3,0)*0.475*44/12</f>
        <v>13.084477232286766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40.38006226532147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2.2737367544323206E-13</v>
      </c>
      <c r="AJ71" s="13">
        <f>AI71*VLOOKUP('Données projet'!$B$10,Paramètres!$A$1:$I$89,3,0)*VLOOKUP('Données projet'!$B$10,Paramètres!$A$1:$I$89,5,0)</f>
        <v>1.3596945791505279E-13</v>
      </c>
      <c r="AK71" s="13">
        <f t="shared" si="89"/>
        <v>1.9708830566360721E-12</v>
      </c>
      <c r="AL71" s="20">
        <f t="shared" si="58"/>
        <v>3.669434796176543E-12</v>
      </c>
      <c r="AM71" s="59">
        <f t="shared" si="59"/>
        <v>293.33333333333701</v>
      </c>
      <c r="AN71" s="59">
        <f ca="1">AVERAGE(OFFSET($AM$3,0,0,'Données projet'!$E$10+1,1))-AVERAGE(OFFSET($H$3,0,0,'Données projet'!$E$10+1,1))</f>
        <v>287.52077437571728</v>
      </c>
      <c r="AO71" s="59">
        <f t="shared" si="90"/>
        <v>420.95891230839874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39.160395279797818</v>
      </c>
      <c r="AV71" s="21">
        <f>EXP(-LN(2)/25)*AV70+(1-EXP(-LN(2)/25))/(LN(2)/25)*Calculateur!AQ71*Calculateur!AS71*VLOOKUP('Données projet'!$B$10,Paramètres!$A$1:$I$89,3,0)*0.475*44/12</f>
        <v>65.780449296506802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104.94084457630461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8.8662500000000044</v>
      </c>
      <c r="BD71" s="12">
        <f>IF('Données projet'!$A$88&gt;35,BD70+BC71-BL70,IF(A71&lt;'Données projet'!$A$88,$BA$205^A71,IF(A71='Données projet'!$A$88,'Données projet'!$B$88,BD70+BC71-BL70)))</f>
        <v>232.78250000000014</v>
      </c>
      <c r="BE71" s="13">
        <f>BD71*VLOOKUP('Données projet'!$B$11,Paramètres!$A$1:$I$89,3,0)*VLOOKUP('Données projet'!$B$11,Paramètres!$A$1:$I$89,5,0)</f>
        <v>210.62160600000013</v>
      </c>
      <c r="BF71" s="13">
        <f t="shared" si="91"/>
        <v>52.071398873356536</v>
      </c>
      <c r="BG71" s="20">
        <f t="shared" si="61"/>
        <v>457.5236501544295</v>
      </c>
      <c r="BH71" s="59">
        <f t="shared" si="62"/>
        <v>750.85698348776282</v>
      </c>
      <c r="BI71" s="59">
        <f ca="1">AVERAGE(OFFSET($BH$3,0,0,'Données projet'!$E$11+1,1))-AVERAGE(OFFSET($H$3,0,0,'Données projet'!$E$11+1,1))</f>
        <v>581.88778927327667</v>
      </c>
      <c r="BJ71" s="59">
        <f t="shared" si="92"/>
        <v>269.67340993773422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23.681133220786403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23.681133220786403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11.53125</v>
      </c>
      <c r="N72" s="13">
        <f>IF('Données projet'!$A$36&gt;35,N71+M72-V71,IF(A72&lt;'Données projet'!$A$36,$K$205^A72,IF(A72='Données projet'!$A$36,'Données projet'!$B$36,N71+M72-V71)))</f>
        <v>431.11874999999992</v>
      </c>
      <c r="O72" s="13">
        <f>N72*VLOOKUP('Données projet'!$B$9,Paramètres!$A$1:$I$89,3,0)*VLOOKUP('Données projet'!$B$9,Paramètres!$A$1:$I$89,5,0)</f>
        <v>376.62533999999999</v>
      </c>
      <c r="P72" s="13">
        <f t="shared" si="87"/>
        <v>87.021332993744224</v>
      </c>
      <c r="Q72" s="20">
        <f t="shared" si="54"/>
        <v>807.51795546410449</v>
      </c>
      <c r="R72" s="59">
        <f t="shared" si="55"/>
        <v>1100.8512887974377</v>
      </c>
      <c r="S72" s="59">
        <f ca="1">AVERAGE(OFFSET($R$3,0,0,'Données projet'!$E$9+1,1))-AVERAGE(OFFSET($H$3,0,0,'Données projet'!$E$9+1,1))</f>
        <v>413.25558401068383</v>
      </c>
      <c r="T72" s="59">
        <f t="shared" si="88"/>
        <v>289.56516326172863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26.760335259199845</v>
      </c>
      <c r="AA72" s="21">
        <f>EXP(-LN(2)/25)*AA71+(1-EXP(-LN(2)/25))/(LN(2)/25)*Calculateur!V72*Calculateur!X72*VLOOKUP('Données projet'!$B$9,Paramètres!$A$1:$I$89,3,0)*0.475*44/12</f>
        <v>12.726681514287131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39.487016773486978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2.2737367544323206E-13</v>
      </c>
      <c r="AJ72" s="13">
        <f>AI72*VLOOKUP('Données projet'!$B$10,Paramètres!$A$1:$I$89,3,0)*VLOOKUP('Données projet'!$B$10,Paramètres!$A$1:$I$89,5,0)</f>
        <v>1.3596945791505279E-13</v>
      </c>
      <c r="AK72" s="13">
        <f t="shared" si="89"/>
        <v>1.9708830566360721E-12</v>
      </c>
      <c r="AL72" s="20">
        <f t="shared" si="58"/>
        <v>3.669434796176543E-12</v>
      </c>
      <c r="AM72" s="59">
        <f t="shared" si="59"/>
        <v>293.33333333333701</v>
      </c>
      <c r="AN72" s="59">
        <f ca="1">AVERAGE(OFFSET($AM$3,0,0,'Données projet'!$E$10+1,1))-AVERAGE(OFFSET($H$3,0,0,'Données projet'!$E$10+1,1))</f>
        <v>287.52077437571728</v>
      </c>
      <c r="AO72" s="59">
        <f t="shared" si="90"/>
        <v>420.95891230839874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38.392483813843612</v>
      </c>
      <c r="AV72" s="21">
        <f>EXP(-LN(2)/25)*AV71+(1-EXP(-LN(2)/25))/(LN(2)/25)*Calculateur!AQ72*Calculateur!AS72*VLOOKUP('Données projet'!$B$10,Paramètres!$A$1:$I$89,3,0)*0.475*44/12</f>
        <v>63.981679451250336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102.37416326509396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8.8662500000000044</v>
      </c>
      <c r="BD72" s="12">
        <f>IF('Données projet'!$A$88&gt;35,BD71+BC72-BL71,IF(A72&lt;'Données projet'!$A$88,$BA$205^A72,IF(A72='Données projet'!$A$88,'Données projet'!$B$88,BD71+BC72-BL71)))</f>
        <v>241.64875000000015</v>
      </c>
      <c r="BE72" s="13">
        <f>BD72*VLOOKUP('Données projet'!$B$11,Paramètres!$A$1:$I$89,3,0)*VLOOKUP('Données projet'!$B$11,Paramètres!$A$1:$I$89,5,0)</f>
        <v>218.64378900000014</v>
      </c>
      <c r="BF72" s="13">
        <f t="shared" si="91"/>
        <v>53.820013961218514</v>
      </c>
      <c r="BG72" s="20">
        <f t="shared" si="61"/>
        <v>474.54112349078923</v>
      </c>
      <c r="BH72" s="59">
        <f t="shared" si="62"/>
        <v>767.87445682412249</v>
      </c>
      <c r="BI72" s="59">
        <f ca="1">AVERAGE(OFFSET($BH$3,0,0,'Données projet'!$E$11+1,1))-AVERAGE(OFFSET($H$3,0,0,'Données projet'!$E$11+1,1))</f>
        <v>581.88778927327667</v>
      </c>
      <c r="BJ72" s="59">
        <f t="shared" si="92"/>
        <v>269.67340993773422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23.216760642391815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23.216760642391815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11.53125</v>
      </c>
      <c r="N73" s="13">
        <f>IF('Données projet'!$A$36&gt;35,N72+M73-V72,IF(A73&lt;'Données projet'!$A$36,$K$205^A73,IF(A73='Données projet'!$A$36,'Données projet'!$B$36,N72+M73-V72)))</f>
        <v>442.64999999999992</v>
      </c>
      <c r="O73" s="13">
        <f>N73*VLOOKUP('Données projet'!$B$9,Paramètres!$A$1:$I$89,3,0)*VLOOKUP('Données projet'!$B$9,Paramètres!$A$1:$I$89,5,0)</f>
        <v>386.69903999999997</v>
      </c>
      <c r="P73" s="13">
        <f t="shared" si="87"/>
        <v>89.074815332006366</v>
      </c>
      <c r="Q73" s="20">
        <f t="shared" si="54"/>
        <v>828.63946470324436</v>
      </c>
      <c r="R73" s="59">
        <f t="shared" si="55"/>
        <v>1121.9727980365776</v>
      </c>
      <c r="S73" s="59">
        <f ca="1">AVERAGE(OFFSET($R$3,0,0,'Données projet'!$E$9+1,1))-AVERAGE(OFFSET($H$3,0,0,'Données projet'!$E$9+1,1))</f>
        <v>413.25558401068383</v>
      </c>
      <c r="T73" s="59">
        <f t="shared" si="88"/>
        <v>289.56516326172863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26.23558140695976</v>
      </c>
      <c r="AA73" s="21">
        <f>EXP(-LN(2)/25)*AA72+(1-EXP(-LN(2)/25))/(LN(2)/25)*Calculateur!V73*Calculateur!X73*VLOOKUP('Données projet'!$B$9,Paramètres!$A$1:$I$89,3,0)*0.475*44/12</f>
        <v>12.378669739011857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38.614251145971615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2.2737367544323206E-13</v>
      </c>
      <c r="AJ73" s="13">
        <f>AI73*VLOOKUP('Données projet'!$B$10,Paramètres!$A$1:$I$89,3,0)*VLOOKUP('Données projet'!$B$10,Paramètres!$A$1:$I$89,5,0)</f>
        <v>1.3596945791505279E-13</v>
      </c>
      <c r="AK73" s="13">
        <f t="shared" si="89"/>
        <v>1.9708830566360721E-12</v>
      </c>
      <c r="AL73" s="20">
        <f t="shared" si="58"/>
        <v>3.669434796176543E-12</v>
      </c>
      <c r="AM73" s="59">
        <f t="shared" si="59"/>
        <v>293.33333333333701</v>
      </c>
      <c r="AN73" s="59">
        <f ca="1">AVERAGE(OFFSET($AM$3,0,0,'Données projet'!$E$10+1,1))-AVERAGE(OFFSET($H$3,0,0,'Données projet'!$E$10+1,1))</f>
        <v>287.52077437571728</v>
      </c>
      <c r="AO73" s="59">
        <f t="shared" si="90"/>
        <v>420.95891230839874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37.639630623357014</v>
      </c>
      <c r="AV73" s="21">
        <f>EXP(-LN(2)/25)*AV72+(1-EXP(-LN(2)/25))/(LN(2)/25)*Calculateur!AQ73*Calculateur!AS73*VLOOKUP('Données projet'!$B$10,Paramètres!$A$1:$I$89,3,0)*0.475*44/12</f>
        <v>62.232097062005607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99.871727685362629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8.8662500000000044</v>
      </c>
      <c r="BD73" s="12">
        <f>IF('Données projet'!$A$88&gt;35,BD72+BC73-BL72,IF(A73&lt;'Données projet'!$A$88,$BA$205^A73,IF(A73='Données projet'!$A$88,'Données projet'!$B$88,BD72+BC73-BL72)))</f>
        <v>250.51500000000016</v>
      </c>
      <c r="BE73" s="13">
        <f>BD73*VLOOKUP('Données projet'!$B$11,Paramètres!$A$1:$I$89,3,0)*VLOOKUP('Données projet'!$B$11,Paramètres!$A$1:$I$89,5,0)</f>
        <v>226.66597200000012</v>
      </c>
      <c r="BF73" s="13">
        <f t="shared" si="91"/>
        <v>55.561175235972904</v>
      </c>
      <c r="BG73" s="20">
        <f t="shared" si="61"/>
        <v>491.54561476931968</v>
      </c>
      <c r="BH73" s="59">
        <f t="shared" si="62"/>
        <v>784.878948102653</v>
      </c>
      <c r="BI73" s="59">
        <f ca="1">AVERAGE(OFFSET($BH$3,0,0,'Données projet'!$E$11+1,1))-AVERAGE(OFFSET($H$3,0,0,'Données projet'!$E$11+1,1))</f>
        <v>581.88778927327667</v>
      </c>
      <c r="BJ73" s="59">
        <f t="shared" si="92"/>
        <v>269.67340993773422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22.761494127020239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22.761494127020239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11.53125</v>
      </c>
      <c r="N74" s="13">
        <f>IF('Données projet'!$A$36&gt;35,N73+M74-V73,IF(A74&lt;'Données projet'!$A$36,$K$205^A74,IF(A74='Données projet'!$A$36,'Données projet'!$B$36,N73+M74-V73)))</f>
        <v>454.18124999999992</v>
      </c>
      <c r="O74" s="13">
        <f>N74*VLOOKUP('Données projet'!$B$9,Paramètres!$A$1:$I$89,3,0)*VLOOKUP('Données projet'!$B$9,Paramètres!$A$1:$I$89,5,0)</f>
        <v>396.77273999999994</v>
      </c>
      <c r="P74" s="13">
        <f t="shared" si="87"/>
        <v>91.122079630437298</v>
      </c>
      <c r="Q74" s="20">
        <f t="shared" si="54"/>
        <v>849.75014418967828</v>
      </c>
      <c r="R74" s="59">
        <f t="shared" si="55"/>
        <v>1143.0834775230117</v>
      </c>
      <c r="S74" s="59">
        <f ca="1">AVERAGE(OFFSET($R$3,0,0,'Données projet'!$E$9+1,1))-AVERAGE(OFFSET($H$3,0,0,'Données projet'!$E$9+1,1))</f>
        <v>413.25558401068383</v>
      </c>
      <c r="T74" s="59">
        <f t="shared" si="88"/>
        <v>289.56516326172863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25.72111765769386</v>
      </c>
      <c r="AA74" s="21">
        <f>EXP(-LN(2)/25)*AA73+(1-EXP(-LN(2)/25))/(LN(2)/25)*Calculateur!V74*Calculateur!X74*VLOOKUP('Données projet'!$B$9,Paramètres!$A$1:$I$89,3,0)*0.475*44/12</f>
        <v>12.040174364032628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37.76129202172649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2.2737367544323206E-13</v>
      </c>
      <c r="AJ74" s="13">
        <f>AI74*VLOOKUP('Données projet'!$B$10,Paramètres!$A$1:$I$89,3,0)*VLOOKUP('Données projet'!$B$10,Paramètres!$A$1:$I$89,5,0)</f>
        <v>1.3596945791505279E-13</v>
      </c>
      <c r="AK74" s="13">
        <f t="shared" si="89"/>
        <v>1.9708830566360721E-12</v>
      </c>
      <c r="AL74" s="20">
        <f t="shared" si="58"/>
        <v>3.669434796176543E-12</v>
      </c>
      <c r="AM74" s="59">
        <f t="shared" si="59"/>
        <v>293.33333333333701</v>
      </c>
      <c r="AN74" s="59">
        <f ca="1">AVERAGE(OFFSET($AM$3,0,0,'Données projet'!$E$10+1,1))-AVERAGE(OFFSET($H$3,0,0,'Données projet'!$E$10+1,1))</f>
        <v>287.52077437571728</v>
      </c>
      <c r="AO74" s="59">
        <f t="shared" si="90"/>
        <v>420.95891230839874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36.901540424740759</v>
      </c>
      <c r="AV74" s="21">
        <f>EXP(-LN(2)/25)*AV73+(1-EXP(-LN(2)/25))/(LN(2)/25)*Calculateur!AQ74*Calculateur!AS74*VLOOKUP('Données projet'!$B$10,Paramètres!$A$1:$I$89,3,0)*0.475*44/12</f>
        <v>60.53035709520131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97.431897519942069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8.8662500000000044</v>
      </c>
      <c r="BD74" s="12">
        <f>IF('Données projet'!$A$88&gt;35,BD73+BC74-BL73,IF(A74&lt;'Données projet'!$A$88,$BA$205^A74,IF(A74='Données projet'!$A$88,'Données projet'!$B$88,BD73+BC74-BL73)))</f>
        <v>259.38125000000014</v>
      </c>
      <c r="BE74" s="13">
        <f>BD74*VLOOKUP('Données projet'!$B$11,Paramètres!$A$1:$I$89,3,0)*VLOOKUP('Données projet'!$B$11,Paramètres!$A$1:$I$89,5,0)</f>
        <v>234.68815500000011</v>
      </c>
      <c r="BF74" s="13">
        <f t="shared" si="91"/>
        <v>57.295176729679312</v>
      </c>
      <c r="BG74" s="20">
        <f t="shared" si="61"/>
        <v>508.53763609585832</v>
      </c>
      <c r="BH74" s="59">
        <f t="shared" si="62"/>
        <v>801.87096942919163</v>
      </c>
      <c r="BI74" s="59">
        <f ca="1">AVERAGE(OFFSET($BH$3,0,0,'Données projet'!$E$11+1,1))-AVERAGE(OFFSET($H$3,0,0,'Données projet'!$E$11+1,1))</f>
        <v>581.88778927327667</v>
      </c>
      <c r="BJ74" s="59">
        <f t="shared" si="92"/>
        <v>269.67340993773422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22.315155110329943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22.315155110329943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11.53125</v>
      </c>
      <c r="N75" s="13">
        <f>IF('Données projet'!$A$36&gt;35,N74+M75-V74,IF(A75&lt;'Données projet'!$A$36,$K$205^A75,IF(A75='Données projet'!$A$36,'Données projet'!$B$36,N74+M75-V74)))</f>
        <v>465.71249999999992</v>
      </c>
      <c r="O75" s="13">
        <f>N75*VLOOKUP('Données projet'!$B$9,Paramètres!$A$1:$I$89,3,0)*VLOOKUP('Données projet'!$B$9,Paramètres!$A$1:$I$89,5,0)</f>
        <v>406.84643999999997</v>
      </c>
      <c r="P75" s="13">
        <f t="shared" si="87"/>
        <v>93.163301913633518</v>
      </c>
      <c r="Q75" s="20">
        <f t="shared" si="54"/>
        <v>870.85030049957822</v>
      </c>
      <c r="R75" s="59">
        <f t="shared" si="55"/>
        <v>1164.1836338329115</v>
      </c>
      <c r="S75" s="59">
        <f ca="1">AVERAGE(OFFSET($R$3,0,0,'Données projet'!$E$9+1,1))-AVERAGE(OFFSET($H$3,0,0,'Données projet'!$E$9+1,1))</f>
        <v>413.25558401068383</v>
      </c>
      <c r="T75" s="59">
        <f t="shared" si="88"/>
        <v>289.56516326172863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25.216742228759159</v>
      </c>
      <c r="AA75" s="21">
        <f>EXP(-LN(2)/25)*AA74+(1-EXP(-LN(2)/25))/(LN(2)/25)*Calculateur!V75*Calculateur!X75*VLOOKUP('Données projet'!$B$9,Paramètres!$A$1:$I$89,3,0)*0.475*44/12</f>
        <v>11.710935162882905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36.927677391642064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2.2737367544323206E-13</v>
      </c>
      <c r="AJ75" s="13">
        <f>AI75*VLOOKUP('Données projet'!$B$10,Paramètres!$A$1:$I$89,3,0)*VLOOKUP('Données projet'!$B$10,Paramètres!$A$1:$I$89,5,0)</f>
        <v>1.3596945791505279E-13</v>
      </c>
      <c r="AK75" s="13">
        <f t="shared" si="89"/>
        <v>1.9708830566360721E-12</v>
      </c>
      <c r="AL75" s="20">
        <f t="shared" si="58"/>
        <v>3.669434796176543E-12</v>
      </c>
      <c r="AM75" s="59">
        <f t="shared" si="59"/>
        <v>293.33333333333701</v>
      </c>
      <c r="AN75" s="59">
        <f ca="1">AVERAGE(OFFSET($AM$3,0,0,'Données projet'!$E$10+1,1))-AVERAGE(OFFSET($H$3,0,0,'Données projet'!$E$10+1,1))</f>
        <v>287.52077437571728</v>
      </c>
      <c r="AO75" s="59">
        <f t="shared" si="90"/>
        <v>420.95891230839874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36.177923724728799</v>
      </c>
      <c r="AV75" s="21">
        <f>EXP(-LN(2)/25)*AV74+(1-EXP(-LN(2)/25))/(LN(2)/25)*Calculateur!AQ75*Calculateur!AS75*VLOOKUP('Données projet'!$B$10,Paramètres!$A$1:$I$89,3,0)*0.475*44/12</f>
        <v>58.875151297279892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95.053075022008699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8.8662500000000044</v>
      </c>
      <c r="BD75" s="12">
        <f>IF('Données projet'!$A$88&gt;35,BD74+BC75-BL74,IF(A75&lt;'Données projet'!$A$88,$BA$205^A75,IF(A75='Données projet'!$A$88,'Données projet'!$B$88,BD74+BC75-BL74)))</f>
        <v>268.24750000000012</v>
      </c>
      <c r="BE75" s="13">
        <f>BD75*VLOOKUP('Données projet'!$B$11,Paramètres!$A$1:$I$89,3,0)*VLOOKUP('Données projet'!$B$11,Paramètres!$A$1:$I$89,5,0)</f>
        <v>242.71033800000009</v>
      </c>
      <c r="BF75" s="13">
        <f t="shared" si="91"/>
        <v>59.022291232778812</v>
      </c>
      <c r="BG75" s="20">
        <f t="shared" si="61"/>
        <v>525.51766258042323</v>
      </c>
      <c r="BH75" s="59">
        <f t="shared" si="62"/>
        <v>818.85099591375661</v>
      </c>
      <c r="BI75" s="59">
        <f ca="1">AVERAGE(OFFSET($BH$3,0,0,'Données projet'!$E$11+1,1))-AVERAGE(OFFSET($H$3,0,0,'Données projet'!$E$11+1,1))</f>
        <v>581.88778927327667</v>
      </c>
      <c r="BJ75" s="59">
        <f t="shared" si="92"/>
        <v>269.67340993773422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21.877568529517024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21.877568529517024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11.53125</v>
      </c>
      <c r="N76" s="13">
        <f>IF('Données projet'!$A$36&gt;35,N75+M76-V75,IF(A76&lt;'Données projet'!$A$36,$K$205^A76,IF(A76='Données projet'!$A$36,'Données projet'!$B$36,N75+M76-V75)))</f>
        <v>477.24374999999992</v>
      </c>
      <c r="O76" s="13">
        <f>N76*VLOOKUP('Données projet'!$B$9,Paramètres!$A$1:$I$89,3,0)*VLOOKUP('Données projet'!$B$9,Paramètres!$A$1:$I$89,5,0)</f>
        <v>416.92013999999995</v>
      </c>
      <c r="P76" s="13">
        <f t="shared" si="87"/>
        <v>95.198648992414618</v>
      </c>
      <c r="Q76" s="20">
        <f t="shared" si="54"/>
        <v>891.94022416178871</v>
      </c>
      <c r="R76" s="59">
        <f t="shared" si="55"/>
        <v>1185.2735574951221</v>
      </c>
      <c r="S76" s="59">
        <f ca="1">AVERAGE(OFFSET($R$3,0,0,'Données projet'!$E$9+1,1))-AVERAGE(OFFSET($H$3,0,0,'Données projet'!$E$9+1,1))</f>
        <v>413.25558401068383</v>
      </c>
      <c r="T76" s="59">
        <f t="shared" si="88"/>
        <v>289.56516326172863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24.722257294347234</v>
      </c>
      <c r="AA76" s="21">
        <f>EXP(-LN(2)/25)*AA75+(1-EXP(-LN(2)/25))/(LN(2)/25)*Calculateur!V76*Calculateur!X76*VLOOKUP('Données projet'!$B$9,Paramètres!$A$1:$I$89,3,0)*0.475*44/12</f>
        <v>11.390699025002558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36.112956319349792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2.2737367544323206E-13</v>
      </c>
      <c r="AJ76" s="13">
        <f>AI76*VLOOKUP('Données projet'!$B$10,Paramètres!$A$1:$I$89,3,0)*VLOOKUP('Données projet'!$B$10,Paramètres!$A$1:$I$89,5,0)</f>
        <v>1.3596945791505279E-13</v>
      </c>
      <c r="AK76" s="13">
        <f t="shared" si="89"/>
        <v>1.9708830566360721E-12</v>
      </c>
      <c r="AL76" s="20">
        <f t="shared" si="58"/>
        <v>3.669434796176543E-12</v>
      </c>
      <c r="AM76" s="59">
        <f t="shared" si="59"/>
        <v>293.33333333333701</v>
      </c>
      <c r="AN76" s="59">
        <f ca="1">AVERAGE(OFFSET($AM$3,0,0,'Données projet'!$E$10+1,1))-AVERAGE(OFFSET($H$3,0,0,'Données projet'!$E$10+1,1))</f>
        <v>287.52077437571728</v>
      </c>
      <c r="AO76" s="59">
        <f t="shared" si="90"/>
        <v>420.95891230839874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35.468496706841471</v>
      </c>
      <c r="AV76" s="21">
        <f>EXP(-LN(2)/25)*AV75+(1-EXP(-LN(2)/25))/(LN(2)/25)*Calculateur!AQ76*Calculateur!AS76*VLOOKUP('Données projet'!$B$10,Paramètres!$A$1:$I$89,3,0)*0.475*44/12</f>
        <v>57.265207188946128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92.733703895787599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8.8662500000000044</v>
      </c>
      <c r="BD76" s="12">
        <f>IF('Données projet'!$A$88&gt;35,BD75+BC76-BL75,IF(A76&lt;'Données projet'!$A$88,$BA$205^A76,IF(A76='Données projet'!$A$88,'Données projet'!$B$88,BD75+BC76-BL75)))</f>
        <v>277.1137500000001</v>
      </c>
      <c r="BE76" s="13">
        <f>BD76*VLOOKUP('Données projet'!$B$11,Paramètres!$A$1:$I$89,3,0)*VLOOKUP('Données projet'!$B$11,Paramètres!$A$1:$I$89,5,0)</f>
        <v>250.73252100000005</v>
      </c>
      <c r="BF76" s="13">
        <f t="shared" si="91"/>
        <v>60.74277247950485</v>
      </c>
      <c r="BG76" s="20">
        <f t="shared" si="61"/>
        <v>542.48613614347107</v>
      </c>
      <c r="BH76" s="59">
        <f t="shared" si="62"/>
        <v>835.81946947680444</v>
      </c>
      <c r="BI76" s="59">
        <f ca="1">AVERAGE(OFFSET($BH$3,0,0,'Données projet'!$E$11+1,1))-AVERAGE(OFFSET($H$3,0,0,'Données projet'!$E$11+1,1))</f>
        <v>581.88778927327667</v>
      </c>
      <c r="BJ76" s="59">
        <f t="shared" si="92"/>
        <v>269.67340993773422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21.448562754652389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21.448562754652389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11.53125</v>
      </c>
      <c r="N77" s="13">
        <f>IF('Données projet'!$A$36&gt;35,N76+M77-V76,IF(A77&lt;'Données projet'!$A$36,$K$205^A77,IF(A77='Données projet'!$A$36,'Données projet'!$B$36,N76+M77-V76)))</f>
        <v>488.77499999999992</v>
      </c>
      <c r="O77" s="13">
        <f>N77*VLOOKUP('Données projet'!$B$9,Paramètres!$A$1:$I$89,3,0)*VLOOKUP('Données projet'!$B$9,Paramètres!$A$1:$I$89,5,0)</f>
        <v>426.99384000000003</v>
      </c>
      <c r="P77" s="13">
        <f t="shared" si="87"/>
        <v>97.228279156909025</v>
      </c>
      <c r="Q77" s="20">
        <f t="shared" si="54"/>
        <v>913.02019086494977</v>
      </c>
      <c r="R77" s="59">
        <f t="shared" si="55"/>
        <v>1206.3535241982831</v>
      </c>
      <c r="S77" s="59">
        <f ca="1">AVERAGE(OFFSET($R$3,0,0,'Données projet'!$E$9+1,1))-AVERAGE(OFFSET($H$3,0,0,'Données projet'!$E$9+1,1))</f>
        <v>413.25558401068383</v>
      </c>
      <c r="T77" s="59">
        <f t="shared" si="88"/>
        <v>289.56516326172863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24.237468907893099</v>
      </c>
      <c r="AA77" s="21">
        <f>EXP(-LN(2)/25)*AA76+(1-EXP(-LN(2)/25))/(LN(2)/25)*Calculateur!V77*Calculateur!X77*VLOOKUP('Données projet'!$B$9,Paramètres!$A$1:$I$89,3,0)*0.475*44/12</f>
        <v>11.079219761153036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35.316688669046137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2.2737367544323206E-13</v>
      </c>
      <c r="AJ77" s="13">
        <f>AI77*VLOOKUP('Données projet'!$B$10,Paramètres!$A$1:$I$89,3,0)*VLOOKUP('Données projet'!$B$10,Paramètres!$A$1:$I$89,5,0)</f>
        <v>1.3596945791505279E-13</v>
      </c>
      <c r="AK77" s="13">
        <f t="shared" si="89"/>
        <v>1.9708830566360721E-12</v>
      </c>
      <c r="AL77" s="20">
        <f t="shared" si="58"/>
        <v>3.669434796176543E-12</v>
      </c>
      <c r="AM77" s="59">
        <f t="shared" si="59"/>
        <v>293.33333333333701</v>
      </c>
      <c r="AN77" s="59">
        <f ca="1">AVERAGE(OFFSET($AM$3,0,0,'Données projet'!$E$10+1,1))-AVERAGE(OFFSET($H$3,0,0,'Données projet'!$E$10+1,1))</f>
        <v>287.52077437571728</v>
      </c>
      <c r="AO77" s="59">
        <f t="shared" si="90"/>
        <v>420.95891230839874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34.772981120067158</v>
      </c>
      <c r="AV77" s="21">
        <f>EXP(-LN(2)/25)*AV76+(1-EXP(-LN(2)/25))/(LN(2)/25)*Calculateur!AQ77*Calculateur!AS77*VLOOKUP('Données projet'!$B$10,Paramètres!$A$1:$I$89,3,0)*0.475*44/12</f>
        <v>55.699287086918034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90.472268206985191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285.98</v>
      </c>
      <c r="BB77" s="12">
        <f>VLOOKUP(A77,'Données projet'!$A$87:$I$107,9,0)</f>
        <v>8.8662500000000044</v>
      </c>
      <c r="BC77" s="12">
        <f t="array" ref="BC77">INDEX(BB:BB,MIN(IF(ISNUMBER(BB77:BB273),ROW(BB77:BB273),"")))</f>
        <v>8.8662500000000044</v>
      </c>
      <c r="BD77" s="12">
        <f>IF('Données projet'!$A$88&gt;35,BD76+BC77-BL76,IF(A77&lt;'Données projet'!$A$88,$BA$205^A77,IF(A77='Données projet'!$A$88,'Données projet'!$B$88,BD76+BC77-BL76)))</f>
        <v>285.98000000000008</v>
      </c>
      <c r="BE77" s="13">
        <f>BD77*VLOOKUP('Données projet'!$B$11,Paramètres!$A$1:$I$89,3,0)*VLOOKUP('Données projet'!$B$11,Paramètres!$A$1:$I$89,5,0)</f>
        <v>258.75470400000006</v>
      </c>
      <c r="BF77" s="13">
        <f t="shared" si="91"/>
        <v>62.456857045748947</v>
      </c>
      <c r="BG77" s="20">
        <f t="shared" si="61"/>
        <v>559.4434688213463</v>
      </c>
      <c r="BH77" s="59">
        <f t="shared" si="62"/>
        <v>852.77680215467967</v>
      </c>
      <c r="BI77" s="59">
        <f ca="1">AVERAGE(OFFSET($BH$3,0,0,'Données projet'!$E$11+1,1))-AVERAGE(OFFSET($H$3,0,0,'Données projet'!$E$11+1,1))</f>
        <v>581.88778927327667</v>
      </c>
      <c r="BJ77" s="59">
        <f t="shared" si="92"/>
        <v>269.67340993773422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47.4</v>
      </c>
      <c r="BM77" s="16">
        <f>IF(ISNA(VLOOKUP(A77,'Données projet'!$A$87:$I$107,5,0)),0%,VLOOKUP(A77,'Données projet'!$A$87:$I$107,5,0)*VLOOKUP('Données projet'!$B$11,Paramètres!$A$1:$I$89,7,0))</f>
        <v>0.25800000000000001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33.259977338364926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33.259977338364926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11.53125</v>
      </c>
      <c r="N78" s="13">
        <f>IF('Données projet'!$A$36&gt;35,N77+M78-V77,IF(A78&lt;'Données projet'!$A$36,$K$205^A78,IF(A78='Données projet'!$A$36,'Données projet'!$B$36,N77+M78-V77)))</f>
        <v>500.30624999999992</v>
      </c>
      <c r="O78" s="13">
        <f>N78*VLOOKUP('Données projet'!$B$9,Paramètres!$A$1:$I$89,3,0)*VLOOKUP('Données projet'!$B$9,Paramètres!$A$1:$I$89,5,0)</f>
        <v>437.06754000000001</v>
      </c>
      <c r="P78" s="13">
        <f t="shared" si="87"/>
        <v>99.252342802391027</v>
      </c>
      <c r="Q78" s="20">
        <f t="shared" si="54"/>
        <v>934.09046254749762</v>
      </c>
      <c r="R78" s="59">
        <f t="shared" si="55"/>
        <v>1227.423795880831</v>
      </c>
      <c r="S78" s="59">
        <f ca="1">AVERAGE(OFFSET($R$3,0,0,'Données projet'!$E$9+1,1))-AVERAGE(OFFSET($H$3,0,0,'Données projet'!$E$9+1,1))</f>
        <v>413.25558401068383</v>
      </c>
      <c r="T78" s="59">
        <f t="shared" si="88"/>
        <v>289.56516326172863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23.762186926005612</v>
      </c>
      <c r="AA78" s="21">
        <f>EXP(-LN(2)/25)*AA77+(1-EXP(-LN(2)/25))/(LN(2)/25)*Calculateur!V78*Calculateur!X78*VLOOKUP('Données projet'!$B$9,Paramètres!$A$1:$I$89,3,0)*0.475*44/12</f>
        <v>10.776257914153462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34.538444840159073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2.2737367544323206E-13</v>
      </c>
      <c r="AJ78" s="13">
        <f>AI78*VLOOKUP('Données projet'!$B$10,Paramètres!$A$1:$I$89,3,0)*VLOOKUP('Données projet'!$B$10,Paramètres!$A$1:$I$89,5,0)</f>
        <v>1.3596945791505279E-13</v>
      </c>
      <c r="AK78" s="13">
        <f t="shared" si="89"/>
        <v>1.9708830566360721E-12</v>
      </c>
      <c r="AL78" s="20">
        <f t="shared" si="58"/>
        <v>3.669434796176543E-12</v>
      </c>
      <c r="AM78" s="59">
        <f t="shared" si="59"/>
        <v>293.33333333333701</v>
      </c>
      <c r="AN78" s="59">
        <f ca="1">AVERAGE(OFFSET($AM$3,0,0,'Données projet'!$E$10+1,1))-AVERAGE(OFFSET($H$3,0,0,'Données projet'!$E$10+1,1))</f>
        <v>287.52077437571728</v>
      </c>
      <c r="AO78" s="59">
        <f t="shared" si="90"/>
        <v>420.95891230839874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34.091104169726869</v>
      </c>
      <c r="AV78" s="21">
        <f>EXP(-LN(2)/25)*AV77+(1-EXP(-LN(2)/25))/(LN(2)/25)*Calculateur!AQ78*Calculateur!AS78*VLOOKUP('Données projet'!$B$10,Paramètres!$A$1:$I$89,3,0)*0.475*44/12</f>
        <v>54.176187152428056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88.267291322154932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8.6770000000000014</v>
      </c>
      <c r="BD78" s="12">
        <f>IF('Données projet'!$A$88&gt;35,BD77+BC78-BL77,IF(A78&lt;'Données projet'!$A$88,$BA$205^A78,IF(A78='Données projet'!$A$88,'Données projet'!$B$88,BD77+BC78-BL77)))</f>
        <v>247.25700000000009</v>
      </c>
      <c r="BE78" s="13">
        <f>BD78*VLOOKUP('Données projet'!$B$11,Paramètres!$A$1:$I$89,3,0)*VLOOKUP('Données projet'!$B$11,Paramètres!$A$1:$I$89,5,0)</f>
        <v>223.71813360000007</v>
      </c>
      <c r="BF78" s="13">
        <f t="shared" si="91"/>
        <v>54.92221376571495</v>
      </c>
      <c r="BG78" s="20">
        <f t="shared" si="61"/>
        <v>485.29860499528695</v>
      </c>
      <c r="BH78" s="59">
        <f t="shared" si="62"/>
        <v>778.63193832862021</v>
      </c>
      <c r="BI78" s="59">
        <f ca="1">AVERAGE(OFFSET($BH$3,0,0,'Données projet'!$E$11+1,1))-AVERAGE(OFFSET($H$3,0,0,'Données projet'!$E$11+1,1))</f>
        <v>581.88778927327667</v>
      </c>
      <c r="BJ78" s="59">
        <f t="shared" si="92"/>
        <v>269.67340993773422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32.607769469342635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32.607769469342635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11.53125</v>
      </c>
      <c r="N79" s="13">
        <f>IF('Données projet'!$A$36&gt;35,N78+M79-V78,IF(A79&lt;'Données projet'!$A$36,$K$205^A79,IF(A79='Données projet'!$A$36,'Données projet'!$B$36,N78+M79-V78)))</f>
        <v>511.83749999999992</v>
      </c>
      <c r="O79" s="13">
        <f>N79*VLOOKUP('Données projet'!$B$9,Paramètres!$A$1:$I$89,3,0)*VLOOKUP('Données projet'!$B$9,Paramètres!$A$1:$I$89,5,0)</f>
        <v>447.14123999999998</v>
      </c>
      <c r="P79" s="13">
        <f t="shared" si="87"/>
        <v>101.2709829957939</v>
      </c>
      <c r="Q79" s="20">
        <f t="shared" si="54"/>
        <v>955.151288384341</v>
      </c>
      <c r="R79" s="59">
        <f t="shared" si="55"/>
        <v>1248.4846217176744</v>
      </c>
      <c r="S79" s="59">
        <f ca="1">AVERAGE(OFFSET($R$3,0,0,'Données projet'!$E$9+1,1))-AVERAGE(OFFSET($H$3,0,0,'Données projet'!$E$9+1,1))</f>
        <v>413.25558401068383</v>
      </c>
      <c r="T79" s="59">
        <f t="shared" si="88"/>
        <v>289.56516326172863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23.296224933889551</v>
      </c>
      <c r="AA79" s="21">
        <f>EXP(-LN(2)/25)*AA78+(1-EXP(-LN(2)/25))/(LN(2)/25)*Calculateur!V79*Calculateur!X79*VLOOKUP('Données projet'!$B$9,Paramètres!$A$1:$I$89,3,0)*0.475*44/12</f>
        <v>10.481580574792162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33.777805508681709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2.2737367544323206E-13</v>
      </c>
      <c r="AJ79" s="13">
        <f>AI79*VLOOKUP('Données projet'!$B$10,Paramètres!$A$1:$I$89,3,0)*VLOOKUP('Données projet'!$B$10,Paramètres!$A$1:$I$89,5,0)</f>
        <v>1.3596945791505279E-13</v>
      </c>
      <c r="AK79" s="13">
        <f t="shared" si="89"/>
        <v>1.9708830566360721E-12</v>
      </c>
      <c r="AL79" s="20">
        <f t="shared" si="58"/>
        <v>3.669434796176543E-12</v>
      </c>
      <c r="AM79" s="59">
        <f t="shared" si="59"/>
        <v>293.33333333333701</v>
      </c>
      <c r="AN79" s="59">
        <f ca="1">AVERAGE(OFFSET($AM$3,0,0,'Données projet'!$E$10+1,1))-AVERAGE(OFFSET($H$3,0,0,'Données projet'!$E$10+1,1))</f>
        <v>287.52077437571728</v>
      </c>
      <c r="AO79" s="59">
        <f t="shared" si="90"/>
        <v>420.95891230839874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33.422598410478876</v>
      </c>
      <c r="AV79" s="21">
        <f>EXP(-LN(2)/25)*AV78+(1-EXP(-LN(2)/25))/(LN(2)/25)*Calculateur!AQ79*Calculateur!AS79*VLOOKUP('Données projet'!$B$10,Paramètres!$A$1:$I$89,3,0)*0.475*44/12</f>
        <v>52.694736465743048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86.117334876221918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8.6770000000000014</v>
      </c>
      <c r="BD79" s="12">
        <f>IF('Données projet'!$A$88&gt;35,BD78+BC79-BL78,IF(A79&lt;'Données projet'!$A$88,$BA$205^A79,IF(A79='Données projet'!$A$88,'Données projet'!$B$88,BD78+BC79-BL78)))</f>
        <v>255.93400000000008</v>
      </c>
      <c r="BE79" s="13">
        <f>BD79*VLOOKUP('Données projet'!$B$11,Paramètres!$A$1:$I$89,3,0)*VLOOKUP('Données projet'!$B$11,Paramètres!$A$1:$I$89,5,0)</f>
        <v>231.56908320000005</v>
      </c>
      <c r="BF79" s="13">
        <f t="shared" si="91"/>
        <v>56.621819638037671</v>
      </c>
      <c r="BG79" s="20">
        <f t="shared" si="61"/>
        <v>501.93248910958238</v>
      </c>
      <c r="BH79" s="59">
        <f t="shared" si="62"/>
        <v>795.26582244291569</v>
      </c>
      <c r="BI79" s="59">
        <f ca="1">AVERAGE(OFFSET($BH$3,0,0,'Données projet'!$E$11+1,1))-AVERAGE(OFFSET($H$3,0,0,'Données projet'!$E$11+1,1))</f>
        <v>581.88778927327667</v>
      </c>
      <c r="BJ79" s="59">
        <f t="shared" si="92"/>
        <v>269.67340993773422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31.968350998824349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31.968350998824349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11.53125</v>
      </c>
      <c r="N80" s="13">
        <f>IF('Données projet'!$A$36&gt;35,N79+M80-V79,IF(A80&lt;'Données projet'!$A$36,$K$205^A80,IF(A80='Données projet'!$A$36,'Données projet'!$B$36,N79+M80-V79)))</f>
        <v>523.36874999999986</v>
      </c>
      <c r="O80" s="13">
        <f>N80*VLOOKUP('Données projet'!$B$9,Paramètres!$A$1:$I$89,3,0)*VLOOKUP('Données projet'!$B$9,Paramètres!$A$1:$I$89,5,0)</f>
        <v>457.21493999999996</v>
      </c>
      <c r="P80" s="13">
        <f t="shared" si="87"/>
        <v>103.28433598973167</v>
      </c>
      <c r="Q80" s="20">
        <f t="shared" si="54"/>
        <v>976.20290568211578</v>
      </c>
      <c r="R80" s="59">
        <f t="shared" si="55"/>
        <v>1269.5362390154492</v>
      </c>
      <c r="S80" s="59">
        <f ca="1">AVERAGE(OFFSET($R$3,0,0,'Données projet'!$E$9+1,1))-AVERAGE(OFFSET($H$3,0,0,'Données projet'!$E$9+1,1))</f>
        <v>413.25558401068383</v>
      </c>
      <c r="T80" s="59">
        <f t="shared" si="88"/>
        <v>289.56516326172863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22.839400172230135</v>
      </c>
      <c r="AA80" s="21">
        <f>EXP(-LN(2)/25)*AA79+(1-EXP(-LN(2)/25))/(LN(2)/25)*Calculateur!V80*Calculateur!X80*VLOOKUP('Données projet'!$B$9,Paramètres!$A$1:$I$89,3,0)*0.475*44/12</f>
        <v>10.194961202772104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33.034361375002241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2.2737367544323206E-13</v>
      </c>
      <c r="AJ80" s="13">
        <f>AI80*VLOOKUP('Données projet'!$B$10,Paramètres!$A$1:$I$89,3,0)*VLOOKUP('Données projet'!$B$10,Paramètres!$A$1:$I$89,5,0)</f>
        <v>1.3596945791505279E-13</v>
      </c>
      <c r="AK80" s="13">
        <f t="shared" si="89"/>
        <v>1.9708830566360721E-12</v>
      </c>
      <c r="AL80" s="20">
        <f t="shared" si="58"/>
        <v>3.669434796176543E-12</v>
      </c>
      <c r="AM80" s="59">
        <f t="shared" si="59"/>
        <v>293.33333333333701</v>
      </c>
      <c r="AN80" s="59">
        <f ca="1">AVERAGE(OFFSET($AM$3,0,0,'Données projet'!$E$10+1,1))-AVERAGE(OFFSET($H$3,0,0,'Données projet'!$E$10+1,1))</f>
        <v>287.52077437571728</v>
      </c>
      <c r="AO80" s="59">
        <f t="shared" si="90"/>
        <v>420.95891230839874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32.767201641421487</v>
      </c>
      <c r="AV80" s="21">
        <f>EXP(-LN(2)/25)*AV79+(1-EXP(-LN(2)/25))/(LN(2)/25)*Calculateur!AQ80*Calculateur!AS80*VLOOKUP('Données projet'!$B$10,Paramètres!$A$1:$I$89,3,0)*0.475*44/12</f>
        <v>51.253796125991549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84.020997767413036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8.6770000000000014</v>
      </c>
      <c r="BD80" s="12">
        <f>IF('Données projet'!$A$88&gt;35,BD79+BC80-BL79,IF(A80&lt;'Données projet'!$A$88,$BA$205^A80,IF(A80='Données projet'!$A$88,'Données projet'!$B$88,BD79+BC80-BL79)))</f>
        <v>264.6110000000001</v>
      </c>
      <c r="BE80" s="13">
        <f>BD80*VLOOKUP('Données projet'!$B$11,Paramètres!$A$1:$I$89,3,0)*VLOOKUP('Données projet'!$B$11,Paramètres!$A$1:$I$89,5,0)</f>
        <v>239.42003280000009</v>
      </c>
      <c r="BF80" s="13">
        <f t="shared" si="91"/>
        <v>58.314730148380967</v>
      </c>
      <c r="BG80" s="20">
        <f t="shared" si="61"/>
        <v>518.55471213509702</v>
      </c>
      <c r="BH80" s="59">
        <f t="shared" si="62"/>
        <v>811.88804546843039</v>
      </c>
      <c r="BI80" s="59">
        <f ca="1">AVERAGE(OFFSET($BH$3,0,0,'Données projet'!$E$11+1,1))-AVERAGE(OFFSET($H$3,0,0,'Données projet'!$E$11+1,1))</f>
        <v>581.88778927327667</v>
      </c>
      <c r="BJ80" s="59">
        <f t="shared" si="92"/>
        <v>269.67340993773422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31.341471134506168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31.341471134506168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>
        <f>VLOOKUP(A81,'Données projet'!$A$35:$I$55,2,0)</f>
        <v>534.9</v>
      </c>
      <c r="L81" s="12">
        <f>VLOOKUP(A81,'Données projet'!$A$35:$I$55,9,0)</f>
        <v>11.53125</v>
      </c>
      <c r="M81" s="12">
        <f t="array" ref="M81">INDEX(L:L,MIN(IF(ISNUMBER(L81:L277),ROW(L81:L277),"")))</f>
        <v>11.53125</v>
      </c>
      <c r="N81" s="13">
        <f>IF('Données projet'!$A$36&gt;35,N80+M81-V80,IF(A81&lt;'Données projet'!$A$36,$K$205^A81,IF(A81='Données projet'!$A$36,'Données projet'!$B$36,N80+M81-V80)))</f>
        <v>534.89999999999986</v>
      </c>
      <c r="O81" s="13">
        <f>N81*VLOOKUP('Données projet'!$B$9,Paramètres!$A$1:$I$89,3,0)*VLOOKUP('Données projet'!$B$9,Paramètres!$A$1:$I$89,5,0)</f>
        <v>467.28863999999987</v>
      </c>
      <c r="P81" s="13">
        <f t="shared" si="87"/>
        <v>105.29253168994205</v>
      </c>
      <c r="Q81" s="20">
        <f t="shared" si="54"/>
        <v>997.24554069331555</v>
      </c>
      <c r="R81" s="59">
        <f t="shared" si="55"/>
        <v>1290.5788740266489</v>
      </c>
      <c r="S81" s="59">
        <f ca="1">AVERAGE(OFFSET($R$3,0,0,'Données projet'!$E$9+1,1))-AVERAGE(OFFSET($H$3,0,0,'Données projet'!$E$9+1,1))</f>
        <v>413.25558401068383</v>
      </c>
      <c r="T81" s="59">
        <f t="shared" si="88"/>
        <v>289.56516326172863</v>
      </c>
      <c r="U81" s="15">
        <f>IF(ISNA(VLOOKUP(A81,'Données projet'!$A$35:$I$55,3,0)),0,VLOOKUP(A81,'Données projet'!$A$35:$I$55,3,0))</f>
        <v>6</v>
      </c>
      <c r="V81" s="15">
        <f>IF(ISNA(VLOOKUP(A81,'Données projet'!$A$35:$I$55,4,0)),0,VLOOKUP(A81,'Données projet'!$A$35:$I$55,4,0))</f>
        <v>534.9</v>
      </c>
      <c r="W81" s="16">
        <f>IF(ISNA(VLOOKUP(A81,'Données projet'!$A$35:$I$55,5,0)),0%,VLOOKUP(A81,'Données projet'!$A$35:$I$55,5,0)*VLOOKUP('Données projet'!$B$9,Paramètres!$A$1:$I$89,7,0))</f>
        <v>0.25800000000000001</v>
      </c>
      <c r="X81" s="16">
        <f>IF(ISNA(VLOOKUP(A81,'Données projet'!$A$35:$I$55,6,0)),0%,VLOOKUP(A81,'Données projet'!$A$35:$I$55,6,0)*VLOOKUP('Données projet'!$B$9,Paramètres!$A$1:$I$89,7,0))</f>
        <v>0.129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155.66756102026821</v>
      </c>
      <c r="AA81" s="21">
        <f>EXP(-LN(2)/25)*AA80+(1-EXP(-LN(2)/25))/(LN(2)/25)*Calculateur!V81*Calculateur!X81*VLOOKUP('Données projet'!$B$9,Paramètres!$A$1:$I$89,3,0)*0.475*44/12</f>
        <v>76.29181397861565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231.95937499888385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2.2737367544323206E-13</v>
      </c>
      <c r="AJ81" s="13">
        <f>AI81*VLOOKUP('Données projet'!$B$10,Paramètres!$A$1:$I$89,3,0)*VLOOKUP('Données projet'!$B$10,Paramètres!$A$1:$I$89,5,0)</f>
        <v>1.3596945791505279E-13</v>
      </c>
      <c r="AK81" s="13">
        <f t="shared" si="89"/>
        <v>1.9708830566360721E-12</v>
      </c>
      <c r="AL81" s="20">
        <f t="shared" si="58"/>
        <v>3.669434796176543E-12</v>
      </c>
      <c r="AM81" s="59">
        <f t="shared" si="59"/>
        <v>293.33333333333701</v>
      </c>
      <c r="AN81" s="59">
        <f ca="1">AVERAGE(OFFSET($AM$3,0,0,'Données projet'!$E$10+1,1))-AVERAGE(OFFSET($H$3,0,0,'Données projet'!$E$10+1,1))</f>
        <v>287.52077437571728</v>
      </c>
      <c r="AO81" s="59">
        <f t="shared" si="90"/>
        <v>420.95891230839874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32.124656803252755</v>
      </c>
      <c r="AV81" s="21">
        <f>EXP(-LN(2)/25)*AV80+(1-EXP(-LN(2)/25))/(LN(2)/25)*Calculateur!AQ81*Calculateur!AS81*VLOOKUP('Données projet'!$B$10,Paramètres!$A$1:$I$89,3,0)*0.475*44/12</f>
        <v>49.852258375606311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81.976915178859059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8.6770000000000014</v>
      </c>
      <c r="BD81" s="12">
        <f>IF('Données projet'!$A$88&gt;35,BD80+BC81-BL80,IF(A81&lt;'Données projet'!$A$88,$BA$205^A81,IF(A81='Données projet'!$A$88,'Données projet'!$B$88,BD80+BC81-BL80)))</f>
        <v>273.28800000000012</v>
      </c>
      <c r="BE81" s="13">
        <f>BD81*VLOOKUP('Données projet'!$B$11,Paramètres!$A$1:$I$89,3,0)*VLOOKUP('Données projet'!$B$11,Paramètres!$A$1:$I$89,5,0)</f>
        <v>247.27098240000012</v>
      </c>
      <c r="BF81" s="13">
        <f t="shared" si="91"/>
        <v>60.001190025553029</v>
      </c>
      <c r="BG81" s="20">
        <f t="shared" si="61"/>
        <v>535.16570030783839</v>
      </c>
      <c r="BH81" s="59">
        <f t="shared" si="62"/>
        <v>828.49903364117176</v>
      </c>
      <c r="BI81" s="59">
        <f ca="1">AVERAGE(OFFSET($BH$3,0,0,'Données projet'!$E$11+1,1))-AVERAGE(OFFSET($H$3,0,0,'Données projet'!$E$11+1,1))</f>
        <v>581.88778927327667</v>
      </c>
      <c r="BJ81" s="59">
        <f t="shared" si="92"/>
        <v>269.67340993773422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30.726884001968305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30.726884001968305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-9.9316821433603781E-14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413.25558401068383</v>
      </c>
      <c r="T82" s="59">
        <f t="shared" si="88"/>
        <v>289.56516326172863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152.61501509649764</v>
      </c>
      <c r="AA82" s="21">
        <f>EXP(-LN(2)/25)*AA81+(1-EXP(-LN(2)/25))/(LN(2)/25)*Calculateur!V82*Calculateur!X82*VLOOKUP('Données projet'!$B$9,Paramètres!$A$1:$I$89,3,0)*0.475*44/12</f>
        <v>74.205610313358278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226.82062540985592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2.2737367544323206E-13</v>
      </c>
      <c r="AJ82" s="13">
        <f>AI82*VLOOKUP('Données projet'!$B$10,Paramètres!$A$1:$I$89,3,0)*VLOOKUP('Données projet'!$B$10,Paramètres!$A$1:$I$89,5,0)</f>
        <v>1.3596945791505279E-13</v>
      </c>
      <c r="AK82" s="13">
        <f t="shared" si="89"/>
        <v>1.9708830566360721E-12</v>
      </c>
      <c r="AL82" s="20">
        <f t="shared" si="58"/>
        <v>3.669434796176543E-12</v>
      </c>
      <c r="AM82" s="59">
        <f t="shared" si="59"/>
        <v>293.33333333333701</v>
      </c>
      <c r="AN82" s="59">
        <f ca="1">AVERAGE(OFFSET($AM$3,0,0,'Données projet'!$E$10+1,1))-AVERAGE(OFFSET($H$3,0,0,'Données projet'!$E$10+1,1))</f>
        <v>287.52077437571728</v>
      </c>
      <c r="AO82" s="59">
        <f t="shared" si="90"/>
        <v>420.95891230839874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31.494711877446861</v>
      </c>
      <c r="AV82" s="21">
        <f>EXP(-LN(2)/25)*AV81+(1-EXP(-LN(2)/25))/(LN(2)/25)*Calculateur!AQ82*Calculateur!AS82*VLOOKUP('Données projet'!$B$10,Paramètres!$A$1:$I$89,3,0)*0.475*44/12</f>
        <v>48.489045748709025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79.983757626155892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8.6770000000000014</v>
      </c>
      <c r="BD82" s="12">
        <f>IF('Données projet'!$A$88&gt;35,BD81+BC82-BL81,IF(A82&lt;'Données projet'!$A$88,$BA$205^A82,IF(A82='Données projet'!$A$88,'Données projet'!$B$88,BD81+BC82-BL81)))</f>
        <v>281.96500000000015</v>
      </c>
      <c r="BE82" s="13">
        <f>BD82*VLOOKUP('Données projet'!$B$11,Paramètres!$A$1:$I$89,3,0)*VLOOKUP('Données projet'!$B$11,Paramètres!$A$1:$I$89,5,0)</f>
        <v>255.1219320000001</v>
      </c>
      <c r="BF82" s="13">
        <f t="shared" si="91"/>
        <v>61.681427575411924</v>
      </c>
      <c r="BG82" s="20">
        <f t="shared" si="61"/>
        <v>551.76585126050918</v>
      </c>
      <c r="BH82" s="59">
        <f t="shared" si="62"/>
        <v>845.09918459384244</v>
      </c>
      <c r="BI82" s="59">
        <f ca="1">AVERAGE(OFFSET($BH$3,0,0,'Données projet'!$E$11+1,1))-AVERAGE(OFFSET($H$3,0,0,'Données projet'!$E$11+1,1))</f>
        <v>581.88778927327667</v>
      </c>
      <c r="BJ82" s="59">
        <f t="shared" si="92"/>
        <v>269.67340993773422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30.124348548238373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30.124348548238373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-9.9316821433603781E-14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413.25558401068383</v>
      </c>
      <c r="T83" s="59">
        <f t="shared" si="88"/>
        <v>289.56516326172863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149.62232773642305</v>
      </c>
      <c r="AA83" s="21">
        <f>EXP(-LN(2)/25)*AA82+(1-EXP(-LN(2)/25))/(LN(2)/25)*Calculateur!V83*Calculateur!X83*VLOOKUP('Données projet'!$B$9,Paramètres!$A$1:$I$89,3,0)*0.475*44/12</f>
        <v>72.176453997036049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221.79878173345909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2.2737367544323206E-13</v>
      </c>
      <c r="AJ83" s="13">
        <f>AI83*VLOOKUP('Données projet'!$B$10,Paramètres!$A$1:$I$89,3,0)*VLOOKUP('Données projet'!$B$10,Paramètres!$A$1:$I$89,5,0)</f>
        <v>1.3596945791505279E-13</v>
      </c>
      <c r="AK83" s="13">
        <f t="shared" si="89"/>
        <v>1.9708830566360721E-12</v>
      </c>
      <c r="AL83" s="20">
        <f t="shared" si="58"/>
        <v>3.669434796176543E-12</v>
      </c>
      <c r="AM83" s="59">
        <f t="shared" si="59"/>
        <v>293.33333333333701</v>
      </c>
      <c r="AN83" s="59">
        <f ca="1">AVERAGE(OFFSET($AM$3,0,0,'Données projet'!$E$10+1,1))-AVERAGE(OFFSET($H$3,0,0,'Données projet'!$E$10+1,1))</f>
        <v>287.52077437571728</v>
      </c>
      <c r="AO83" s="59">
        <f t="shared" si="90"/>
        <v>420.95891230839874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30.877119787407555</v>
      </c>
      <c r="AV83" s="21">
        <f>EXP(-LN(2)/25)*AV82+(1-EXP(-LN(2)/25))/(LN(2)/25)*Calculateur!AQ83*Calculateur!AS83*VLOOKUP('Données projet'!$B$10,Paramètres!$A$1:$I$89,3,0)*0.475*44/12</f>
        <v>47.16311024278248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78.040230030190031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8.6770000000000014</v>
      </c>
      <c r="BD83" s="12">
        <f>IF('Données projet'!$A$88&gt;35,BD82+BC83-BL82,IF(A83&lt;'Données projet'!$A$88,$BA$205^A83,IF(A83='Données projet'!$A$88,'Données projet'!$B$88,BD82+BC83-BL82)))</f>
        <v>290.64200000000017</v>
      </c>
      <c r="BE83" s="13">
        <f>BD83*VLOOKUP('Données projet'!$B$11,Paramètres!$A$1:$I$89,3,0)*VLOOKUP('Données projet'!$B$11,Paramètres!$A$1:$I$89,5,0)</f>
        <v>262.97288160000016</v>
      </c>
      <c r="BF83" s="13">
        <f t="shared" si="91"/>
        <v>63.355656254051972</v>
      </c>
      <c r="BG83" s="20">
        <f t="shared" si="61"/>
        <v>568.35553676247412</v>
      </c>
      <c r="BH83" s="59">
        <f t="shared" si="62"/>
        <v>861.68887009580749</v>
      </c>
      <c r="BI83" s="59">
        <f ca="1">AVERAGE(OFFSET($BH$3,0,0,'Données projet'!$E$11+1,1))-AVERAGE(OFFSET($H$3,0,0,'Données projet'!$E$11+1,1))</f>
        <v>581.88778927327667</v>
      </c>
      <c r="BJ83" s="59">
        <f t="shared" si="92"/>
        <v>269.67340993773422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29.533628447245746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29.533628447245746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-9.9316821433603781E-14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413.25558401068383</v>
      </c>
      <c r="T84" s="59">
        <f t="shared" si="88"/>
        <v>289.56516326172863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146.68832515012048</v>
      </c>
      <c r="AA84" s="21">
        <f>EXP(-LN(2)/25)*AA83+(1-EXP(-LN(2)/25))/(LN(2)/25)*Calculateur!V84*Calculateur!X84*VLOOKUP('Données projet'!$B$9,Paramètres!$A$1:$I$89,3,0)*0.475*44/12</f>
        <v>70.202785066892346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216.89111021701282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2.2737367544323206E-13</v>
      </c>
      <c r="AJ84" s="13">
        <f>AI84*VLOOKUP('Données projet'!$B$10,Paramètres!$A$1:$I$89,3,0)*VLOOKUP('Données projet'!$B$10,Paramètres!$A$1:$I$89,5,0)</f>
        <v>1.3596945791505279E-13</v>
      </c>
      <c r="AK84" s="13">
        <f t="shared" si="89"/>
        <v>1.9708830566360721E-12</v>
      </c>
      <c r="AL84" s="20">
        <f t="shared" si="58"/>
        <v>3.669434796176543E-12</v>
      </c>
      <c r="AM84" s="59">
        <f t="shared" si="59"/>
        <v>293.33333333333701</v>
      </c>
      <c r="AN84" s="59">
        <f ca="1">AVERAGE(OFFSET($AM$3,0,0,'Données projet'!$E$10+1,1))-AVERAGE(OFFSET($H$3,0,0,'Données projet'!$E$10+1,1))</f>
        <v>287.52077437571728</v>
      </c>
      <c r="AO84" s="59">
        <f t="shared" si="90"/>
        <v>420.95891230839874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30.271638301559939</v>
      </c>
      <c r="AV84" s="21">
        <f>EXP(-LN(2)/25)*AV83+(1-EXP(-LN(2)/25))/(LN(2)/25)*Calculateur!AQ84*Calculateur!AS84*VLOOKUP('Données projet'!$B$10,Paramètres!$A$1:$I$89,3,0)*0.475*44/12</f>
        <v>45.873432512993418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76.14507081455335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8.6770000000000014</v>
      </c>
      <c r="BD84" s="12">
        <f>IF('Données projet'!$A$88&gt;35,BD83+BC84-BL83,IF(A84&lt;'Données projet'!$A$88,$BA$205^A84,IF(A84='Données projet'!$A$88,'Données projet'!$B$88,BD83+BC84-BL83)))</f>
        <v>299.31900000000019</v>
      </c>
      <c r="BE84" s="13">
        <f>BD84*VLOOKUP('Données projet'!$B$11,Paramètres!$A$1:$I$89,3,0)*VLOOKUP('Données projet'!$B$11,Paramètres!$A$1:$I$89,5,0)</f>
        <v>270.8238312000002</v>
      </c>
      <c r="BF84" s="13">
        <f t="shared" si="91"/>
        <v>65.024076047844915</v>
      </c>
      <c r="BG84" s="20">
        <f t="shared" si="61"/>
        <v>584.93510512333023</v>
      </c>
      <c r="BH84" s="59">
        <f t="shared" si="62"/>
        <v>878.26843845666349</v>
      </c>
      <c r="BI84" s="59">
        <f ca="1">AVERAGE(OFFSET($BH$3,0,0,'Données projet'!$E$11+1,1))-AVERAGE(OFFSET($H$3,0,0,'Données projet'!$E$11+1,1))</f>
        <v>581.88778927327667</v>
      </c>
      <c r="BJ84" s="59">
        <f t="shared" si="92"/>
        <v>269.67340993773422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28.9544920071299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28.9544920071299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-9.9316821433603781E-14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413.25558401068383</v>
      </c>
      <c r="T85" s="59">
        <f t="shared" si="88"/>
        <v>289.56516326172863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143.81185656497041</v>
      </c>
      <c r="AA85" s="21">
        <f>EXP(-LN(2)/25)*AA84+(1-EXP(-LN(2)/25))/(LN(2)/25)*Calculateur!V85*Calculateur!X85*VLOOKUP('Données projet'!$B$9,Paramètres!$A$1:$I$89,3,0)*0.475*44/12</f>
        <v>68.28308621743416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212.09494278240459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2.2737367544323206E-13</v>
      </c>
      <c r="AJ85" s="13">
        <f>AI85*VLOOKUP('Données projet'!$B$10,Paramètres!$A$1:$I$89,3,0)*VLOOKUP('Données projet'!$B$10,Paramètres!$A$1:$I$89,5,0)</f>
        <v>1.3596945791505279E-13</v>
      </c>
      <c r="AK85" s="13">
        <f t="shared" si="89"/>
        <v>1.9708830566360721E-12</v>
      </c>
      <c r="AL85" s="20">
        <f t="shared" si="58"/>
        <v>3.669434796176543E-12</v>
      </c>
      <c r="AM85" s="59">
        <f t="shared" si="59"/>
        <v>293.33333333333701</v>
      </c>
      <c r="AN85" s="59">
        <f ca="1">AVERAGE(OFFSET($AM$3,0,0,'Données projet'!$E$10+1,1))-AVERAGE(OFFSET($H$3,0,0,'Données projet'!$E$10+1,1))</f>
        <v>287.52077437571728</v>
      </c>
      <c r="AO85" s="59">
        <f t="shared" si="90"/>
        <v>420.95891230839874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29.678029938342558</v>
      </c>
      <c r="AV85" s="21">
        <f>EXP(-LN(2)/25)*AV84+(1-EXP(-LN(2)/25))/(LN(2)/25)*Calculateur!AQ85*Calculateur!AS85*VLOOKUP('Données projet'!$B$10,Paramètres!$A$1:$I$89,3,0)*0.475*44/12</f>
        <v>44.619021088546639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74.297051026889193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8.6770000000000014</v>
      </c>
      <c r="BD85" s="12">
        <f>IF('Données projet'!$A$88&gt;35,BD84+BC85-BL84,IF(A85&lt;'Données projet'!$A$88,$BA$205^A85,IF(A85='Données projet'!$A$88,'Données projet'!$B$88,BD84+BC85-BL84)))</f>
        <v>307.99600000000021</v>
      </c>
      <c r="BE85" s="13">
        <f>BD85*VLOOKUP('Données projet'!$B$11,Paramètres!$A$1:$I$89,3,0)*VLOOKUP('Données projet'!$B$11,Paramètres!$A$1:$I$89,5,0)</f>
        <v>278.67478080000018</v>
      </c>
      <c r="BF85" s="13">
        <f t="shared" si="91"/>
        <v>66.686874688958113</v>
      </c>
      <c r="BG85" s="20">
        <f t="shared" si="61"/>
        <v>601.50488330993562</v>
      </c>
      <c r="BH85" s="59">
        <f t="shared" si="62"/>
        <v>894.83821664326888</v>
      </c>
      <c r="BI85" s="59">
        <f ca="1">AVERAGE(OFFSET($BH$3,0,0,'Données projet'!$E$11+1,1))-AVERAGE(OFFSET($H$3,0,0,'Données projet'!$E$11+1,1))</f>
        <v>581.88778927327667</v>
      </c>
      <c r="BJ85" s="59">
        <f t="shared" si="92"/>
        <v>269.67340993773422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28.386712079366379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28.386712079366379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-9.9316821433603781E-14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413.25558401068383</v>
      </c>
      <c r="T86" s="59">
        <f t="shared" si="88"/>
        <v>289.56516326172863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140.99179377430255</v>
      </c>
      <c r="AA86" s="21">
        <f>EXP(-LN(2)/25)*AA85+(1-EXP(-LN(2)/25))/(LN(2)/25)*Calculateur!V86*Calculateur!X86*VLOOKUP('Données projet'!$B$9,Paramètres!$A$1:$I$89,3,0)*0.475*44/12</f>
        <v>66.415881633966976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207.40767540826954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2.2737367544323206E-13</v>
      </c>
      <c r="AJ86" s="13">
        <f>AI86*VLOOKUP('Données projet'!$B$10,Paramètres!$A$1:$I$89,3,0)*VLOOKUP('Données projet'!$B$10,Paramètres!$A$1:$I$89,5,0)</f>
        <v>1.3596945791505279E-13</v>
      </c>
      <c r="AK86" s="13">
        <f t="shared" si="89"/>
        <v>1.9708830566360721E-12</v>
      </c>
      <c r="AL86" s="20">
        <f t="shared" si="58"/>
        <v>3.669434796176543E-12</v>
      </c>
      <c r="AM86" s="59">
        <f t="shared" si="59"/>
        <v>293.33333333333701</v>
      </c>
      <c r="AN86" s="59">
        <f ca="1">AVERAGE(OFFSET($AM$3,0,0,'Données projet'!$E$10+1,1))-AVERAGE(OFFSET($H$3,0,0,'Données projet'!$E$10+1,1))</f>
        <v>287.52077437571728</v>
      </c>
      <c r="AO86" s="59">
        <f t="shared" si="90"/>
        <v>420.95891230839874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29.096061873062517</v>
      </c>
      <c r="AV86" s="21">
        <f>EXP(-LN(2)/25)*AV85+(1-EXP(-LN(2)/25))/(LN(2)/25)*Calculateur!AQ86*Calculateur!AS86*VLOOKUP('Données projet'!$B$10,Paramètres!$A$1:$I$89,3,0)*0.475*44/12</f>
        <v>43.398911610467991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72.494973483530515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8.6770000000000014</v>
      </c>
      <c r="BD86" s="12">
        <f>IF('Données projet'!$A$88&gt;35,BD85+BC86-BL85,IF(A86&lt;'Données projet'!$A$88,$BA$205^A86,IF(A86='Données projet'!$A$88,'Données projet'!$B$88,BD85+BC86-BL85)))</f>
        <v>316.67300000000023</v>
      </c>
      <c r="BE86" s="13">
        <f>BD86*VLOOKUP('Données projet'!$B$11,Paramètres!$A$1:$I$89,3,0)*VLOOKUP('Données projet'!$B$11,Paramètres!$A$1:$I$89,5,0)</f>
        <v>286.52573040000021</v>
      </c>
      <c r="BF86" s="13">
        <f t="shared" si="91"/>
        <v>68.344228730046424</v>
      </c>
      <c r="BG86" s="20">
        <f t="shared" si="61"/>
        <v>618.06517881816455</v>
      </c>
      <c r="BH86" s="59">
        <f t="shared" si="62"/>
        <v>911.39851215149793</v>
      </c>
      <c r="BI86" s="59">
        <f ca="1">AVERAGE(OFFSET($BH$3,0,0,'Données projet'!$E$11+1,1))-AVERAGE(OFFSET($H$3,0,0,'Données projet'!$E$11+1,1))</f>
        <v>581.88778927327667</v>
      </c>
      <c r="BJ86" s="59">
        <f t="shared" si="92"/>
        <v>269.67340993773422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27.830065969674738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27.830065969674738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-9.9316821433603781E-14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413.25558401068383</v>
      </c>
      <c r="T87" s="59">
        <f t="shared" si="88"/>
        <v>289.56516326172863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138.22703069489123</v>
      </c>
      <c r="AA87" s="21">
        <f>EXP(-LN(2)/25)*AA86+(1-EXP(-LN(2)/25))/(LN(2)/25)*Calculateur!V87*Calculateur!X87*VLOOKUP('Données projet'!$B$9,Paramètres!$A$1:$I$89,3,0)*0.475*44/12</f>
        <v>64.599735858026733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202.82676655291795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2.2737367544323206E-13</v>
      </c>
      <c r="AJ87" s="13">
        <f>AI87*VLOOKUP('Données projet'!$B$10,Paramètres!$A$1:$I$89,3,0)*VLOOKUP('Données projet'!$B$10,Paramètres!$A$1:$I$89,5,0)</f>
        <v>1.3596945791505279E-13</v>
      </c>
      <c r="AK87" s="13">
        <f t="shared" si="89"/>
        <v>1.9708830566360721E-12</v>
      </c>
      <c r="AL87" s="20">
        <f t="shared" si="58"/>
        <v>3.669434796176543E-12</v>
      </c>
      <c r="AM87" s="59">
        <f t="shared" si="59"/>
        <v>293.33333333333701</v>
      </c>
      <c r="AN87" s="59">
        <f ca="1">AVERAGE(OFFSET($AM$3,0,0,'Données projet'!$E$10+1,1))-AVERAGE(OFFSET($H$3,0,0,'Données projet'!$E$10+1,1))</f>
        <v>287.52077437571728</v>
      </c>
      <c r="AO87" s="59">
        <f t="shared" si="90"/>
        <v>420.95891230839874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28.525505846577147</v>
      </c>
      <c r="AV87" s="21">
        <f>EXP(-LN(2)/25)*AV86+(1-EXP(-LN(2)/25))/(LN(2)/25)*Calculateur!AQ87*Calculateur!AS87*VLOOKUP('Données projet'!$B$10,Paramètres!$A$1:$I$89,3,0)*0.475*44/12</f>
        <v>42.21216609023017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70.737671936807317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325.35000000000002</v>
      </c>
      <c r="BB87" s="12">
        <f>VLOOKUP(A87,'Données projet'!$A$87:$I$107,9,0)</f>
        <v>8.6770000000000014</v>
      </c>
      <c r="BC87" s="12">
        <f t="array" ref="BC87">INDEX(BB:BB,MIN(IF(ISNUMBER(BB87:BB283),ROW(BB87:BB283),"")))</f>
        <v>8.6770000000000014</v>
      </c>
      <c r="BD87" s="12">
        <f>IF('Données projet'!$A$88&gt;35,BD86+BC87-BL86,IF(A87&lt;'Données projet'!$A$88,$BA$205^A87,IF(A87='Données projet'!$A$88,'Données projet'!$B$88,BD86+BC87-BL86)))</f>
        <v>325.35000000000025</v>
      </c>
      <c r="BE87" s="13">
        <f>BD87*VLOOKUP('Données projet'!$B$11,Paramètres!$A$1:$I$89,3,0)*VLOOKUP('Données projet'!$B$11,Paramètres!$A$1:$I$89,5,0)</f>
        <v>294.37668000000025</v>
      </c>
      <c r="BF87" s="13">
        <f t="shared" si="91"/>
        <v>69.99630449784344</v>
      </c>
      <c r="BG87" s="20">
        <f t="shared" si="61"/>
        <v>634.61628133374438</v>
      </c>
      <c r="BH87" s="59">
        <f t="shared" si="62"/>
        <v>927.94961466707764</v>
      </c>
      <c r="BI87" s="59">
        <f ca="1">AVERAGE(OFFSET($BH$3,0,0,'Données projet'!$E$11+1,1))-AVERAGE(OFFSET($H$3,0,0,'Données projet'!$E$11+1,1))</f>
        <v>581.88778927327667</v>
      </c>
      <c r="BJ87" s="59">
        <f t="shared" si="92"/>
        <v>269.67340993773422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61.47</v>
      </c>
      <c r="BM87" s="16">
        <f>IF(ISNA(VLOOKUP(A87,'Données projet'!$A$87:$I$107,5,0)),0%,VLOOKUP(A87,'Données projet'!$A$87:$I$107,5,0)*VLOOKUP('Données projet'!$B$11,Paramètres!$A$1:$I$89,7,0))</f>
        <v>0.25800000000000001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43.147236627276406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43.147236627276406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-9.9316821433603781E-14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413.25558401068383</v>
      </c>
      <c r="T88" s="59">
        <f t="shared" si="88"/>
        <v>289.56516326172863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135.5164829331282</v>
      </c>
      <c r="AA88" s="21">
        <f>EXP(-LN(2)/25)*AA87+(1-EXP(-LN(2)/25))/(LN(2)/25)*Calculateur!V88*Calculateur!X88*VLOOKUP('Données projet'!$B$9,Paramètres!$A$1:$I$89,3,0)*0.475*44/12</f>
        <v>62.833252683836527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198.34973561696472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2.2737367544323206E-13</v>
      </c>
      <c r="AJ88" s="13">
        <f>AI88*VLOOKUP('Données projet'!$B$10,Paramètres!$A$1:$I$89,3,0)*VLOOKUP('Données projet'!$B$10,Paramètres!$A$1:$I$89,5,0)</f>
        <v>1.3596945791505279E-13</v>
      </c>
      <c r="AK88" s="13">
        <f t="shared" si="89"/>
        <v>1.9708830566360721E-12</v>
      </c>
      <c r="AL88" s="20">
        <f t="shared" si="58"/>
        <v>3.669434796176543E-12</v>
      </c>
      <c r="AM88" s="59">
        <f t="shared" si="59"/>
        <v>293.33333333333701</v>
      </c>
      <c r="AN88" s="59">
        <f ca="1">AVERAGE(OFFSET($AM$3,0,0,'Données projet'!$E$10+1,1))-AVERAGE(OFFSET($H$3,0,0,'Données projet'!$E$10+1,1))</f>
        <v>287.52077437571728</v>
      </c>
      <c r="AO88" s="59">
        <f t="shared" si="90"/>
        <v>420.95891230839874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27.966138075766342</v>
      </c>
      <c r="AV88" s="21">
        <f>EXP(-LN(2)/25)*AV87+(1-EXP(-LN(2)/25))/(LN(2)/25)*Calculateur!AQ88*Calculateur!AS88*VLOOKUP('Données projet'!$B$10,Paramètres!$A$1:$I$89,3,0)*0.475*44/12</f>
        <v>41.057872188651487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69.024010264417825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8.2910000000000021</v>
      </c>
      <c r="BD88" s="12">
        <f>IF('Données projet'!$A$88&gt;35,BD87+BC88-BL87,IF(A88&lt;'Données projet'!$A$88,$BA$205^A88,IF(A88='Données projet'!$A$88,'Données projet'!$B$88,BD87+BC88-BL87)))</f>
        <v>272.17100000000028</v>
      </c>
      <c r="BE88" s="13">
        <f>BD88*VLOOKUP('Données projet'!$B$11,Paramètres!$A$1:$I$89,3,0)*VLOOKUP('Données projet'!$B$11,Paramètres!$A$1:$I$89,5,0)</f>
        <v>246.26032080000024</v>
      </c>
      <c r="BF88" s="13">
        <f t="shared" si="91"/>
        <v>59.784443753506842</v>
      </c>
      <c r="BG88" s="20">
        <f t="shared" si="61"/>
        <v>533.02796493069138</v>
      </c>
      <c r="BH88" s="59">
        <f t="shared" si="62"/>
        <v>826.36129826402475</v>
      </c>
      <c r="BI88" s="59">
        <f ca="1">AVERAGE(OFFSET($BH$3,0,0,'Données projet'!$E$11+1,1))-AVERAGE(OFFSET($H$3,0,0,'Données projet'!$E$11+1,1))</f>
        <v>581.88778927327667</v>
      </c>
      <c r="BJ88" s="59">
        <f t="shared" si="92"/>
        <v>269.67340993773422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42.301145634231247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42.301145634231247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-9.9316821433603781E-14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413.25558401068383</v>
      </c>
      <c r="T89" s="59">
        <f t="shared" si="88"/>
        <v>289.56516326172863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132.85908735970247</v>
      </c>
      <c r="AA89" s="21">
        <f>EXP(-LN(2)/25)*AA88+(1-EXP(-LN(2)/25))/(LN(2)/25)*Calculateur!V89*Calculateur!X89*VLOOKUP('Données projet'!$B$9,Paramètres!$A$1:$I$89,3,0)*0.475*44/12</f>
        <v>61.115074084939863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193.97416144464233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2.2737367544323206E-13</v>
      </c>
      <c r="AJ89" s="13">
        <f>AI89*VLOOKUP('Données projet'!$B$10,Paramètres!$A$1:$I$89,3,0)*VLOOKUP('Données projet'!$B$10,Paramètres!$A$1:$I$89,5,0)</f>
        <v>1.3596945791505279E-13</v>
      </c>
      <c r="AK89" s="13">
        <f t="shared" si="89"/>
        <v>1.9708830566360721E-12</v>
      </c>
      <c r="AL89" s="20">
        <f t="shared" si="58"/>
        <v>3.669434796176543E-12</v>
      </c>
      <c r="AM89" s="59">
        <f t="shared" si="59"/>
        <v>293.33333333333701</v>
      </c>
      <c r="AN89" s="59">
        <f ca="1">AVERAGE(OFFSET($AM$3,0,0,'Données projet'!$E$10+1,1))-AVERAGE(OFFSET($H$3,0,0,'Données projet'!$E$10+1,1))</f>
        <v>287.52077437571728</v>
      </c>
      <c r="AO89" s="59">
        <f t="shared" si="90"/>
        <v>420.95891230839874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27.417739165760487</v>
      </c>
      <c r="AV89" s="21">
        <f>EXP(-LN(2)/25)*AV88+(1-EXP(-LN(2)/25))/(LN(2)/25)*Calculateur!AQ89*Calculateur!AS89*VLOOKUP('Données projet'!$B$10,Paramètres!$A$1:$I$89,3,0)*0.475*44/12</f>
        <v>39.935142514513153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67.35288168027364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8.2910000000000021</v>
      </c>
      <c r="BD89" s="12">
        <f>IF('Données projet'!$A$88&gt;35,BD88+BC89-BL88,IF(A89&lt;'Données projet'!$A$88,$BA$205^A89,IF(A89='Données projet'!$A$88,'Données projet'!$B$88,BD88+BC89-BL88)))</f>
        <v>280.46200000000027</v>
      </c>
      <c r="BE89" s="13">
        <f>BD89*VLOOKUP('Données projet'!$B$11,Paramètres!$A$1:$I$89,3,0)*VLOOKUP('Données projet'!$B$11,Paramètres!$A$1:$I$89,5,0)</f>
        <v>253.76201760000023</v>
      </c>
      <c r="BF89" s="13">
        <f t="shared" si="91"/>
        <v>61.390818695638195</v>
      </c>
      <c r="BG89" s="20">
        <f t="shared" si="61"/>
        <v>548.89118988157031</v>
      </c>
      <c r="BH89" s="59">
        <f t="shared" si="62"/>
        <v>842.22452321490368</v>
      </c>
      <c r="BI89" s="59">
        <f ca="1">AVERAGE(OFFSET($BH$3,0,0,'Données projet'!$E$11+1,1))-AVERAGE(OFFSET($H$3,0,0,'Données projet'!$E$11+1,1))</f>
        <v>581.88778927327667</v>
      </c>
      <c r="BJ89" s="59">
        <f t="shared" si="92"/>
        <v>269.67340993773422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41.471645969495157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41.471645969495157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-9.9316821433603781E-14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413.25558401068383</v>
      </c>
      <c r="T90" s="59">
        <f t="shared" si="88"/>
        <v>289.56516326172863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130.25380169262036</v>
      </c>
      <c r="AA90" s="21">
        <f>EXP(-LN(2)/25)*AA89+(1-EXP(-LN(2)/25))/(LN(2)/25)*Calculateur!V90*Calculateur!X90*VLOOKUP('Données projet'!$B$9,Paramètres!$A$1:$I$89,3,0)*0.475*44/12</f>
        <v>59.44387917018512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189.69768086280547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2.2737367544323206E-13</v>
      </c>
      <c r="AJ90" s="13">
        <f>AI90*VLOOKUP('Données projet'!$B$10,Paramètres!$A$1:$I$89,3,0)*VLOOKUP('Données projet'!$B$10,Paramètres!$A$1:$I$89,5,0)</f>
        <v>1.3596945791505279E-13</v>
      </c>
      <c r="AK90" s="13">
        <f t="shared" si="89"/>
        <v>1.9708830566360721E-12</v>
      </c>
      <c r="AL90" s="20">
        <f t="shared" si="58"/>
        <v>3.669434796176543E-12</v>
      </c>
      <c r="AM90" s="59">
        <f t="shared" si="59"/>
        <v>293.33333333333701</v>
      </c>
      <c r="AN90" s="59">
        <f ca="1">AVERAGE(OFFSET($AM$3,0,0,'Données projet'!$E$10+1,1))-AVERAGE(OFFSET($H$3,0,0,'Données projet'!$E$10+1,1))</f>
        <v>287.52077437571728</v>
      </c>
      <c r="AO90" s="59">
        <f t="shared" si="90"/>
        <v>420.95891230839874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26.880094023889541</v>
      </c>
      <c r="AV90" s="21">
        <f>EXP(-LN(2)/25)*AV89+(1-EXP(-LN(2)/25))/(LN(2)/25)*Calculateur!AQ90*Calculateur!AS90*VLOOKUP('Données projet'!$B$10,Paramètres!$A$1:$I$89,3,0)*0.475*44/12</f>
        <v>38.84311394235592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65.723207966245468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8.2910000000000021</v>
      </c>
      <c r="BD90" s="12">
        <f>IF('Données projet'!$A$88&gt;35,BD89+BC90-BL89,IF(A90&lt;'Données projet'!$A$88,$BA$205^A90,IF(A90='Données projet'!$A$88,'Données projet'!$B$88,BD89+BC90-BL89)))</f>
        <v>288.75300000000027</v>
      </c>
      <c r="BE90" s="13">
        <f>BD90*VLOOKUP('Données projet'!$B$11,Paramètres!$A$1:$I$89,3,0)*VLOOKUP('Données projet'!$B$11,Paramètres!$A$1:$I$89,5,0)</f>
        <v>261.26371440000025</v>
      </c>
      <c r="BF90" s="13">
        <f t="shared" si="91"/>
        <v>62.991674736313257</v>
      </c>
      <c r="BG90" s="20">
        <f t="shared" si="61"/>
        <v>564.74480274574603</v>
      </c>
      <c r="BH90" s="59">
        <f t="shared" si="62"/>
        <v>858.07813607907929</v>
      </c>
      <c r="BI90" s="59">
        <f ca="1">AVERAGE(OFFSET($BH$3,0,0,'Données projet'!$E$11+1,1))-AVERAGE(OFFSET($H$3,0,0,'Données projet'!$E$11+1,1))</f>
        <v>581.88778927327667</v>
      </c>
      <c r="BJ90" s="59">
        <f t="shared" si="92"/>
        <v>269.67340993773422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40.658412287239706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40.658412287239706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-9.9316821433603781E-14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413.25558401068383</v>
      </c>
      <c r="T91" s="59">
        <f t="shared" si="88"/>
        <v>289.56516326172863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127.69960408840237</v>
      </c>
      <c r="AA91" s="21">
        <f>EXP(-LN(2)/25)*AA90+(1-EXP(-LN(2)/25))/(LN(2)/25)*Calculateur!V91*Calculateur!X91*VLOOKUP('Données projet'!$B$9,Paramètres!$A$1:$I$89,3,0)*0.475*44/12</f>
        <v>57.818383168258663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185.51798725666103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2.2737367544323206E-13</v>
      </c>
      <c r="AJ91" s="13">
        <f>AI91*VLOOKUP('Données projet'!$B$10,Paramètres!$A$1:$I$89,3,0)*VLOOKUP('Données projet'!$B$10,Paramètres!$A$1:$I$89,5,0)</f>
        <v>1.3596945791505279E-13</v>
      </c>
      <c r="AK91" s="13">
        <f t="shared" si="89"/>
        <v>1.9708830566360721E-12</v>
      </c>
      <c r="AL91" s="20">
        <f t="shared" si="58"/>
        <v>3.669434796176543E-12</v>
      </c>
      <c r="AM91" s="59">
        <f t="shared" si="59"/>
        <v>293.33333333333701</v>
      </c>
      <c r="AN91" s="59">
        <f ca="1">AVERAGE(OFFSET($AM$3,0,0,'Données projet'!$E$10+1,1))-AVERAGE(OFFSET($H$3,0,0,'Données projet'!$E$10+1,1))</f>
        <v>287.52077437571728</v>
      </c>
      <c r="AO91" s="59">
        <f t="shared" si="90"/>
        <v>420.95891230839874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26.352991775319527</v>
      </c>
      <c r="AV91" s="21">
        <f>EXP(-LN(2)/25)*AV90+(1-EXP(-LN(2)/25))/(LN(2)/25)*Calculateur!AQ91*Calculateur!AS91*VLOOKUP('Données projet'!$B$10,Paramètres!$A$1:$I$89,3,0)*0.475*44/12</f>
        <v>37.780946948931614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64.133938724251138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8.2910000000000021</v>
      </c>
      <c r="BD91" s="12">
        <f>IF('Données projet'!$A$88&gt;35,BD90+BC91-BL90,IF(A91&lt;'Données projet'!$A$88,$BA$205^A91,IF(A91='Données projet'!$A$88,'Données projet'!$B$88,BD90+BC91-BL90)))</f>
        <v>297.04400000000027</v>
      </c>
      <c r="BE91" s="13">
        <f>BD91*VLOOKUP('Données projet'!$B$11,Paramètres!$A$1:$I$89,3,0)*VLOOKUP('Données projet'!$B$11,Paramètres!$A$1:$I$89,5,0)</f>
        <v>268.76541120000024</v>
      </c>
      <c r="BF91" s="13">
        <f t="shared" si="91"/>
        <v>64.587188539623412</v>
      </c>
      <c r="BG91" s="20">
        <f t="shared" si="61"/>
        <v>580.58911121317794</v>
      </c>
      <c r="BH91" s="59">
        <f t="shared" si="62"/>
        <v>873.92244454651131</v>
      </c>
      <c r="BI91" s="59">
        <f ca="1">AVERAGE(OFFSET($BH$3,0,0,'Données projet'!$E$11+1,1))-AVERAGE(OFFSET($H$3,0,0,'Données projet'!$E$11+1,1))</f>
        <v>581.88778927327667</v>
      </c>
      <c r="BJ91" s="59">
        <f t="shared" si="92"/>
        <v>269.67340993773422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39.861125621469718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39.861125621469718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-9.9316821433603781E-14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413.25558401068383</v>
      </c>
      <c r="T92" s="59">
        <f t="shared" si="88"/>
        <v>289.56516326172863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125.19549274129638</v>
      </c>
      <c r="AA92" s="21">
        <f>EXP(-LN(2)/25)*AA91+(1-EXP(-LN(2)/25))/(LN(2)/25)*Calculateur!V92*Calculateur!X92*VLOOKUP('Données projet'!$B$9,Paramètres!$A$1:$I$89,3,0)*0.475*44/12</f>
        <v>56.237336439986002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181.43282918128239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2.2737367544323206E-13</v>
      </c>
      <c r="AJ92" s="13">
        <f>AI92*VLOOKUP('Données projet'!$B$10,Paramètres!$A$1:$I$89,3,0)*VLOOKUP('Données projet'!$B$10,Paramètres!$A$1:$I$89,5,0)</f>
        <v>1.3596945791505279E-13</v>
      </c>
      <c r="AK92" s="13">
        <f t="shared" si="89"/>
        <v>1.9708830566360721E-12</v>
      </c>
      <c r="AL92" s="20">
        <f t="shared" si="58"/>
        <v>3.669434796176543E-12</v>
      </c>
      <c r="AM92" s="59">
        <f t="shared" si="59"/>
        <v>293.33333333333701</v>
      </c>
      <c r="AN92" s="59">
        <f ca="1">AVERAGE(OFFSET($AM$3,0,0,'Données projet'!$E$10+1,1))-AVERAGE(OFFSET($H$3,0,0,'Données projet'!$E$10+1,1))</f>
        <v>287.52077437571728</v>
      </c>
      <c r="AO92" s="59">
        <f t="shared" si="90"/>
        <v>420.95891230839874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25.836225680343343</v>
      </c>
      <c r="AV92" s="21">
        <f>EXP(-LN(2)/25)*AV91+(1-EXP(-LN(2)/25))/(LN(2)/25)*Calculateur!AQ92*Calculateur!AS92*VLOOKUP('Données projet'!$B$10,Paramètres!$A$1:$I$89,3,0)*0.475*44/12</f>
        <v>36.747824967799431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62.584050648142778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8.2910000000000021</v>
      </c>
      <c r="BD92" s="12">
        <f>IF('Données projet'!$A$88&gt;35,BD91+BC92-BL91,IF(A92&lt;'Données projet'!$A$88,$BA$205^A92,IF(A92='Données projet'!$A$88,'Données projet'!$B$88,BD91+BC92-BL91)))</f>
        <v>305.33500000000026</v>
      </c>
      <c r="BE92" s="13">
        <f>BD92*VLOOKUP('Données projet'!$B$11,Paramètres!$A$1:$I$89,3,0)*VLOOKUP('Données projet'!$B$11,Paramètres!$A$1:$I$89,5,0)</f>
        <v>276.26710800000023</v>
      </c>
      <c r="BF92" s="13">
        <f t="shared" si="91"/>
        <v>66.177526346547864</v>
      </c>
      <c r="BG92" s="20">
        <f t="shared" si="61"/>
        <v>596.42440482023801</v>
      </c>
      <c r="BH92" s="59">
        <f t="shared" si="62"/>
        <v>889.75773815357138</v>
      </c>
      <c r="BI92" s="59">
        <f ca="1">AVERAGE(OFFSET($BH$3,0,0,'Données projet'!$E$11+1,1))-AVERAGE(OFFSET($H$3,0,0,'Données projet'!$E$11+1,1))</f>
        <v>581.88778927327667</v>
      </c>
      <c r="BJ92" s="59">
        <f t="shared" si="92"/>
        <v>269.67340993773422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39.079473260918625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39.079473260918625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-9.9316821433603781E-14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413.25558401068383</v>
      </c>
      <c r="T93" s="59">
        <f t="shared" si="88"/>
        <v>289.56516326172863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122.74048549035004</v>
      </c>
      <c r="AA93" s="21">
        <f>EXP(-LN(2)/25)*AA92+(1-EXP(-LN(2)/25))/(LN(2)/25)*Calculateur!V93*Calculateur!X93*VLOOKUP('Données projet'!$B$9,Paramètres!$A$1:$I$89,3,0)*0.475*44/12</f>
        <v>54.699523517641595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177.44000900799165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2.2737367544323206E-13</v>
      </c>
      <c r="AJ93" s="13">
        <f>AI93*VLOOKUP('Données projet'!$B$10,Paramètres!$A$1:$I$89,3,0)*VLOOKUP('Données projet'!$B$10,Paramètres!$A$1:$I$89,5,0)</f>
        <v>1.3596945791505279E-13</v>
      </c>
      <c r="AK93" s="13">
        <f t="shared" si="89"/>
        <v>1.9708830566360721E-12</v>
      </c>
      <c r="AL93" s="20">
        <f t="shared" si="58"/>
        <v>3.669434796176543E-12</v>
      </c>
      <c r="AM93" s="59">
        <f t="shared" si="59"/>
        <v>293.33333333333701</v>
      </c>
      <c r="AN93" s="59">
        <f ca="1">AVERAGE(OFFSET($AM$3,0,0,'Données projet'!$E$10+1,1))-AVERAGE(OFFSET($H$3,0,0,'Données projet'!$E$10+1,1))</f>
        <v>287.52077437571728</v>
      </c>
      <c r="AO93" s="59">
        <f t="shared" si="90"/>
        <v>420.95891230839874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25.329593053293447</v>
      </c>
      <c r="AV93" s="21">
        <f>EXP(-LN(2)/25)*AV92+(1-EXP(-LN(2)/25))/(LN(2)/25)*Calculateur!AQ93*Calculateur!AS93*VLOOKUP('Données projet'!$B$10,Paramètres!$A$1:$I$89,3,0)*0.475*44/12</f>
        <v>35.742953761570831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61.072546814864282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8.2910000000000021</v>
      </c>
      <c r="BD93" s="12">
        <f>IF('Données projet'!$A$88&gt;35,BD92+BC93-BL92,IF(A93&lt;'Données projet'!$A$88,$BA$205^A93,IF(A93='Données projet'!$A$88,'Données projet'!$B$88,BD92+BC93-BL92)))</f>
        <v>313.62600000000026</v>
      </c>
      <c r="BE93" s="13">
        <f>BD93*VLOOKUP('Données projet'!$B$11,Paramètres!$A$1:$I$89,3,0)*VLOOKUP('Données projet'!$B$11,Paramètres!$A$1:$I$89,5,0)</f>
        <v>283.76880480000023</v>
      </c>
      <c r="BF93" s="13">
        <f t="shared" si="91"/>
        <v>67.762844856024827</v>
      </c>
      <c r="BG93" s="20">
        <f t="shared" si="61"/>
        <v>612.2509564842436</v>
      </c>
      <c r="BH93" s="59">
        <f t="shared" si="62"/>
        <v>905.58428981757697</v>
      </c>
      <c r="BI93" s="59">
        <f ca="1">AVERAGE(OFFSET($BH$3,0,0,'Données projet'!$E$11+1,1))-AVERAGE(OFFSET($H$3,0,0,'Données projet'!$E$11+1,1))</f>
        <v>581.88778927327667</v>
      </c>
      <c r="BJ93" s="59">
        <f t="shared" si="92"/>
        <v>269.67340993773422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38.31314862639708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38.31314862639708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-9.9316821433603781E-14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413.25558401068383</v>
      </c>
      <c r="T94" s="59">
        <f t="shared" si="88"/>
        <v>289.56516326172863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120.33361943418819</v>
      </c>
      <c r="AA94" s="21">
        <f>EXP(-LN(2)/25)*AA93+(1-EXP(-LN(2)/25))/(LN(2)/25)*Calculateur!V94*Calculateur!X94*VLOOKUP('Données projet'!$B$9,Paramètres!$A$1:$I$89,3,0)*0.475*44/12</f>
        <v>53.203762170528762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173.53738160471696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2.2737367544323206E-13</v>
      </c>
      <c r="AJ94" s="13">
        <f>AI94*VLOOKUP('Données projet'!$B$10,Paramètres!$A$1:$I$89,3,0)*VLOOKUP('Données projet'!$B$10,Paramètres!$A$1:$I$89,5,0)</f>
        <v>1.3596945791505279E-13</v>
      </c>
      <c r="AK94" s="13">
        <f t="shared" si="89"/>
        <v>1.9708830566360721E-12</v>
      </c>
      <c r="AL94" s="20">
        <f t="shared" si="58"/>
        <v>3.669434796176543E-12</v>
      </c>
      <c r="AM94" s="59">
        <f t="shared" si="59"/>
        <v>293.33333333333701</v>
      </c>
      <c r="AN94" s="59">
        <f ca="1">AVERAGE(OFFSET($AM$3,0,0,'Données projet'!$E$10+1,1))-AVERAGE(OFFSET($H$3,0,0,'Données projet'!$E$10+1,1))</f>
        <v>287.52077437571728</v>
      </c>
      <c r="AO94" s="59">
        <f t="shared" si="90"/>
        <v>420.95891230839874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24.832895183044609</v>
      </c>
      <c r="AV94" s="21">
        <f>EXP(-LN(2)/25)*AV93+(1-EXP(-LN(2)/25))/(LN(2)/25)*Calculateur!AQ94*Calculateur!AS94*VLOOKUP('Données projet'!$B$10,Paramètres!$A$1:$I$89,3,0)*0.475*44/12</f>
        <v>34.765560811320427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59.59845599436504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8.2910000000000021</v>
      </c>
      <c r="BD94" s="12">
        <f>IF('Données projet'!$A$88&gt;35,BD93+BC94-BL93,IF(A94&lt;'Données projet'!$A$88,$BA$205^A94,IF(A94='Données projet'!$A$88,'Données projet'!$B$88,BD93+BC94-BL93)))</f>
        <v>321.91700000000026</v>
      </c>
      <c r="BE94" s="13">
        <f>BD94*VLOOKUP('Données projet'!$B$11,Paramètres!$A$1:$I$89,3,0)*VLOOKUP('Données projet'!$B$11,Paramètres!$A$1:$I$89,5,0)</f>
        <v>291.27050160000022</v>
      </c>
      <c r="BF94" s="13">
        <f t="shared" si="91"/>
        <v>69.343292010233441</v>
      </c>
      <c r="BG94" s="20">
        <f t="shared" si="61"/>
        <v>628.0690238711569</v>
      </c>
      <c r="BH94" s="59">
        <f t="shared" si="62"/>
        <v>921.40235720449027</v>
      </c>
      <c r="BI94" s="59">
        <f ca="1">AVERAGE(OFFSET($BH$3,0,0,'Données projet'!$E$11+1,1))-AVERAGE(OFFSET($H$3,0,0,'Données projet'!$E$11+1,1))</f>
        <v>581.88778927327667</v>
      </c>
      <c r="BJ94" s="59">
        <f t="shared" si="92"/>
        <v>269.67340993773422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37.561851150546623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37.561851150546623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-9.9316821433603781E-14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413.25558401068383</v>
      </c>
      <c r="T95" s="59">
        <f t="shared" si="88"/>
        <v>289.56516326172863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117.97395055334434</v>
      </c>
      <c r="AA95" s="21">
        <f>EXP(-LN(2)/25)*AA94+(1-EXP(-LN(2)/25))/(LN(2)/25)*Calculateur!V95*Calculateur!X95*VLOOKUP('Données projet'!$B$9,Paramètres!$A$1:$I$89,3,0)*0.475*44/12</f>
        <v>51.748902496111398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169.72285304945575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2.2737367544323206E-13</v>
      </c>
      <c r="AJ95" s="13">
        <f>AI95*VLOOKUP('Données projet'!$B$10,Paramètres!$A$1:$I$89,3,0)*VLOOKUP('Données projet'!$B$10,Paramètres!$A$1:$I$89,5,0)</f>
        <v>1.3596945791505279E-13</v>
      </c>
      <c r="AK95" s="13">
        <f t="shared" si="89"/>
        <v>1.9708830566360721E-12</v>
      </c>
      <c r="AL95" s="20">
        <f t="shared" si="58"/>
        <v>3.669434796176543E-12</v>
      </c>
      <c r="AM95" s="59">
        <f t="shared" si="59"/>
        <v>293.33333333333701</v>
      </c>
      <c r="AN95" s="59">
        <f ca="1">AVERAGE(OFFSET($AM$3,0,0,'Données projet'!$E$10+1,1))-AVERAGE(OFFSET($H$3,0,0,'Données projet'!$E$10+1,1))</f>
        <v>287.52077437571728</v>
      </c>
      <c r="AO95" s="59">
        <f t="shared" si="90"/>
        <v>420.95891230839874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24.345937255075565</v>
      </c>
      <c r="AV95" s="21">
        <f>EXP(-LN(2)/25)*AV94+(1-EXP(-LN(2)/25))/(LN(2)/25)*Calculateur!AQ95*Calculateur!AS95*VLOOKUP('Données projet'!$B$10,Paramètres!$A$1:$I$89,3,0)*0.475*44/12</f>
        <v>33.814894722693481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58.16083197776905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8.2910000000000021</v>
      </c>
      <c r="BD95" s="12">
        <f>IF('Données projet'!$A$88&gt;35,BD94+BC95-BL94,IF(A95&lt;'Données projet'!$A$88,$BA$205^A95,IF(A95='Données projet'!$A$88,'Données projet'!$B$88,BD94+BC95-BL94)))</f>
        <v>330.20800000000025</v>
      </c>
      <c r="BE95" s="13">
        <f>BD95*VLOOKUP('Données projet'!$B$11,Paramètres!$A$1:$I$89,3,0)*VLOOKUP('Données projet'!$B$11,Paramètres!$A$1:$I$89,5,0)</f>
        <v>298.77219840000021</v>
      </c>
      <c r="BF95" s="13">
        <f t="shared" si="91"/>
        <v>70.919007696700163</v>
      </c>
      <c r="BG95" s="20">
        <f t="shared" si="61"/>
        <v>643.87885061841985</v>
      </c>
      <c r="BH95" s="59">
        <f t="shared" si="62"/>
        <v>937.2121839517531</v>
      </c>
      <c r="BI95" s="59">
        <f ca="1">AVERAGE(OFFSET($BH$3,0,0,'Données projet'!$E$11+1,1))-AVERAGE(OFFSET($H$3,0,0,'Données projet'!$E$11+1,1))</f>
        <v>581.88778927327667</v>
      </c>
      <c r="BJ95" s="59">
        <f t="shared" si="92"/>
        <v>269.67340993773422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36.825286159951382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36.825286159951382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-9.9316821433603781E-14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413.25558401068383</v>
      </c>
      <c r="T96" s="59">
        <f t="shared" si="88"/>
        <v>289.56516326172863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115.66055333999793</v>
      </c>
      <c r="AA96" s="21">
        <f>EXP(-LN(2)/25)*AA95+(1-EXP(-LN(2)/25))/(LN(2)/25)*Calculateur!V96*Calculateur!X96*VLOOKUP('Données projet'!$B$9,Paramètres!$A$1:$I$89,3,0)*0.475*44/12</f>
        <v>50.333826035998726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165.99437937599666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2.2737367544323206E-13</v>
      </c>
      <c r="AJ96" s="13">
        <f>AI96*VLOOKUP('Données projet'!$B$10,Paramètres!$A$1:$I$89,3,0)*VLOOKUP('Données projet'!$B$10,Paramètres!$A$1:$I$89,5,0)</f>
        <v>1.3596945791505279E-13</v>
      </c>
      <c r="AK96" s="13">
        <f t="shared" si="89"/>
        <v>1.9708830566360721E-12</v>
      </c>
      <c r="AL96" s="20">
        <f t="shared" si="58"/>
        <v>3.669434796176543E-12</v>
      </c>
      <c r="AM96" s="59">
        <f t="shared" si="59"/>
        <v>293.33333333333701</v>
      </c>
      <c r="AN96" s="59">
        <f ca="1">AVERAGE(OFFSET($AM$3,0,0,'Données projet'!$E$10+1,1))-AVERAGE(OFFSET($H$3,0,0,'Données projet'!$E$10+1,1))</f>
        <v>287.52077437571728</v>
      </c>
      <c r="AO96" s="59">
        <f t="shared" si="90"/>
        <v>420.95891230839874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23.868528275058988</v>
      </c>
      <c r="AV96" s="21">
        <f>EXP(-LN(2)/25)*AV95+(1-EXP(-LN(2)/25))/(LN(2)/25)*Calculateur!AQ96*Calculateur!AS96*VLOOKUP('Données projet'!$B$10,Paramètres!$A$1:$I$89,3,0)*0.475*44/12</f>
        <v>32.890224648253401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56.758752923312386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8.2910000000000021</v>
      </c>
      <c r="BD96" s="12">
        <f>IF('Données projet'!$A$88&gt;35,BD95+BC96-BL95,IF(A96&lt;'Données projet'!$A$88,$BA$205^A96,IF(A96='Données projet'!$A$88,'Données projet'!$B$88,BD95+BC96-BL95)))</f>
        <v>338.49900000000025</v>
      </c>
      <c r="BE96" s="13">
        <f>BD96*VLOOKUP('Données projet'!$B$11,Paramètres!$A$1:$I$89,3,0)*VLOOKUP('Données projet'!$B$11,Paramètres!$A$1:$I$89,5,0)</f>
        <v>306.27389520000025</v>
      </c>
      <c r="BF96" s="13">
        <f t="shared" si="91"/>
        <v>72.490124377904692</v>
      </c>
      <c r="BG96" s="20">
        <f t="shared" si="61"/>
        <v>659.68066743151769</v>
      </c>
      <c r="BH96" s="59">
        <f t="shared" si="62"/>
        <v>953.01400076485106</v>
      </c>
      <c r="BI96" s="59">
        <f ca="1">AVERAGE(OFFSET($BH$3,0,0,'Données projet'!$E$11+1,1))-AVERAGE(OFFSET($H$3,0,0,'Données projet'!$E$11+1,1))</f>
        <v>581.88778927327667</v>
      </c>
      <c r="BJ96" s="59">
        <f t="shared" si="92"/>
        <v>269.67340993773422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36.10316475956143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36.10316475956143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-9.9316821433603781E-14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413.25558401068383</v>
      </c>
      <c r="T97" s="59">
        <f t="shared" si="88"/>
        <v>289.56516326172863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113.39252043497227</v>
      </c>
      <c r="AA97" s="21">
        <f>EXP(-LN(2)/25)*AA96+(1-EXP(-LN(2)/25))/(LN(2)/25)*Calculateur!V97*Calculateur!X97*VLOOKUP('Données projet'!$B$9,Paramètres!$A$1:$I$89,3,0)*0.475*44/12</f>
        <v>48.957444916103469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162.34996535107575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2.2737367544323206E-13</v>
      </c>
      <c r="AJ97" s="13">
        <f>AI97*VLOOKUP('Données projet'!$B$10,Paramètres!$A$1:$I$89,3,0)*VLOOKUP('Données projet'!$B$10,Paramètres!$A$1:$I$89,5,0)</f>
        <v>1.3596945791505279E-13</v>
      </c>
      <c r="AK97" s="13">
        <f t="shared" si="89"/>
        <v>1.9708830566360721E-12</v>
      </c>
      <c r="AL97" s="20">
        <f t="shared" si="58"/>
        <v>3.669434796176543E-12</v>
      </c>
      <c r="AM97" s="59">
        <f t="shared" si="59"/>
        <v>293.33333333333701</v>
      </c>
      <c r="AN97" s="59">
        <f ca="1">AVERAGE(OFFSET($AM$3,0,0,'Données projet'!$E$10+1,1))-AVERAGE(OFFSET($H$3,0,0,'Données projet'!$E$10+1,1))</f>
        <v>287.52077437571728</v>
      </c>
      <c r="AO97" s="59">
        <f t="shared" si="90"/>
        <v>420.95891230839874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23.40048099394981</v>
      </c>
      <c r="AV97" s="21">
        <f>EXP(-LN(2)/25)*AV96+(1-EXP(-LN(2)/25))/(LN(2)/25)*Calculateur!AQ97*Calculateur!AS97*VLOOKUP('Données projet'!$B$10,Paramètres!$A$1:$I$89,3,0)*0.475*44/12</f>
        <v>31.990839725625168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55.391320719574978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346.79</v>
      </c>
      <c r="BB97" s="12">
        <f>VLOOKUP(A97,'Données projet'!$A$87:$I$107,9,0)</f>
        <v>8.2910000000000021</v>
      </c>
      <c r="BC97" s="12">
        <f t="array" ref="BC97">INDEX(BB:BB,MIN(IF(ISNUMBER(BB97:BB293),ROW(BB97:BB293),"")))</f>
        <v>8.2910000000000021</v>
      </c>
      <c r="BD97" s="12">
        <f>IF('Données projet'!$A$88&gt;35,BD96+BC97-BL96,IF(A97&lt;'Données projet'!$A$88,$BA$205^A97,IF(A97='Données projet'!$A$88,'Données projet'!$B$88,BD96+BC97-BL96)))</f>
        <v>346.79000000000025</v>
      </c>
      <c r="BE97" s="13">
        <f>BD97*VLOOKUP('Données projet'!$B$11,Paramètres!$A$1:$I$89,3,0)*VLOOKUP('Données projet'!$B$11,Paramètres!$A$1:$I$89,5,0)</f>
        <v>313.77559200000019</v>
      </c>
      <c r="BF97" s="13">
        <f t="shared" si="91"/>
        <v>74.056767657464533</v>
      </c>
      <c r="BG97" s="20">
        <f t="shared" si="61"/>
        <v>675.47469307008441</v>
      </c>
      <c r="BH97" s="59">
        <f t="shared" si="62"/>
        <v>968.80802640341767</v>
      </c>
      <c r="BI97" s="59">
        <f ca="1">AVERAGE(OFFSET($BH$3,0,0,'Données projet'!$E$11+1,1))-AVERAGE(OFFSET($H$3,0,0,'Données projet'!$E$11+1,1))</f>
        <v>581.88778927327667</v>
      </c>
      <c r="BJ97" s="59">
        <f t="shared" si="92"/>
        <v>269.67340993773422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61.85</v>
      </c>
      <c r="BM97" s="16">
        <f>IF(ISNA(VLOOKUP(A97,'Données projet'!$A$87:$I$107,5,0)),0%,VLOOKUP(A97,'Données projet'!$A$87:$I$107,5,0)*VLOOKUP('Données projet'!$B$11,Paramètres!$A$1:$I$89,7,0))</f>
        <v>0.25800000000000001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51.356167505910733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51.356167505910733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-9.9316821433603781E-14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413.25558401068383</v>
      </c>
      <c r="T98" s="59">
        <f t="shared" si="88"/>
        <v>289.56516326172863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111.16896227185069</v>
      </c>
      <c r="AA98" s="21">
        <f>EXP(-LN(2)/25)*AA97+(1-EXP(-LN(2)/25))/(LN(2)/25)*Calculateur!V98*Calculateur!X98*VLOOKUP('Données projet'!$B$9,Paramètres!$A$1:$I$89,3,0)*0.475*44/12</f>
        <v>47.618701010312485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158.78766328216318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2.2737367544323206E-13</v>
      </c>
      <c r="AJ98" s="13">
        <f>AI98*VLOOKUP('Données projet'!$B$10,Paramètres!$A$1:$I$89,3,0)*VLOOKUP('Données projet'!$B$10,Paramètres!$A$1:$I$89,5,0)</f>
        <v>1.3596945791505279E-13</v>
      </c>
      <c r="AK98" s="13">
        <f t="shared" si="89"/>
        <v>1.9708830566360721E-12</v>
      </c>
      <c r="AL98" s="20">
        <f t="shared" si="58"/>
        <v>3.669434796176543E-12</v>
      </c>
      <c r="AM98" s="59">
        <f t="shared" si="59"/>
        <v>293.33333333333701</v>
      </c>
      <c r="AN98" s="59">
        <f ca="1">AVERAGE(OFFSET($AM$3,0,0,'Données projet'!$E$10+1,1))-AVERAGE(OFFSET($H$3,0,0,'Données projet'!$E$10+1,1))</f>
        <v>287.52077437571728</v>
      </c>
      <c r="AO98" s="59">
        <f t="shared" si="90"/>
        <v>420.95891230839874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22.941611834542531</v>
      </c>
      <c r="AV98" s="21">
        <f>EXP(-LN(2)/25)*AV97+(1-EXP(-LN(2)/25))/(LN(2)/25)*Calculateur!AQ98*Calculateur!AS98*VLOOKUP('Données projet'!$B$10,Paramètres!$A$1:$I$89,3,0)*0.475*44/12</f>
        <v>31.116048531002804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54.057660365545331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8.0470000000000024</v>
      </c>
      <c r="BD98" s="12">
        <f>IF('Données projet'!$A$88&gt;35,BD97+BC98-BL97,IF(A98&lt;'Données projet'!$A$88,$BA$205^A98,IF(A98='Données projet'!$A$88,'Données projet'!$B$88,BD97+BC98-BL97)))</f>
        <v>292.98700000000025</v>
      </c>
      <c r="BE98" s="13">
        <f>BD98*VLOOKUP('Données projet'!$B$11,Paramètres!$A$1:$I$89,3,0)*VLOOKUP('Données projet'!$B$11,Paramètres!$A$1:$I$89,5,0)</f>
        <v>265.09463760000023</v>
      </c>
      <c r="BF98" s="13">
        <f t="shared" si="91"/>
        <v>63.807119294189917</v>
      </c>
      <c r="BG98" s="20">
        <f t="shared" si="61"/>
        <v>572.83722659071452</v>
      </c>
      <c r="BH98" s="59">
        <f t="shared" si="62"/>
        <v>866.17055992404789</v>
      </c>
      <c r="BI98" s="59">
        <f ca="1">AVERAGE(OFFSET($BH$3,0,0,'Données projet'!$E$11+1,1))-AVERAGE(OFFSET($H$3,0,0,'Données projet'!$E$11+1,1))</f>
        <v>581.88778927327667</v>
      </c>
      <c r="BJ98" s="59">
        <f t="shared" si="92"/>
        <v>269.67340993773422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50.349104385288996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50.349104385288996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-9.9316821433603781E-14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413.25558401068383</v>
      </c>
      <c r="T99" s="59">
        <f t="shared" si="88"/>
        <v>289.56516326172863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108.98900672807136</v>
      </c>
      <c r="AA99" s="21">
        <f>EXP(-LN(2)/25)*AA98+(1-EXP(-LN(2)/25))/(LN(2)/25)*Calculateur!V99*Calculateur!X99*VLOOKUP('Données projet'!$B$9,Paramètres!$A$1:$I$89,3,0)*0.475*44/12</f>
        <v>46.316565127026841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155.30557185509821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2.2737367544323206E-13</v>
      </c>
      <c r="AJ99" s="13">
        <f>AI99*VLOOKUP('Données projet'!$B$10,Paramètres!$A$1:$I$89,3,0)*VLOOKUP('Données projet'!$B$10,Paramètres!$A$1:$I$89,5,0)</f>
        <v>1.3596945791505279E-13</v>
      </c>
      <c r="AK99" s="13">
        <f t="shared" si="89"/>
        <v>1.9708830566360721E-12</v>
      </c>
      <c r="AL99" s="20">
        <f t="shared" si="58"/>
        <v>3.669434796176543E-12</v>
      </c>
      <c r="AM99" s="59">
        <f t="shared" si="59"/>
        <v>293.33333333333701</v>
      </c>
      <c r="AN99" s="59">
        <f ca="1">AVERAGE(OFFSET($AM$3,0,0,'Données projet'!$E$10+1,1))-AVERAGE(OFFSET($H$3,0,0,'Données projet'!$E$10+1,1))</f>
        <v>287.52077437571728</v>
      </c>
      <c r="AO99" s="59">
        <f t="shared" si="90"/>
        <v>420.95891230839874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22.491740819468678</v>
      </c>
      <c r="AV99" s="21">
        <f>EXP(-LN(2)/25)*AV98+(1-EXP(-LN(2)/25))/(LN(2)/25)*Calculateur!AQ99*Calculateur!AS99*VLOOKUP('Données projet'!$B$10,Paramètres!$A$1:$I$89,3,0)*0.475*44/12</f>
        <v>30.265178547600655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52.756919367069329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8.0470000000000024</v>
      </c>
      <c r="BD99" s="12">
        <f>IF('Données projet'!$A$88&gt;35,BD98+BC99-BL98,IF(A99&lt;'Données projet'!$A$88,$BA$205^A99,IF(A99='Données projet'!$A$88,'Données projet'!$B$88,BD98+BC99-BL98)))</f>
        <v>301.03400000000028</v>
      </c>
      <c r="BE99" s="13">
        <f>BD99*VLOOKUP('Données projet'!$B$11,Paramètres!$A$1:$I$89,3,0)*VLOOKUP('Données projet'!$B$11,Paramètres!$A$1:$I$89,5,0)</f>
        <v>272.37556320000027</v>
      </c>
      <c r="BF99" s="13">
        <f t="shared" si="91"/>
        <v>65.35316643513535</v>
      </c>
      <c r="BG99" s="20">
        <f t="shared" si="61"/>
        <v>588.21087078119456</v>
      </c>
      <c r="BH99" s="59">
        <f t="shared" si="62"/>
        <v>881.54420411452793</v>
      </c>
      <c r="BI99" s="59">
        <f ca="1">AVERAGE(OFFSET($BH$3,0,0,'Données projet'!$E$11+1,1))-AVERAGE(OFFSET($H$3,0,0,'Données projet'!$E$11+1,1))</f>
        <v>581.88778927327667</v>
      </c>
      <c r="BJ99" s="59">
        <f t="shared" si="92"/>
        <v>269.67340993773422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49.361789158214798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49.361789158214798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-9.9316821433603781E-14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413.25558401068383</v>
      </c>
      <c r="T100" s="59">
        <f t="shared" si="88"/>
        <v>289.56516326172863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106.85179878286395</v>
      </c>
      <c r="AA100" s="21">
        <f>EXP(-LN(2)/25)*AA99+(1-EXP(-LN(2)/25))/(LN(2)/25)*Calculateur!V100*Calculateur!X100*VLOOKUP('Données projet'!$B$9,Paramètres!$A$1:$I$89,3,0)*0.475*44/12</f>
        <v>45.050036217945987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151.90183500080994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2.2737367544323206E-13</v>
      </c>
      <c r="AJ100" s="13">
        <f>AI100*VLOOKUP('Données projet'!$B$10,Paramètres!$A$1:$I$89,3,0)*VLOOKUP('Données projet'!$B$10,Paramètres!$A$1:$I$89,5,0)</f>
        <v>1.3596945791505279E-13</v>
      </c>
      <c r="AK100" s="13">
        <f t="shared" si="89"/>
        <v>1.9708830566360721E-12</v>
      </c>
      <c r="AL100" s="20">
        <f t="shared" si="58"/>
        <v>3.669434796176543E-12</v>
      </c>
      <c r="AM100" s="59">
        <f t="shared" si="59"/>
        <v>293.33333333333701</v>
      </c>
      <c r="AN100" s="59">
        <f ca="1">AVERAGE(OFFSET($AM$3,0,0,'Données projet'!$E$10+1,1))-AVERAGE(OFFSET($H$3,0,0,'Données projet'!$E$10+1,1))</f>
        <v>287.52077437571728</v>
      </c>
      <c r="AO100" s="59">
        <f t="shared" si="90"/>
        <v>420.95891230839874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22.050691500606199</v>
      </c>
      <c r="AV100" s="21">
        <f>EXP(-LN(2)/25)*AV99+(1-EXP(-LN(2)/25))/(LN(2)/25)*Calculateur!AQ100*Calculateur!AS100*VLOOKUP('Données projet'!$B$10,Paramètres!$A$1:$I$89,3,0)*0.475*44/12</f>
        <v>29.437575648639946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51.488267149246141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8.0470000000000024</v>
      </c>
      <c r="BD100" s="12">
        <f>IF('Données projet'!$A$88&gt;35,BD99+BC100-BL99,IF(A100&lt;'Données projet'!$A$88,$BA$205^A100,IF(A100='Données projet'!$A$88,'Données projet'!$B$88,BD99+BC100-BL99)))</f>
        <v>309.0810000000003</v>
      </c>
      <c r="BE100" s="13">
        <f>BD100*VLOOKUP('Données projet'!$B$11,Paramètres!$A$1:$I$89,3,0)*VLOOKUP('Données projet'!$B$11,Paramètres!$A$1:$I$89,5,0)</f>
        <v>279.65648880000026</v>
      </c>
      <c r="BF100" s="13">
        <f t="shared" si="91"/>
        <v>66.894409904113928</v>
      </c>
      <c r="BG100" s="20">
        <f t="shared" si="61"/>
        <v>603.57614857633223</v>
      </c>
      <c r="BH100" s="59">
        <f t="shared" si="62"/>
        <v>896.9094819096656</v>
      </c>
      <c r="BI100" s="59">
        <f ca="1">AVERAGE(OFFSET($BH$3,0,0,'Données projet'!$E$11+1,1))-AVERAGE(OFFSET($H$3,0,0,'Données projet'!$E$11+1,1))</f>
        <v>581.88778927327667</v>
      </c>
      <c r="BJ100" s="59">
        <f t="shared" si="92"/>
        <v>269.67340993773422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48.393834580540698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48.393834580540698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-9.9316821433603781E-14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413.25558401068383</v>
      </c>
      <c r="T101" s="59">
        <f t="shared" si="88"/>
        <v>289.56516326172863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104.75650018189393</v>
      </c>
      <c r="AA101" s="21">
        <f>EXP(-LN(2)/25)*AA100+(1-EXP(-LN(2)/25))/(LN(2)/25)*Calculateur!V101*Calculateur!X101*VLOOKUP('Données projet'!$B$9,Paramètres!$A$1:$I$89,3,0)*0.475*44/12</f>
        <v>43.818140608487809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148.57464079038175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2.2737367544323206E-13</v>
      </c>
      <c r="AJ101" s="13">
        <f>AI101*VLOOKUP('Données projet'!$B$10,Paramètres!$A$1:$I$89,3,0)*VLOOKUP('Données projet'!$B$10,Paramètres!$A$1:$I$89,5,0)</f>
        <v>1.3596945791505279E-13</v>
      </c>
      <c r="AK101" s="13">
        <f t="shared" si="89"/>
        <v>1.9708830566360721E-12</v>
      </c>
      <c r="AL101" s="20">
        <f t="shared" si="58"/>
        <v>3.669434796176543E-12</v>
      </c>
      <c r="AM101" s="59">
        <f t="shared" si="59"/>
        <v>293.33333333333701</v>
      </c>
      <c r="AN101" s="59">
        <f ca="1">AVERAGE(OFFSET($AM$3,0,0,'Données projet'!$E$10+1,1))-AVERAGE(OFFSET($H$3,0,0,'Données projet'!$E$10+1,1))</f>
        <v>287.52077437571728</v>
      </c>
      <c r="AO101" s="59">
        <f t="shared" si="90"/>
        <v>420.95891230839874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21.618290889873091</v>
      </c>
      <c r="AV101" s="21">
        <f>EXP(-LN(2)/25)*AV100+(1-EXP(-LN(2)/25))/(LN(2)/25)*Calculateur!AQ101*Calculateur!AS101*VLOOKUP('Données projet'!$B$10,Paramètres!$A$1:$I$89,3,0)*0.475*44/12</f>
        <v>28.632603594473064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50.250894484346155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8.0470000000000024</v>
      </c>
      <c r="BD101" s="12">
        <f>IF('Données projet'!$A$88&gt;35,BD100+BC101-BL100,IF(A101&lt;'Données projet'!$A$88,$BA$205^A101,IF(A101='Données projet'!$A$88,'Données projet'!$B$88,BD100+BC101-BL100)))</f>
        <v>317.12800000000033</v>
      </c>
      <c r="BE101" s="13">
        <f>BD101*VLOOKUP('Données projet'!$B$11,Paramètres!$A$1:$I$89,3,0)*VLOOKUP('Données projet'!$B$11,Paramètres!$A$1:$I$89,5,0)</f>
        <v>286.93741440000031</v>
      </c>
      <c r="BF101" s="13">
        <f t="shared" si="91"/>
        <v>68.430989143985158</v>
      </c>
      <c r="BG101" s="20">
        <f t="shared" si="61"/>
        <v>618.93330283910791</v>
      </c>
      <c r="BH101" s="59">
        <f t="shared" si="62"/>
        <v>912.26663617244117</v>
      </c>
      <c r="BI101" s="59">
        <f ca="1">AVERAGE(OFFSET($BH$3,0,0,'Données projet'!$E$11+1,1))-AVERAGE(OFFSET($H$3,0,0,'Données projet'!$E$11+1,1))</f>
        <v>581.88778927327667</v>
      </c>
      <c r="BJ101" s="59">
        <f t="shared" si="92"/>
        <v>269.67340993773422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47.444861001740797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47.444861001740797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-9.9316821433603781E-14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413.25558401068383</v>
      </c>
      <c r="T102" s="59">
        <f t="shared" si="88"/>
        <v>289.56516326172863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102.70228910848297</v>
      </c>
      <c r="AA102" s="21">
        <f>EXP(-LN(2)/25)*AA101+(1-EXP(-LN(2)/25))/(LN(2)/25)*Calculateur!V102*Calculateur!X102*VLOOKUP('Données projet'!$B$9,Paramètres!$A$1:$I$89,3,0)*0.475*44/12</f>
        <v>42.619931249252843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145.32222035773583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2.2737367544323206E-13</v>
      </c>
      <c r="AJ102" s="13">
        <f>AI102*VLOOKUP('Données projet'!$B$10,Paramètres!$A$1:$I$89,3,0)*VLOOKUP('Données projet'!$B$10,Paramètres!$A$1:$I$89,5,0)</f>
        <v>1.3596945791505279E-13</v>
      </c>
      <c r="AK102" s="13">
        <f t="shared" si="89"/>
        <v>1.9708830566360721E-12</v>
      </c>
      <c r="AL102" s="20">
        <f t="shared" si="58"/>
        <v>3.669434796176543E-12</v>
      </c>
      <c r="AM102" s="59">
        <f t="shared" si="59"/>
        <v>293.33333333333701</v>
      </c>
      <c r="AN102" s="59">
        <f ca="1">AVERAGE(OFFSET($AM$3,0,0,'Données projet'!$E$10+1,1))-AVERAGE(OFFSET($H$3,0,0,'Données projet'!$E$10+1,1))</f>
        <v>287.52077437571728</v>
      </c>
      <c r="AO102" s="59">
        <f t="shared" si="90"/>
        <v>420.95891230839874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21.194369391378128</v>
      </c>
      <c r="AV102" s="21">
        <f>EXP(-LN(2)/25)*AV101+(1-EXP(-LN(2)/25))/(LN(2)/25)*Calculateur!AQ102*Calculateur!AS102*VLOOKUP('Données projet'!$B$10,Paramètres!$A$1:$I$89,3,0)*0.475*44/12</f>
        <v>27.849643543459017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49.044012934837141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8.0470000000000024</v>
      </c>
      <c r="BD102" s="12">
        <f>IF('Données projet'!$A$88&gt;35,BD101+BC102-BL101,IF(A102&lt;'Données projet'!$A$88,$BA$205^A102,IF(A102='Données projet'!$A$88,'Données projet'!$B$88,BD101+BC102-BL101)))</f>
        <v>325.17500000000035</v>
      </c>
      <c r="BE102" s="13">
        <f>BD102*VLOOKUP('Données projet'!$B$11,Paramètres!$A$1:$I$89,3,0)*VLOOKUP('Données projet'!$B$11,Paramètres!$A$1:$I$89,5,0)</f>
        <v>294.2183400000003</v>
      </c>
      <c r="BF102" s="13">
        <f t="shared" si="91"/>
        <v>69.963036117759913</v>
      </c>
      <c r="BG102" s="20">
        <f t="shared" si="61"/>
        <v>634.28256340509904</v>
      </c>
      <c r="BH102" s="59">
        <f t="shared" si="62"/>
        <v>927.61589673843241</v>
      </c>
      <c r="BI102" s="59">
        <f ca="1">AVERAGE(OFFSET($BH$3,0,0,'Données projet'!$E$11+1,1))-AVERAGE(OFFSET($H$3,0,0,'Données projet'!$E$11+1,1))</f>
        <v>581.88778927327667</v>
      </c>
      <c r="BJ102" s="59">
        <f t="shared" si="92"/>
        <v>269.67340993773422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46.514496216004432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46.514496216004432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-9.9316821433603781E-14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413.25558401068383</v>
      </c>
      <c r="T103" s="59">
        <f t="shared" si="88"/>
        <v>289.56516326172863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100.68835986127657</v>
      </c>
      <c r="AA103" s="21">
        <f>EXP(-LN(2)/25)*AA102+(1-EXP(-LN(2)/25))/(LN(2)/25)*Calculateur!V103*Calculateur!X103*VLOOKUP('Données projet'!$B$9,Paramètres!$A$1:$I$89,3,0)*0.475*44/12</f>
        <v>41.454486987957246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142.14284684923382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2.2737367544323206E-13</v>
      </c>
      <c r="AJ103" s="13">
        <f>AI103*VLOOKUP('Données projet'!$B$10,Paramètres!$A$1:$I$89,3,0)*VLOOKUP('Données projet'!$B$10,Paramètres!$A$1:$I$89,5,0)</f>
        <v>1.3596945791505279E-13</v>
      </c>
      <c r="AK103" s="13">
        <f t="shared" si="89"/>
        <v>1.9708830566360721E-12</v>
      </c>
      <c r="AL103" s="20">
        <f t="shared" si="58"/>
        <v>3.669434796176543E-12</v>
      </c>
      <c r="AM103" s="59">
        <f t="shared" si="59"/>
        <v>293.33333333333701</v>
      </c>
      <c r="AN103" s="59">
        <f ca="1">AVERAGE(OFFSET($AM$3,0,0,'Données projet'!$E$10+1,1))-AVERAGE(OFFSET($H$3,0,0,'Données projet'!$E$10+1,1))</f>
        <v>287.52077437571728</v>
      </c>
      <c r="AO103" s="59">
        <f t="shared" si="90"/>
        <v>420.95891230839874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20.778760734902068</v>
      </c>
      <c r="AV103" s="21">
        <f>EXP(-LN(2)/25)*AV102+(1-EXP(-LN(2)/25))/(LN(2)/25)*Calculateur!AQ103*Calculateur!AS103*VLOOKUP('Données projet'!$B$10,Paramètres!$A$1:$I$89,3,0)*0.475*44/12</f>
        <v>27.088093576214028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47.8668543111161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8.0470000000000024</v>
      </c>
      <c r="BD103" s="12">
        <f>IF('Données projet'!$A$88&gt;35,BD102+BC103-BL102,IF(A103&lt;'Données projet'!$A$88,$BA$205^A103,IF(A103='Données projet'!$A$88,'Données projet'!$B$88,BD102+BC103-BL102)))</f>
        <v>333.22200000000038</v>
      </c>
      <c r="BE103" s="13">
        <f>BD103*VLOOKUP('Données projet'!$B$11,Paramètres!$A$1:$I$89,3,0)*VLOOKUP('Données projet'!$B$11,Paramètres!$A$1:$I$89,5,0)</f>
        <v>301.49926560000034</v>
      </c>
      <c r="BF103" s="13">
        <f t="shared" si="91"/>
        <v>71.490675884857296</v>
      </c>
      <c r="BG103" s="20">
        <f t="shared" si="61"/>
        <v>649.62414808612709</v>
      </c>
      <c r="BH103" s="59">
        <f t="shared" si="62"/>
        <v>942.95748141946046</v>
      </c>
      <c r="BI103" s="59">
        <f ca="1">AVERAGE(OFFSET($BH$3,0,0,'Données projet'!$E$11+1,1))-AVERAGE(OFFSET($H$3,0,0,'Données projet'!$E$11+1,1))</f>
        <v>581.88778927327667</v>
      </c>
      <c r="BJ103" s="59">
        <f t="shared" si="92"/>
        <v>269.67340993773422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45.602375316249869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45.602375316249869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-9.9316821433603781E-14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413.25558401068383</v>
      </c>
      <c r="T104" s="59">
        <f t="shared" si="88"/>
        <v>289.56516326172863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98.713922538232339</v>
      </c>
      <c r="AA104" s="21">
        <f>EXP(-LN(2)/25)*AA103+(1-EXP(-LN(2)/25))/(LN(2)/25)*Calculateur!V104*Calculateur!X104*VLOOKUP('Données projet'!$B$9,Paramètres!$A$1:$I$89,3,0)*0.475*44/12</f>
        <v>40.32091186127483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139.03483439950716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2.2737367544323206E-13</v>
      </c>
      <c r="AJ104" s="13">
        <f>AI104*VLOOKUP('Données projet'!$B$10,Paramètres!$A$1:$I$89,3,0)*VLOOKUP('Données projet'!$B$10,Paramètres!$A$1:$I$89,5,0)</f>
        <v>1.3596945791505279E-13</v>
      </c>
      <c r="AK104" s="13">
        <f t="shared" si="89"/>
        <v>1.9708830566360721E-12</v>
      </c>
      <c r="AL104" s="20">
        <f t="shared" si="58"/>
        <v>3.669434796176543E-12</v>
      </c>
      <c r="AM104" s="59">
        <f t="shared" si="59"/>
        <v>293.33333333333701</v>
      </c>
      <c r="AN104" s="59">
        <f ca="1">AVERAGE(OFFSET($AM$3,0,0,'Données projet'!$E$10+1,1))-AVERAGE(OFFSET($H$3,0,0,'Données projet'!$E$10+1,1))</f>
        <v>287.52077437571728</v>
      </c>
      <c r="AO104" s="59">
        <f t="shared" si="90"/>
        <v>420.95891230839874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20.371301910683254</v>
      </c>
      <c r="AV104" s="21">
        <f>EXP(-LN(2)/25)*AV103+(1-EXP(-LN(2)/25))/(LN(2)/25)*Calculateur!AQ104*Calculateur!AS104*VLOOKUP('Données projet'!$B$10,Paramètres!$A$1:$I$89,3,0)*0.475*44/12</f>
        <v>26.347368232871524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46.718670143554775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8.0470000000000024</v>
      </c>
      <c r="BD104" s="12">
        <f>IF('Données projet'!$A$88&gt;35,BD103+BC104-BL103,IF(A104&lt;'Données projet'!$A$88,$BA$205^A104,IF(A104='Données projet'!$A$88,'Données projet'!$B$88,BD103+BC104-BL103)))</f>
        <v>341.2690000000004</v>
      </c>
      <c r="BE104" s="13">
        <f>BD104*VLOOKUP('Données projet'!$B$11,Paramètres!$A$1:$I$89,3,0)*VLOOKUP('Données projet'!$B$11,Paramètres!$A$1:$I$89,5,0)</f>
        <v>308.78019120000033</v>
      </c>
      <c r="BF104" s="13">
        <f t="shared" si="91"/>
        <v>73.014027120130123</v>
      </c>
      <c r="BG104" s="20">
        <f t="shared" si="61"/>
        <v>664.95826357422709</v>
      </c>
      <c r="BH104" s="59">
        <f t="shared" si="62"/>
        <v>958.29159690756046</v>
      </c>
      <c r="BI104" s="59">
        <f ca="1">AVERAGE(OFFSET($BH$3,0,0,'Données projet'!$E$11+1,1))-AVERAGE(OFFSET($H$3,0,0,'Données projet'!$E$11+1,1))</f>
        <v>581.88778927327667</v>
      </c>
      <c r="BJ104" s="59">
        <f t="shared" si="92"/>
        <v>269.67340993773422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44.708140551000682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44.708140551000682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-9.9316821433603781E-14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413.25558401068383</v>
      </c>
      <c r="T105" s="59">
        <f t="shared" si="88"/>
        <v>289.56516326172863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96.778202726805148</v>
      </c>
      <c r="AA105" s="21">
        <f>EXP(-LN(2)/25)*AA104+(1-EXP(-LN(2)/25))/(LN(2)/25)*Calculateur!V105*Calculateur!X105*VLOOKUP('Données projet'!$B$9,Paramètres!$A$1:$I$89,3,0)*0.475*44/12</f>
        <v>39.218334406043667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135.9965371328488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2.2737367544323206E-13</v>
      </c>
      <c r="AJ105" s="13">
        <f>AI105*VLOOKUP('Données projet'!$B$10,Paramètres!$A$1:$I$89,3,0)*VLOOKUP('Données projet'!$B$10,Paramètres!$A$1:$I$89,5,0)</f>
        <v>1.3596945791505279E-13</v>
      </c>
      <c r="AK105" s="13">
        <f t="shared" si="89"/>
        <v>1.9708830566360721E-12</v>
      </c>
      <c r="AL105" s="20">
        <f t="shared" si="58"/>
        <v>3.669434796176543E-12</v>
      </c>
      <c r="AM105" s="59">
        <f t="shared" si="59"/>
        <v>293.33333333333701</v>
      </c>
      <c r="AN105" s="59">
        <f ca="1">AVERAGE(OFFSET($AM$3,0,0,'Données projet'!$E$10+1,1))-AVERAGE(OFFSET($H$3,0,0,'Données projet'!$E$10+1,1))</f>
        <v>287.52077437571728</v>
      </c>
      <c r="AO105" s="59">
        <f t="shared" si="90"/>
        <v>420.95891230839874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19.971833105482027</v>
      </c>
      <c r="AV105" s="21">
        <f>EXP(-LN(2)/25)*AV104+(1-EXP(-LN(2)/25))/(LN(2)/25)*Calculateur!AQ105*Calculateur!AS105*VLOOKUP('Données projet'!$B$10,Paramètres!$A$1:$I$89,3,0)*0.475*44/12</f>
        <v>25.626898062995775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45.598731168477798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8.0470000000000024</v>
      </c>
      <c r="BD105" s="12">
        <f>IF('Données projet'!$A$88&gt;35,BD104+BC105-BL104,IF(A105&lt;'Données projet'!$A$88,$BA$205^A105,IF(A105='Données projet'!$A$88,'Données projet'!$B$88,BD104+BC105-BL104)))</f>
        <v>349.31600000000043</v>
      </c>
      <c r="BE105" s="13">
        <f>BD105*VLOOKUP('Données projet'!$B$11,Paramètres!$A$1:$I$89,3,0)*VLOOKUP('Données projet'!$B$11,Paramètres!$A$1:$I$89,5,0)</f>
        <v>316.06111680000038</v>
      </c>
      <c r="BF105" s="13">
        <f t="shared" si="91"/>
        <v>74.533202582557081</v>
      </c>
      <c r="BG105" s="20">
        <f t="shared" si="61"/>
        <v>680.28510625795423</v>
      </c>
      <c r="BH105" s="59">
        <f t="shared" si="62"/>
        <v>973.6184395912876</v>
      </c>
      <c r="BI105" s="59">
        <f ca="1">AVERAGE(OFFSET($BH$3,0,0,'Données projet'!$E$11+1,1))-AVERAGE(OFFSET($H$3,0,0,'Données projet'!$E$11+1,1))</f>
        <v>581.88778927327667</v>
      </c>
      <c r="BJ105" s="59">
        <f t="shared" si="92"/>
        <v>269.67340993773422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43.83144118406868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43.83144118406868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-9.9316821433603781E-14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413.25558401068383</v>
      </c>
      <c r="T106" s="59">
        <f t="shared" si="88"/>
        <v>289.56516326172863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94.880441200207542</v>
      </c>
      <c r="AA106" s="21">
        <f>EXP(-LN(2)/25)*AA105+(1-EXP(-LN(2)/25))/(LN(2)/25)*Calculateur!V106*Calculateur!X106*VLOOKUP('Données projet'!$B$9,Paramètres!$A$1:$I$89,3,0)*0.475*44/12</f>
        <v>38.145906989307832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133.02634818951537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2.2737367544323206E-13</v>
      </c>
      <c r="AJ106" s="13">
        <f>AI106*VLOOKUP('Données projet'!$B$10,Paramètres!$A$1:$I$89,3,0)*VLOOKUP('Données projet'!$B$10,Paramètres!$A$1:$I$89,5,0)</f>
        <v>1.3596945791505279E-13</v>
      </c>
      <c r="AK106" s="13">
        <f t="shared" si="89"/>
        <v>1.9708830566360721E-12</v>
      </c>
      <c r="AL106" s="20">
        <f t="shared" si="58"/>
        <v>3.669434796176543E-12</v>
      </c>
      <c r="AM106" s="59">
        <f t="shared" si="59"/>
        <v>293.33333333333701</v>
      </c>
      <c r="AN106" s="59">
        <f ca="1">AVERAGE(OFFSET($AM$3,0,0,'Données projet'!$E$10+1,1))-AVERAGE(OFFSET($H$3,0,0,'Données projet'!$E$10+1,1))</f>
        <v>287.52077437571728</v>
      </c>
      <c r="AO106" s="59">
        <f t="shared" si="90"/>
        <v>420.95891230839874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19.580197639898884</v>
      </c>
      <c r="AV106" s="21">
        <f>EXP(-LN(2)/25)*AV105+(1-EXP(-LN(2)/25))/(LN(2)/25)*Calculateur!AQ106*Calculateur!AS106*VLOOKUP('Données projet'!$B$10,Paramètres!$A$1:$I$89,3,0)*0.475*44/12</f>
        <v>24.926129187803156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44.50632682770204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8.0470000000000024</v>
      </c>
      <c r="BD106" s="12">
        <f>IF('Données projet'!$A$88&gt;35,BD105+BC106-BL105,IF(A106&lt;'Données projet'!$A$88,$BA$205^A106,IF(A106='Données projet'!$A$88,'Données projet'!$B$88,BD105+BC106-BL105)))</f>
        <v>357.36300000000045</v>
      </c>
      <c r="BE106" s="13">
        <f>BD106*VLOOKUP('Données projet'!$B$11,Paramètres!$A$1:$I$89,3,0)*VLOOKUP('Données projet'!$B$11,Paramètres!$A$1:$I$89,5,0)</f>
        <v>323.34204240000037</v>
      </c>
      <c r="BF106" s="13">
        <f t="shared" si="91"/>
        <v>76.048309539529996</v>
      </c>
      <c r="BG106" s="20">
        <f t="shared" si="61"/>
        <v>695.60486296134877</v>
      </c>
      <c r="BH106" s="59">
        <f t="shared" si="62"/>
        <v>988.93819629468203</v>
      </c>
      <c r="BI106" s="59">
        <f ca="1">AVERAGE(OFFSET($BH$3,0,0,'Données projet'!$E$11+1,1))-AVERAGE(OFFSET($H$3,0,0,'Données projet'!$E$11+1,1))</f>
        <v>581.88778927327667</v>
      </c>
      <c r="BJ106" s="59">
        <f t="shared" si="92"/>
        <v>269.67340993773422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42.971933356988401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42.971933356988401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-9.9316821433603781E-14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413.25558401068383</v>
      </c>
      <c r="T107" s="59">
        <f t="shared" si="88"/>
        <v>289.56516326172863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93.019893619626288</v>
      </c>
      <c r="AA107" s="21">
        <f>EXP(-LN(2)/25)*AA106+(1-EXP(-LN(2)/25))/(LN(2)/25)*Calculateur!V107*Calculateur!X107*VLOOKUP('Données projet'!$B$9,Paramètres!$A$1:$I$89,3,0)*0.475*44/12</f>
        <v>37.102805156679146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130.12269877630544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2.2737367544323206E-13</v>
      </c>
      <c r="AJ107" s="13">
        <f>AI107*VLOOKUP('Données projet'!$B$10,Paramètres!$A$1:$I$89,3,0)*VLOOKUP('Données projet'!$B$10,Paramètres!$A$1:$I$89,5,0)</f>
        <v>1.3596945791505279E-13</v>
      </c>
      <c r="AK107" s="13">
        <f t="shared" si="89"/>
        <v>1.9708830566360721E-12</v>
      </c>
      <c r="AL107" s="20">
        <f t="shared" si="58"/>
        <v>3.669434796176543E-12</v>
      </c>
      <c r="AM107" s="59">
        <f t="shared" si="59"/>
        <v>293.33333333333701</v>
      </c>
      <c r="AN107" s="59">
        <f ca="1">AVERAGE(OFFSET($AM$3,0,0,'Données projet'!$E$10+1,1))-AVERAGE(OFFSET($H$3,0,0,'Données projet'!$E$10+1,1))</f>
        <v>287.52077437571728</v>
      </c>
      <c r="AO107" s="59">
        <f t="shared" si="90"/>
        <v>420.95891230839874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19.196241906921781</v>
      </c>
      <c r="AV107" s="21">
        <f>EXP(-LN(2)/25)*AV106+(1-EXP(-LN(2)/25))/(LN(2)/25)*Calculateur!AQ107*Calculateur!AS107*VLOOKUP('Données projet'!$B$10,Paramètres!$A$1:$I$89,3,0)*0.475*44/12</f>
        <v>24.244522874354512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43.440764781276293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365.41</v>
      </c>
      <c r="BB107" s="12">
        <f>VLOOKUP(A107,'Données projet'!$A$87:$I$107,9,0)</f>
        <v>8.0470000000000024</v>
      </c>
      <c r="BC107" s="12">
        <f t="array" ref="BC107">INDEX(BB:BB,MIN(IF(ISNUMBER(BB107:BB303),ROW(BB107:BB303),"")))</f>
        <v>8.0470000000000024</v>
      </c>
      <c r="BD107" s="12">
        <f>IF('Données projet'!$A$88&gt;35,BD106+BC107-BL106,IF(A107&lt;'Données projet'!$A$88,$BA$205^A107,IF(A107='Données projet'!$A$88,'Données projet'!$B$88,BD106+BC107-BL106)))</f>
        <v>365.41000000000048</v>
      </c>
      <c r="BE107" s="13">
        <f>BD107*VLOOKUP('Données projet'!$B$11,Paramètres!$A$1:$I$89,3,0)*VLOOKUP('Données projet'!$B$11,Paramètres!$A$1:$I$89,5,0)</f>
        <v>330.62296800000041</v>
      </c>
      <c r="BF107" s="13">
        <f t="shared" si="91"/>
        <v>77.559450151847827</v>
      </c>
      <c r="BG107" s="20">
        <f t="shared" si="61"/>
        <v>710.91771161446911</v>
      </c>
      <c r="BH107" s="59">
        <f t="shared" si="62"/>
        <v>1004.2510449478025</v>
      </c>
      <c r="BI107" s="59">
        <f ca="1">AVERAGE(OFFSET($BH$3,0,0,'Données projet'!$E$11+1,1))-AVERAGE(OFFSET($H$3,0,0,'Données projet'!$E$11+1,1))</f>
        <v>581.88778927327667</v>
      </c>
      <c r="BJ107" s="59">
        <f t="shared" si="92"/>
        <v>269.67340993773422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60.19</v>
      </c>
      <c r="BM107" s="16">
        <f>IF(ISNA(VLOOKUP(A107,'Données projet'!$A$87:$I$107,5,0)),0%,VLOOKUP(A107,'Données projet'!$A$87:$I$107,5,0)*VLOOKUP('Données projet'!$B$11,Paramètres!$A$1:$I$89,7,0))</f>
        <v>0.25800000000000001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57.661865407845688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57.661865407845688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-9.9316821433603781E-14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413.25558401068383</v>
      </c>
      <c r="T108" s="59">
        <f t="shared" si="88"/>
        <v>289.56516326172863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91.195830242278262</v>
      </c>
      <c r="AA108" s="21">
        <f>EXP(-LN(2)/25)*AA107+(1-EXP(-LN(2)/25))/(LN(2)/25)*Calculateur!V108*Calculateur!X108*VLOOKUP('Données projet'!$B$9,Paramètres!$A$1:$I$89,3,0)*0.475*44/12</f>
        <v>36.088226998518032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127.2840572407963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2.2737367544323206E-13</v>
      </c>
      <c r="AJ108" s="13">
        <f>AI108*VLOOKUP('Données projet'!$B$10,Paramètres!$A$1:$I$89,3,0)*VLOOKUP('Données projet'!$B$10,Paramètres!$A$1:$I$89,5,0)</f>
        <v>1.3596945791505279E-13</v>
      </c>
      <c r="AK108" s="13">
        <f t="shared" si="89"/>
        <v>1.9708830566360721E-12</v>
      </c>
      <c r="AL108" s="20">
        <f t="shared" si="58"/>
        <v>3.669434796176543E-12</v>
      </c>
      <c r="AM108" s="59">
        <f t="shared" si="59"/>
        <v>293.33333333333701</v>
      </c>
      <c r="AN108" s="59">
        <f ca="1">AVERAGE(OFFSET($AM$3,0,0,'Données projet'!$E$10+1,1))-AVERAGE(OFFSET($H$3,0,0,'Données projet'!$E$10+1,1))</f>
        <v>287.52077437571728</v>
      </c>
      <c r="AO108" s="59">
        <f t="shared" si="90"/>
        <v>420.95891230839874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18.819815311678486</v>
      </c>
      <c r="AV108" s="21">
        <f>EXP(-LN(2)/25)*AV107+(1-EXP(-LN(2)/25))/(LN(2)/25)*Calculateur!AQ108*Calculateur!AS108*VLOOKUP('Données projet'!$B$10,Paramètres!$A$1:$I$89,3,0)*0.475*44/12</f>
        <v>23.58155512139124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42.401370433069729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7.9349999999999969</v>
      </c>
      <c r="BD108" s="12">
        <f>IF('Données projet'!$A$88&gt;35,BD107+BC108-BL107,IF(A108&lt;'Données projet'!$A$88,$BA$205^A108,IF(A108='Données projet'!$A$88,'Données projet'!$B$88,BD107+BC108-BL107)))</f>
        <v>313.15500000000048</v>
      </c>
      <c r="BE108" s="13">
        <f>BD108*VLOOKUP('Données projet'!$B$11,Paramètres!$A$1:$I$89,3,0)*VLOOKUP('Données projet'!$B$11,Paramètres!$A$1:$I$89,5,0)</f>
        <v>283.34264400000046</v>
      </c>
      <c r="BF108" s="13">
        <f t="shared" si="91"/>
        <v>67.672917015543916</v>
      </c>
      <c r="BG108" s="20">
        <f t="shared" si="61"/>
        <v>611.3521021020731</v>
      </c>
      <c r="BH108" s="59">
        <f t="shared" si="62"/>
        <v>904.68543543540636</v>
      </c>
      <c r="BI108" s="59">
        <f ca="1">AVERAGE(OFFSET($BH$3,0,0,'Données projet'!$E$11+1,1))-AVERAGE(OFFSET($H$3,0,0,'Données projet'!$E$11+1,1))</f>
        <v>581.88778927327667</v>
      </c>
      <c r="BJ108" s="59">
        <f t="shared" si="92"/>
        <v>269.67340993773422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56.531151397462956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56.531151397462956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-9.9316821433603781E-14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413.25558401068383</v>
      </c>
      <c r="T109" s="59">
        <f t="shared" si="88"/>
        <v>289.56516326172863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89.407535635191223</v>
      </c>
      <c r="AA109" s="21">
        <f>EXP(-LN(2)/25)*AA108+(1-EXP(-LN(2)/25))/(LN(2)/25)*Calculateur!V109*Calculateur!X109*VLOOKUP('Données projet'!$B$9,Paramètres!$A$1:$I$89,3,0)*0.475*44/12</f>
        <v>35.10139253344618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124.5089281686374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2.2737367544323206E-13</v>
      </c>
      <c r="AJ109" s="13">
        <f>AI109*VLOOKUP('Données projet'!$B$10,Paramètres!$A$1:$I$89,3,0)*VLOOKUP('Données projet'!$B$10,Paramètres!$A$1:$I$89,5,0)</f>
        <v>1.3596945791505279E-13</v>
      </c>
      <c r="AK109" s="13">
        <f t="shared" si="89"/>
        <v>1.9708830566360721E-12</v>
      </c>
      <c r="AL109" s="20">
        <f t="shared" si="58"/>
        <v>3.669434796176543E-12</v>
      </c>
      <c r="AM109" s="59">
        <f t="shared" si="59"/>
        <v>293.33333333333701</v>
      </c>
      <c r="AN109" s="59">
        <f ca="1">AVERAGE(OFFSET($AM$3,0,0,'Données projet'!$E$10+1,1))-AVERAGE(OFFSET($H$3,0,0,'Données projet'!$E$10+1,1))</f>
        <v>287.52077437571728</v>
      </c>
      <c r="AO109" s="59">
        <f t="shared" si="90"/>
        <v>420.95891230839874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18.450770212370358</v>
      </c>
      <c r="AV109" s="21">
        <f>EXP(-LN(2)/25)*AV108+(1-EXP(-LN(2)/25))/(LN(2)/25)*Calculateur!AQ109*Calculateur!AS109*VLOOKUP('Données projet'!$B$10,Paramètres!$A$1:$I$89,3,0)*0.475*44/12</f>
        <v>22.936716256496709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41.387486468867067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7.9349999999999969</v>
      </c>
      <c r="BD109" s="12">
        <f>IF('Données projet'!$A$88&gt;35,BD108+BC109-BL108,IF(A109&lt;'Données projet'!$A$88,$BA$205^A109,IF(A109='Données projet'!$A$88,'Données projet'!$B$88,BD108+BC109-BL108)))</f>
        <v>321.09000000000049</v>
      </c>
      <c r="BE109" s="13">
        <f>BD109*VLOOKUP('Données projet'!$B$11,Paramètres!$A$1:$I$89,3,0)*VLOOKUP('Données projet'!$B$11,Paramètres!$A$1:$I$89,5,0)</f>
        <v>290.52223200000043</v>
      </c>
      <c r="BF109" s="13">
        <f t="shared" si="91"/>
        <v>69.185862279978352</v>
      </c>
      <c r="BG109" s="20">
        <f t="shared" si="61"/>
        <v>626.49159753762979</v>
      </c>
      <c r="BH109" s="59">
        <f t="shared" si="62"/>
        <v>919.82493087096304</v>
      </c>
      <c r="BI109" s="59">
        <f ca="1">AVERAGE(OFFSET($BH$3,0,0,'Données projet'!$E$11+1,1))-AVERAGE(OFFSET($H$3,0,0,'Données projet'!$E$11+1,1))</f>
        <v>581.88778927327667</v>
      </c>
      <c r="BJ109" s="59">
        <f t="shared" si="92"/>
        <v>269.67340993773422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55.422609999156386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55.422609999156386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-9.9316821433603781E-14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413.25558401068383</v>
      </c>
      <c r="T110" s="59">
        <f t="shared" si="88"/>
        <v>289.56516326172863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87.654308394597152</v>
      </c>
      <c r="AA110" s="21">
        <f>EXP(-LN(2)/25)*AA109+(1-EXP(-LN(2)/25))/(LN(2)/25)*Calculateur!V110*Calculateur!X110*VLOOKUP('Données projet'!$B$9,Paramètres!$A$1:$I$89,3,0)*0.475*44/12</f>
        <v>34.141543108717087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121.79585150331424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2.2737367544323206E-13</v>
      </c>
      <c r="AJ110" s="13">
        <f>AI110*VLOOKUP('Données projet'!$B$10,Paramètres!$A$1:$I$89,3,0)*VLOOKUP('Données projet'!$B$10,Paramètres!$A$1:$I$89,5,0)</f>
        <v>1.3596945791505279E-13</v>
      </c>
      <c r="AK110" s="13">
        <f t="shared" si="89"/>
        <v>1.9708830566360721E-12</v>
      </c>
      <c r="AL110" s="20">
        <f t="shared" si="58"/>
        <v>3.669434796176543E-12</v>
      </c>
      <c r="AM110" s="59">
        <f t="shared" si="59"/>
        <v>293.33333333333701</v>
      </c>
      <c r="AN110" s="59">
        <f ca="1">AVERAGE(OFFSET($AM$3,0,0,'Données projet'!$E$10+1,1))-AVERAGE(OFFSET($H$3,0,0,'Données projet'!$E$10+1,1))</f>
        <v>287.52077437571728</v>
      </c>
      <c r="AO110" s="59">
        <f t="shared" si="90"/>
        <v>420.95891230839874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18.088961862364378</v>
      </c>
      <c r="AV110" s="21">
        <f>EXP(-LN(2)/25)*AV109+(1-EXP(-LN(2)/25))/(LN(2)/25)*Calculateur!AQ110*Calculateur!AS110*VLOOKUP('Données projet'!$B$10,Paramètres!$A$1:$I$89,3,0)*0.475*44/12</f>
        <v>22.309510544273319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40.398472406637694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7.9349999999999969</v>
      </c>
      <c r="BD110" s="12">
        <f>IF('Données projet'!$A$88&gt;35,BD109+BC110-BL109,IF(A110&lt;'Données projet'!$A$88,$BA$205^A110,IF(A110='Données projet'!$A$88,'Données projet'!$B$88,BD109+BC110-BL109)))</f>
        <v>329.02500000000049</v>
      </c>
      <c r="BE110" s="13">
        <f>BD110*VLOOKUP('Données projet'!$B$11,Paramètres!$A$1:$I$89,3,0)*VLOOKUP('Données projet'!$B$11,Paramètres!$A$1:$I$89,5,0)</f>
        <v>297.70182000000045</v>
      </c>
      <c r="BF110" s="13">
        <f t="shared" si="91"/>
        <v>70.69446125561177</v>
      </c>
      <c r="BG110" s="20">
        <f t="shared" si="61"/>
        <v>641.62352318685794</v>
      </c>
      <c r="BH110" s="59">
        <f t="shared" si="62"/>
        <v>934.9568565201912</v>
      </c>
      <c r="BI110" s="59">
        <f ca="1">AVERAGE(OFFSET($BH$3,0,0,'Données projet'!$E$11+1,1))-AVERAGE(OFFSET($H$3,0,0,'Données projet'!$E$11+1,1))</f>
        <v>581.88778927327667</v>
      </c>
      <c r="BJ110" s="59">
        <f t="shared" si="92"/>
        <v>269.67340993773422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54.335806421527117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54.335806421527117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-9.9316821433603781E-14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413.25558401068383</v>
      </c>
      <c r="T111" s="59">
        <f t="shared" si="88"/>
        <v>289.56516326172863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85.935460870828109</v>
      </c>
      <c r="AA111" s="21">
        <f>EXP(-LN(2)/25)*AA110+(1-EXP(-LN(2)/25))/(LN(2)/25)*Calculateur!V111*Calculateur!X111*VLOOKUP('Données projet'!$B$9,Paramètres!$A$1:$I$89,3,0)*0.475*44/12</f>
        <v>33.207940816983495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119.1434016878116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2.2737367544323206E-13</v>
      </c>
      <c r="AJ111" s="13">
        <f>AI111*VLOOKUP('Données projet'!$B$10,Paramètres!$A$1:$I$89,3,0)*VLOOKUP('Données projet'!$B$10,Paramètres!$A$1:$I$89,5,0)</f>
        <v>1.3596945791505279E-13</v>
      </c>
      <c r="AK111" s="13">
        <f t="shared" si="89"/>
        <v>1.9708830566360721E-12</v>
      </c>
      <c r="AL111" s="20">
        <f t="shared" si="58"/>
        <v>3.669434796176543E-12</v>
      </c>
      <c r="AM111" s="59">
        <f t="shared" si="59"/>
        <v>293.33333333333701</v>
      </c>
      <c r="AN111" s="59">
        <f ca="1">AVERAGE(OFFSET($AM$3,0,0,'Données projet'!$E$10+1,1))-AVERAGE(OFFSET($H$3,0,0,'Données projet'!$E$10+1,1))</f>
        <v>287.52077437571728</v>
      </c>
      <c r="AO111" s="59">
        <f t="shared" si="90"/>
        <v>420.95891230839874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17.734248353420714</v>
      </c>
      <c r="AV111" s="21">
        <f>EXP(-LN(2)/25)*AV110+(1-EXP(-LN(2)/25))/(LN(2)/25)*Calculateur!AQ111*Calculateur!AS111*VLOOKUP('Données projet'!$B$10,Paramètres!$A$1:$I$89,3,0)*0.475*44/12</f>
        <v>21.699455805233995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39.433704158654706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7.9349999999999969</v>
      </c>
      <c r="BD111" s="12">
        <f>IF('Données projet'!$A$88&gt;35,BD110+BC111-BL110,IF(A111&lt;'Données projet'!$A$88,$BA$205^A111,IF(A111='Données projet'!$A$88,'Données projet'!$B$88,BD110+BC111-BL110)))</f>
        <v>336.96000000000049</v>
      </c>
      <c r="BE111" s="13">
        <f>BD111*VLOOKUP('Données projet'!$B$11,Paramètres!$A$1:$I$89,3,0)*VLOOKUP('Données projet'!$B$11,Paramètres!$A$1:$I$89,5,0)</f>
        <v>304.88140800000042</v>
      </c>
      <c r="BF111" s="13">
        <f t="shared" si="91"/>
        <v>72.198830820277394</v>
      </c>
      <c r="BG111" s="20">
        <f t="shared" si="61"/>
        <v>656.74808261198393</v>
      </c>
      <c r="BH111" s="59">
        <f t="shared" si="62"/>
        <v>950.0814159453173</v>
      </c>
      <c r="BI111" s="59">
        <f ca="1">AVERAGE(OFFSET($BH$3,0,0,'Données projet'!$E$11+1,1))-AVERAGE(OFFSET($H$3,0,0,'Données projet'!$E$11+1,1))</f>
        <v>581.88778927327667</v>
      </c>
      <c r="BJ111" s="59">
        <f t="shared" si="92"/>
        <v>269.67340993773422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53.270314399170431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53.270314399170431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-9.9316821433603781E-14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413.25558401068383</v>
      </c>
      <c r="T112" s="59">
        <f t="shared" si="88"/>
        <v>289.56516326172863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84.250318898606707</v>
      </c>
      <c r="AA112" s="21">
        <f>EXP(-LN(2)/25)*AA111+(1-EXP(-LN(2)/25))/(LN(2)/25)*Calculateur!V112*Calculateur!X112*VLOOKUP('Données projet'!$B$9,Paramètres!$A$1:$I$89,3,0)*0.475*44/12</f>
        <v>32.299867929013374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116.55018682762008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2.2737367544323206E-13</v>
      </c>
      <c r="AJ112" s="13">
        <f>AI112*VLOOKUP('Données projet'!$B$10,Paramètres!$A$1:$I$89,3,0)*VLOOKUP('Données projet'!$B$10,Paramètres!$A$1:$I$89,5,0)</f>
        <v>1.3596945791505279E-13</v>
      </c>
      <c r="AK112" s="13">
        <f t="shared" si="89"/>
        <v>1.9708830566360721E-12</v>
      </c>
      <c r="AL112" s="20">
        <f t="shared" si="58"/>
        <v>3.669434796176543E-12</v>
      </c>
      <c r="AM112" s="59">
        <f t="shared" si="59"/>
        <v>293.33333333333701</v>
      </c>
      <c r="AN112" s="59">
        <f ca="1">AVERAGE(OFFSET($AM$3,0,0,'Données projet'!$E$10+1,1))-AVERAGE(OFFSET($H$3,0,0,'Données projet'!$E$10+1,1))</f>
        <v>287.52077437571728</v>
      </c>
      <c r="AO112" s="59">
        <f t="shared" si="90"/>
        <v>420.95891230839874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17.386490560033558</v>
      </c>
      <c r="AV112" s="21">
        <f>EXP(-LN(2)/25)*AV111+(1-EXP(-LN(2)/25))/(LN(2)/25)*Calculateur!AQ112*Calculateur!AS112*VLOOKUP('Données projet'!$B$10,Paramètres!$A$1:$I$89,3,0)*0.475*44/12</f>
        <v>21.106083045115085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38.492573605148642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7.9349999999999969</v>
      </c>
      <c r="BD112" s="12">
        <f>IF('Données projet'!$A$88&gt;35,BD111+BC112-BL111,IF(A112&lt;'Données projet'!$A$88,$BA$205^A112,IF(A112='Données projet'!$A$88,'Données projet'!$B$88,BD111+BC112-BL111)))</f>
        <v>344.89500000000049</v>
      </c>
      <c r="BE112" s="13">
        <f>BD112*VLOOKUP('Données projet'!$B$11,Paramètres!$A$1:$I$89,3,0)*VLOOKUP('Données projet'!$B$11,Paramètres!$A$1:$I$89,5,0)</f>
        <v>312.06099600000044</v>
      </c>
      <c r="BF112" s="13">
        <f t="shared" si="91"/>
        <v>73.699082033131035</v>
      </c>
      <c r="BG112" s="20">
        <f t="shared" si="61"/>
        <v>671.86546924103743</v>
      </c>
      <c r="BH112" s="59">
        <f t="shared" si="62"/>
        <v>965.1988025743708</v>
      </c>
      <c r="BI112" s="59">
        <f ca="1">AVERAGE(OFFSET($BH$3,0,0,'Données projet'!$E$11+1,1))-AVERAGE(OFFSET($H$3,0,0,'Données projet'!$E$11+1,1))</f>
        <v>581.88778927327667</v>
      </c>
      <c r="BJ112" s="59">
        <f t="shared" si="92"/>
        <v>269.67340993773422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52.225716025486193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52.225716025486193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-9.9316821433603781E-14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413.25558401068383</v>
      </c>
      <c r="T113" s="59">
        <f t="shared" si="88"/>
        <v>289.56516326172863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82.598221532625445</v>
      </c>
      <c r="AA113" s="21">
        <f>EXP(-LN(2)/25)*AA112+(1-EXP(-LN(2)/25))/(LN(2)/25)*Calculateur!V113*Calculateur!X113*VLOOKUP('Données projet'!$B$9,Paramètres!$A$1:$I$89,3,0)*0.475*44/12</f>
        <v>31.416626341918271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114.01484787454372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2.2737367544323206E-13</v>
      </c>
      <c r="AJ113" s="13">
        <f>AI113*VLOOKUP('Données projet'!$B$10,Paramètres!$A$1:$I$89,3,0)*VLOOKUP('Données projet'!$B$10,Paramètres!$A$1:$I$89,5,0)</f>
        <v>1.3596945791505279E-13</v>
      </c>
      <c r="AK113" s="13">
        <f t="shared" si="89"/>
        <v>1.9708830566360721E-12</v>
      </c>
      <c r="AL113" s="20">
        <f t="shared" si="58"/>
        <v>3.669434796176543E-12</v>
      </c>
      <c r="AM113" s="59">
        <f t="shared" si="59"/>
        <v>293.33333333333701</v>
      </c>
      <c r="AN113" s="59">
        <f ca="1">AVERAGE(OFFSET($AM$3,0,0,'Données projet'!$E$10+1,1))-AVERAGE(OFFSET($H$3,0,0,'Données projet'!$E$10+1,1))</f>
        <v>287.52077437571728</v>
      </c>
      <c r="AO113" s="59">
        <f t="shared" si="90"/>
        <v>420.95891230839874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17.045552084863413</v>
      </c>
      <c r="AV113" s="21">
        <f>EXP(-LN(2)/25)*AV112+(1-EXP(-LN(2)/25))/(LN(2)/25)*Calculateur!AQ113*Calculateur!AS113*VLOOKUP('Données projet'!$B$10,Paramètres!$A$1:$I$89,3,0)*0.475*44/12</f>
        <v>20.528936094325744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37.57448817918916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7.9349999999999969</v>
      </c>
      <c r="BD113" s="12">
        <f>IF('Données projet'!$A$88&gt;35,BD112+BC113-BL112,IF(A113&lt;'Données projet'!$A$88,$BA$205^A113,IF(A113='Données projet'!$A$88,'Données projet'!$B$88,BD112+BC113-BL112)))</f>
        <v>352.8300000000005</v>
      </c>
      <c r="BE113" s="13">
        <f>BD113*VLOOKUP('Données projet'!$B$11,Paramètres!$A$1:$I$89,3,0)*VLOOKUP('Données projet'!$B$11,Paramètres!$A$1:$I$89,5,0)</f>
        <v>319.24058400000041</v>
      </c>
      <c r="BF113" s="13">
        <f t="shared" si="91"/>
        <v>75.195320551435159</v>
      </c>
      <c r="BG113" s="20">
        <f t="shared" si="61"/>
        <v>686.97586709375025</v>
      </c>
      <c r="BH113" s="59">
        <f t="shared" si="62"/>
        <v>980.30920042708362</v>
      </c>
      <c r="BI113" s="59">
        <f ca="1">AVERAGE(OFFSET($BH$3,0,0,'Données projet'!$E$11+1,1))-AVERAGE(OFFSET($H$3,0,0,'Données projet'!$E$11+1,1))</f>
        <v>581.88778927327667</v>
      </c>
      <c r="BJ113" s="59">
        <f t="shared" si="92"/>
        <v>269.67340993773422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51.201601588767808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51.201601588767808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-9.9316821433603781E-14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413.25558401068383</v>
      </c>
      <c r="T114" s="59">
        <f t="shared" si="88"/>
        <v>289.56516326172863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80.978520788311187</v>
      </c>
      <c r="AA114" s="21">
        <f>EXP(-LN(2)/25)*AA113+(1-EXP(-LN(2)/25))/(LN(2)/25)*Calculateur!V114*Calculateur!X114*VLOOKUP('Données projet'!$B$9,Paramètres!$A$1:$I$89,3,0)*0.475*44/12</f>
        <v>30.557537042469939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111.53605783078112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2.2737367544323206E-13</v>
      </c>
      <c r="AJ114" s="13">
        <f>AI114*VLOOKUP('Données projet'!$B$10,Paramètres!$A$1:$I$89,3,0)*VLOOKUP('Données projet'!$B$10,Paramètres!$A$1:$I$89,5,0)</f>
        <v>1.3596945791505279E-13</v>
      </c>
      <c r="AK114" s="13">
        <f t="shared" si="89"/>
        <v>1.9708830566360721E-12</v>
      </c>
      <c r="AL114" s="20">
        <f t="shared" si="58"/>
        <v>3.669434796176543E-12</v>
      </c>
      <c r="AM114" s="59">
        <f t="shared" si="59"/>
        <v>293.33333333333701</v>
      </c>
      <c r="AN114" s="59">
        <f ca="1">AVERAGE(OFFSET($AM$3,0,0,'Données projet'!$E$10+1,1))-AVERAGE(OFFSET($H$3,0,0,'Données projet'!$E$10+1,1))</f>
        <v>287.52077437571728</v>
      </c>
      <c r="AO114" s="59">
        <f t="shared" si="90"/>
        <v>420.95891230839874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16.711299205239417</v>
      </c>
      <c r="AV114" s="21">
        <f>EXP(-LN(2)/25)*AV113+(1-EXP(-LN(2)/25))/(LN(2)/25)*Calculateur!AQ114*Calculateur!AS114*VLOOKUP('Données projet'!$B$10,Paramètres!$A$1:$I$89,3,0)*0.475*44/12</f>
        <v>19.967571257256576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36.678870462495993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7.9349999999999969</v>
      </c>
      <c r="BD114" s="12">
        <f>IF('Données projet'!$A$88&gt;35,BD113+BC114-BL113,IF(A114&lt;'Données projet'!$A$88,$BA$205^A114,IF(A114='Données projet'!$A$88,'Données projet'!$B$88,BD113+BC114-BL113)))</f>
        <v>360.7650000000005</v>
      </c>
      <c r="BE114" s="13">
        <f>BD114*VLOOKUP('Données projet'!$B$11,Paramètres!$A$1:$I$89,3,0)*VLOOKUP('Données projet'!$B$11,Paramètres!$A$1:$I$89,5,0)</f>
        <v>326.42017200000043</v>
      </c>
      <c r="BF114" s="13">
        <f t="shared" si="91"/>
        <v>76.687647008791089</v>
      </c>
      <c r="BG114" s="20">
        <f t="shared" si="61"/>
        <v>702.07945144031191</v>
      </c>
      <c r="BH114" s="59">
        <f t="shared" si="62"/>
        <v>995.41278477364517</v>
      </c>
      <c r="BI114" s="59">
        <f ca="1">AVERAGE(OFFSET($BH$3,0,0,'Données projet'!$E$11+1,1))-AVERAGE(OFFSET($H$3,0,0,'Données projet'!$E$11+1,1))</f>
        <v>581.88778927327667</v>
      </c>
      <c r="BJ114" s="59">
        <f t="shared" si="92"/>
        <v>269.67340993773422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50.197569411505341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50.197569411505341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-9.9316821433603781E-14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413.25558401068383</v>
      </c>
      <c r="T115" s="59">
        <f t="shared" si="88"/>
        <v>289.56516326172863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79.390581387673024</v>
      </c>
      <c r="AA115" s="21">
        <f>EXP(-LN(2)/25)*AA114+(1-EXP(-LN(2)/25))/(LN(2)/25)*Calculateur!V115*Calculateur!X115*VLOOKUP('Données projet'!$B$9,Paramètres!$A$1:$I$89,3,0)*0.475*44/12</f>
        <v>29.721939585092564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109.11252097276559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2.2737367544323206E-13</v>
      </c>
      <c r="AJ115" s="13">
        <f>AI115*VLOOKUP('Données projet'!$B$10,Paramètres!$A$1:$I$89,3,0)*VLOOKUP('Données projet'!$B$10,Paramètres!$A$1:$I$89,5,0)</f>
        <v>1.3596945791505279E-13</v>
      </c>
      <c r="AK115" s="13">
        <f t="shared" si="89"/>
        <v>1.9708830566360721E-12</v>
      </c>
      <c r="AL115" s="20">
        <f t="shared" si="58"/>
        <v>3.669434796176543E-12</v>
      </c>
      <c r="AM115" s="59">
        <f t="shared" si="59"/>
        <v>293.33333333333701</v>
      </c>
      <c r="AN115" s="59">
        <f ca="1">AVERAGE(OFFSET($AM$3,0,0,'Données projet'!$E$10+1,1))-AVERAGE(OFFSET($H$3,0,0,'Données projet'!$E$10+1,1))</f>
        <v>287.52077437571728</v>
      </c>
      <c r="AO115" s="59">
        <f t="shared" si="90"/>
        <v>420.95891230839874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16.383600820710722</v>
      </c>
      <c r="AV115" s="21">
        <f>EXP(-LN(2)/25)*AV114+(1-EXP(-LN(2)/25))/(LN(2)/25)*Calculateur!AQ115*Calculateur!AS115*VLOOKUP('Données projet'!$B$10,Paramètres!$A$1:$I$89,3,0)*0.475*44/12</f>
        <v>19.42155697117796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35.805157791888682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7.9349999999999969</v>
      </c>
      <c r="BD115" s="12">
        <f>IF('Données projet'!$A$88&gt;35,BD114+BC115-BL114,IF(A115&lt;'Données projet'!$A$88,$BA$205^A115,IF(A115='Données projet'!$A$88,'Données projet'!$B$88,BD114+BC115-BL114)))</f>
        <v>368.7000000000005</v>
      </c>
      <c r="BE115" s="13">
        <f>BD115*VLOOKUP('Données projet'!$B$11,Paramètres!$A$1:$I$89,3,0)*VLOOKUP('Données projet'!$B$11,Paramètres!$A$1:$I$89,5,0)</f>
        <v>333.59976000000046</v>
      </c>
      <c r="BF115" s="13">
        <f t="shared" si="91"/>
        <v>78.17615735915706</v>
      </c>
      <c r="BG115" s="20">
        <f t="shared" si="61"/>
        <v>717.17638940053257</v>
      </c>
      <c r="BH115" s="59">
        <f t="shared" si="62"/>
        <v>1010.5097227338658</v>
      </c>
      <c r="BI115" s="59">
        <f ca="1">AVERAGE(OFFSET($BH$3,0,0,'Données projet'!$E$11+1,1))-AVERAGE(OFFSET($H$3,0,0,'Données projet'!$E$11+1,1))</f>
        <v>581.88778927327667</v>
      </c>
      <c r="BJ115" s="59">
        <f t="shared" si="92"/>
        <v>269.67340993773422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49.213225692839835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49.213225692839835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-9.9316821433603781E-14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413.25558401068383</v>
      </c>
      <c r="T116" s="59">
        <f t="shared" si="88"/>
        <v>289.56516326172863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77.833780510133977</v>
      </c>
      <c r="AA116" s="21">
        <f>EXP(-LN(2)/25)*AA115+(1-EXP(-LN(2)/25))/(LN(2)/25)*Calculateur!V116*Calculateur!X116*VLOOKUP('Données projet'!$B$9,Paramètres!$A$1:$I$89,3,0)*0.475*44/12</f>
        <v>28.909191584129335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106.74297209426331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2.2737367544323206E-13</v>
      </c>
      <c r="AJ116" s="13">
        <f>AI116*VLOOKUP('Données projet'!$B$10,Paramètres!$A$1:$I$89,3,0)*VLOOKUP('Données projet'!$B$10,Paramètres!$A$1:$I$89,5,0)</f>
        <v>1.3596945791505279E-13</v>
      </c>
      <c r="AK116" s="13">
        <f t="shared" si="89"/>
        <v>1.9708830566360721E-12</v>
      </c>
      <c r="AL116" s="20">
        <f t="shared" si="58"/>
        <v>3.669434796176543E-12</v>
      </c>
      <c r="AM116" s="59">
        <f t="shared" si="59"/>
        <v>293.33333333333701</v>
      </c>
      <c r="AN116" s="59">
        <f ca="1">AVERAGE(OFFSET($AM$3,0,0,'Données projet'!$E$10+1,1))-AVERAGE(OFFSET($H$3,0,0,'Données projet'!$E$10+1,1))</f>
        <v>287.52077437571728</v>
      </c>
      <c r="AO116" s="59">
        <f t="shared" si="90"/>
        <v>420.95891230839874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16.062328401626356</v>
      </c>
      <c r="AV116" s="21">
        <f>EXP(-LN(2)/25)*AV115+(1-EXP(-LN(2)/25))/(LN(2)/25)*Calculateur!AQ116*Calculateur!AS116*VLOOKUP('Données projet'!$B$10,Paramètres!$A$1:$I$89,3,0)*0.475*44/12</f>
        <v>18.890473474465807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34.952801876092167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7.9349999999999969</v>
      </c>
      <c r="BD116" s="12">
        <f>IF('Données projet'!$A$88&gt;35,BD115+BC116-BL115,IF(A116&lt;'Données projet'!$A$88,$BA$205^A116,IF(A116='Données projet'!$A$88,'Données projet'!$B$88,BD115+BC116-BL115)))</f>
        <v>376.6350000000005</v>
      </c>
      <c r="BE116" s="13">
        <f>BD116*VLOOKUP('Données projet'!$B$11,Paramètres!$A$1:$I$89,3,0)*VLOOKUP('Données projet'!$B$11,Paramètres!$A$1:$I$89,5,0)</f>
        <v>340.77934800000043</v>
      </c>
      <c r="BF116" s="13">
        <f t="shared" si="91"/>
        <v>79.660943190415296</v>
      </c>
      <c r="BG116" s="20">
        <f t="shared" si="61"/>
        <v>732.26684048997402</v>
      </c>
      <c r="BH116" s="59">
        <f t="shared" si="62"/>
        <v>1025.6001738233074</v>
      </c>
      <c r="BI116" s="59">
        <f ca="1">AVERAGE(OFFSET($BH$3,0,0,'Données projet'!$E$11+1,1))-AVERAGE(OFFSET($H$3,0,0,'Données projet'!$E$11+1,1))</f>
        <v>581.88778927327667</v>
      </c>
      <c r="BJ116" s="59">
        <f t="shared" si="92"/>
        <v>269.67340993773422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48.248184354106975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48.248184354106975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-9.9316821433603781E-14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413.25558401068383</v>
      </c>
      <c r="T117" s="59">
        <f t="shared" si="88"/>
        <v>289.56516326172863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76.307507548248694</v>
      </c>
      <c r="AA117" s="21">
        <f>EXP(-LN(2)/25)*AA116+(1-EXP(-LN(2)/25))/(LN(2)/25)*Calculateur!V117*Calculateur!X117*VLOOKUP('Données projet'!$B$9,Paramètres!$A$1:$I$89,3,0)*0.475*44/12</f>
        <v>28.118668219993005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104.42617576824171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2.2737367544323206E-13</v>
      </c>
      <c r="AJ117" s="13">
        <f>AI117*VLOOKUP('Données projet'!$B$10,Paramètres!$A$1:$I$89,3,0)*VLOOKUP('Données projet'!$B$10,Paramètres!$A$1:$I$89,5,0)</f>
        <v>1.3596945791505279E-13</v>
      </c>
      <c r="AK117" s="13">
        <f t="shared" si="89"/>
        <v>1.9708830566360721E-12</v>
      </c>
      <c r="AL117" s="20">
        <f t="shared" si="58"/>
        <v>3.669434796176543E-12</v>
      </c>
      <c r="AM117" s="59">
        <f t="shared" si="59"/>
        <v>293.33333333333701</v>
      </c>
      <c r="AN117" s="59">
        <f ca="1">AVERAGE(OFFSET($AM$3,0,0,'Données projet'!$E$10+1,1))-AVERAGE(OFFSET($H$3,0,0,'Données projet'!$E$10+1,1))</f>
        <v>287.52077437571728</v>
      </c>
      <c r="AO117" s="59">
        <f t="shared" si="90"/>
        <v>420.95891230839874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15.747355938723409</v>
      </c>
      <c r="AV117" s="21">
        <f>EXP(-LN(2)/25)*AV116+(1-EXP(-LN(2)/25))/(LN(2)/25)*Calculateur!AQ117*Calculateur!AS117*VLOOKUP('Données projet'!$B$10,Paramètres!$A$1:$I$89,3,0)*0.475*44/12</f>
        <v>18.373912483899716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34.121268422623125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384.57</v>
      </c>
      <c r="BB117" s="12">
        <f>VLOOKUP(A117,'Données projet'!$A$87:$I$107,9,0)</f>
        <v>7.9349999999999969</v>
      </c>
      <c r="BC117" s="12">
        <f t="array" ref="BC117">INDEX(BB:BB,MIN(IF(ISNUMBER(BB117:BB313),ROW(BB117:BB313),"")))</f>
        <v>7.9349999999999969</v>
      </c>
      <c r="BD117" s="12">
        <f>IF('Données projet'!$A$88&gt;35,BD116+BC117-BL116,IF(A117&lt;'Données projet'!$A$88,$BA$205^A117,IF(A117='Données projet'!$A$88,'Données projet'!$B$88,BD116+BC117-BL116)))</f>
        <v>384.5700000000005</v>
      </c>
      <c r="BE117" s="13">
        <f>BD117*VLOOKUP('Données projet'!$B$11,Paramètres!$A$1:$I$89,3,0)*VLOOKUP('Données projet'!$B$11,Paramètres!$A$1:$I$89,5,0)</f>
        <v>347.95893600000045</v>
      </c>
      <c r="BF117" s="13">
        <f t="shared" si="91"/>
        <v>81.142092010767954</v>
      </c>
      <c r="BG117" s="20">
        <f t="shared" si="61"/>
        <v>747.35095711875499</v>
      </c>
      <c r="BH117" s="59">
        <f t="shared" si="62"/>
        <v>1040.6842904520884</v>
      </c>
      <c r="BI117" s="59">
        <f ca="1">AVERAGE(OFFSET($BH$3,0,0,'Données projet'!$E$11+1,1))-AVERAGE(OFFSET($H$3,0,0,'Données projet'!$E$11+1,1))</f>
        <v>581.88778927327667</v>
      </c>
      <c r="BJ117" s="59">
        <f t="shared" si="92"/>
        <v>269.67340993773422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56.07</v>
      </c>
      <c r="BM117" s="16">
        <f>IF(ISNA(VLOOKUP(A117,'Données projet'!$A$87:$I$107,5,0)),0%,VLOOKUP(A117,'Données projet'!$A$87:$I$107,5,0)*VLOOKUP('Données projet'!$B$11,Paramètres!$A$1:$I$89,7,0))</f>
        <v>0.25800000000000001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61.771448286126386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61.771448286126386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-9.9316821433603781E-14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413.25558401068383</v>
      </c>
      <c r="T118" s="59">
        <f t="shared" si="88"/>
        <v>289.56516326172863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74.811163868211409</v>
      </c>
      <c r="AA118" s="21">
        <f>EXP(-LN(2)/25)*AA117+(1-EXP(-LN(2)/25))/(LN(2)/25)*Calculateur!V118*Calculateur!X118*VLOOKUP('Données projet'!$B$9,Paramètres!$A$1:$I$89,3,0)*0.475*44/12</f>
        <v>27.349761758820801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102.16092562703221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2.2737367544323206E-13</v>
      </c>
      <c r="AJ118" s="13">
        <f>AI118*VLOOKUP('Données projet'!$B$10,Paramètres!$A$1:$I$89,3,0)*VLOOKUP('Données projet'!$B$10,Paramètres!$A$1:$I$89,5,0)</f>
        <v>1.3596945791505279E-13</v>
      </c>
      <c r="AK118" s="13">
        <f t="shared" si="89"/>
        <v>1.9708830566360721E-12</v>
      </c>
      <c r="AL118" s="20">
        <f t="shared" si="58"/>
        <v>3.669434796176543E-12</v>
      </c>
      <c r="AM118" s="59">
        <f t="shared" si="59"/>
        <v>293.33333333333701</v>
      </c>
      <c r="AN118" s="59">
        <f ca="1">AVERAGE(OFFSET($AM$3,0,0,'Données projet'!$E$10+1,1))-AVERAGE(OFFSET($H$3,0,0,'Données projet'!$E$10+1,1))</f>
        <v>287.52077437571728</v>
      </c>
      <c r="AO118" s="59">
        <f t="shared" si="90"/>
        <v>420.95891230839874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15.438559893703756</v>
      </c>
      <c r="AV118" s="21">
        <f>EXP(-LN(2)/25)*AV117+(1-EXP(-LN(2)/25))/(LN(2)/25)*Calculateur!AQ118*Calculateur!AS118*VLOOKUP('Données projet'!$B$10,Paramètres!$A$1:$I$89,3,0)*0.475*44/12</f>
        <v>17.871476880785416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33.31003677448917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7.9920000000000018</v>
      </c>
      <c r="BD118" s="12">
        <f>IF('Données projet'!$A$88&gt;35,BD117+BC118-BL117,IF(A118&lt;'Données projet'!$A$88,$BA$205^A118,IF(A118='Données projet'!$A$88,'Données projet'!$B$88,BD117+BC118-BL117)))</f>
        <v>336.49200000000053</v>
      </c>
      <c r="BE118" s="13">
        <f>BD118*VLOOKUP('Données projet'!$B$11,Paramètres!$A$1:$I$89,3,0)*VLOOKUP('Données projet'!$B$11,Paramètres!$A$1:$I$89,5,0)</f>
        <v>304.45796160000049</v>
      </c>
      <c r="BF118" s="13">
        <f t="shared" si="91"/>
        <v>72.11021964481435</v>
      </c>
      <c r="BG118" s="20">
        <f t="shared" si="61"/>
        <v>655.85624900138566</v>
      </c>
      <c r="BH118" s="59">
        <f t="shared" si="62"/>
        <v>949.18958233471903</v>
      </c>
      <c r="BI118" s="59">
        <f ca="1">AVERAGE(OFFSET($BH$3,0,0,'Données projet'!$E$11+1,1))-AVERAGE(OFFSET($H$3,0,0,'Données projet'!$E$11+1,1))</f>
        <v>581.88778927327667</v>
      </c>
      <c r="BJ118" s="59">
        <f t="shared" si="92"/>
        <v>269.67340993773422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60.560147862098624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60.560147862098624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-9.9316821433603781E-14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413.25558401068383</v>
      </c>
      <c r="T119" s="59">
        <f t="shared" si="88"/>
        <v>289.56516326172863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73.344162575060125</v>
      </c>
      <c r="AA119" s="21">
        <f>EXP(-LN(2)/25)*AA118+(1-EXP(-LN(2)/25))/(LN(2)/25)*Calculateur!V119*Calculateur!X119*VLOOKUP('Données projet'!$B$9,Paramètres!$A$1:$I$89,3,0)*0.475*44/12</f>
        <v>26.601881085264385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99.946043660324506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2.2737367544323206E-13</v>
      </c>
      <c r="AJ119" s="13">
        <f>AI119*VLOOKUP('Données projet'!$B$10,Paramètres!$A$1:$I$89,3,0)*VLOOKUP('Données projet'!$B$10,Paramètres!$A$1:$I$89,5,0)</f>
        <v>1.3596945791505279E-13</v>
      </c>
      <c r="AK119" s="13">
        <f t="shared" si="89"/>
        <v>1.9708830566360721E-12</v>
      </c>
      <c r="AL119" s="20">
        <f t="shared" si="58"/>
        <v>3.669434796176543E-12</v>
      </c>
      <c r="AM119" s="59">
        <f t="shared" si="59"/>
        <v>293.33333333333701</v>
      </c>
      <c r="AN119" s="59">
        <f ca="1">AVERAGE(OFFSET($AM$3,0,0,'Données projet'!$E$10+1,1))-AVERAGE(OFFSET($H$3,0,0,'Données projet'!$E$10+1,1))</f>
        <v>287.52077437571728</v>
      </c>
      <c r="AO119" s="59">
        <f t="shared" si="90"/>
        <v>420.95891230839874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15.13581915077995</v>
      </c>
      <c r="AV119" s="21">
        <f>EXP(-LN(2)/25)*AV118+(1-EXP(-LN(2)/25))/(LN(2)/25)*Calculateur!AQ119*Calculateur!AS119*VLOOKUP('Données projet'!$B$10,Paramètres!$A$1:$I$89,3,0)*0.475*44/12</f>
        <v>17.382780405660213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32.518599556440165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7.9920000000000018</v>
      </c>
      <c r="BD119" s="12">
        <f>IF('Données projet'!$A$88&gt;35,BD118+BC119-BL118,IF(A119&lt;'Données projet'!$A$88,$BA$205^A119,IF(A119='Données projet'!$A$88,'Données projet'!$B$88,BD118+BC119-BL118)))</f>
        <v>344.48400000000055</v>
      </c>
      <c r="BE119" s="13">
        <f>BD119*VLOOKUP('Données projet'!$B$11,Paramètres!$A$1:$I$89,3,0)*VLOOKUP('Données projet'!$B$11,Paramètres!$A$1:$I$89,5,0)</f>
        <v>311.68912320000049</v>
      </c>
      <c r="BF119" s="13">
        <f t="shared" si="91"/>
        <v>73.621474685301479</v>
      </c>
      <c r="BG119" s="20">
        <f t="shared" si="61"/>
        <v>671.08262465023415</v>
      </c>
      <c r="BH119" s="59">
        <f t="shared" si="62"/>
        <v>964.41595798356752</v>
      </c>
      <c r="BI119" s="59">
        <f ca="1">AVERAGE(OFFSET($BH$3,0,0,'Données projet'!$E$11+1,1))-AVERAGE(OFFSET($H$3,0,0,'Données projet'!$E$11+1,1))</f>
        <v>581.88778927327667</v>
      </c>
      <c r="BJ119" s="59">
        <f t="shared" si="92"/>
        <v>269.67340993773422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59.372600300565736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59.372600300565736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-9.9316821433603781E-14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413.25558401068383</v>
      </c>
      <c r="T120" s="59">
        <f t="shared" si="88"/>
        <v>289.56516326172863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71.905928282485107</v>
      </c>
      <c r="AA120" s="21">
        <f>EXP(-LN(2)/25)*AA119+(1-EXP(-LN(2)/25))/(LN(2)/25)*Calculateur!V120*Calculateur!X120*VLOOKUP('Données projet'!$B$9,Paramètres!$A$1:$I$89,3,0)*0.475*44/12</f>
        <v>25.874451248055703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97.780379530540813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2.2737367544323206E-13</v>
      </c>
      <c r="AJ120" s="13">
        <f>AI120*VLOOKUP('Données projet'!$B$10,Paramètres!$A$1:$I$89,3,0)*VLOOKUP('Données projet'!$B$10,Paramètres!$A$1:$I$89,5,0)</f>
        <v>1.3596945791505279E-13</v>
      </c>
      <c r="AK120" s="13">
        <f t="shared" si="89"/>
        <v>1.9708830566360721E-12</v>
      </c>
      <c r="AL120" s="20">
        <f t="shared" si="58"/>
        <v>3.669434796176543E-12</v>
      </c>
      <c r="AM120" s="59">
        <f t="shared" si="59"/>
        <v>293.33333333333701</v>
      </c>
      <c r="AN120" s="59">
        <f ca="1">AVERAGE(OFFSET($AM$3,0,0,'Données projet'!$E$10+1,1))-AVERAGE(OFFSET($H$3,0,0,'Données projet'!$E$10+1,1))</f>
        <v>287.52077437571728</v>
      </c>
      <c r="AO120" s="59">
        <f t="shared" si="90"/>
        <v>420.95891230839874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14.839014969171259</v>
      </c>
      <c r="AV120" s="21">
        <f>EXP(-LN(2)/25)*AV119+(1-EXP(-LN(2)/25))/(LN(2)/25)*Calculateur!AQ120*Calculateur!AS120*VLOOKUP('Données projet'!$B$10,Paramètres!$A$1:$I$89,3,0)*0.475*44/12</f>
        <v>16.90744736134674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31.746462330518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7.9920000000000018</v>
      </c>
      <c r="BD120" s="12">
        <f>IF('Données projet'!$A$88&gt;35,BD119+BC120-BL119,IF(A120&lt;'Données projet'!$A$88,$BA$205^A120,IF(A120='Données projet'!$A$88,'Données projet'!$B$88,BD119+BC120-BL119)))</f>
        <v>352.47600000000057</v>
      </c>
      <c r="BE120" s="13">
        <f>BD120*VLOOKUP('Données projet'!$B$11,Paramètres!$A$1:$I$89,3,0)*VLOOKUP('Données projet'!$B$11,Paramètres!$A$1:$I$89,5,0)</f>
        <v>318.9202848000005</v>
      </c>
      <c r="BF120" s="13">
        <f t="shared" si="91"/>
        <v>75.128653745521831</v>
      </c>
      <c r="BG120" s="20">
        <f t="shared" si="61"/>
        <v>686.30190130011806</v>
      </c>
      <c r="BH120" s="59">
        <f t="shared" si="62"/>
        <v>979.63523463345132</v>
      </c>
      <c r="BI120" s="59">
        <f ca="1">AVERAGE(OFFSET($BH$3,0,0,'Données projet'!$E$11+1,1))-AVERAGE(OFFSET($H$3,0,0,'Données projet'!$E$11+1,1))</f>
        <v>581.88778927327667</v>
      </c>
      <c r="BJ120" s="59">
        <f t="shared" si="92"/>
        <v>269.67340993773422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58.208339822382015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58.208339822382015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-9.9316821433603781E-14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413.25558401068383</v>
      </c>
      <c r="T121" s="59">
        <f t="shared" si="88"/>
        <v>289.56516326172863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70.495896887151176</v>
      </c>
      <c r="AA121" s="21">
        <f>EXP(-LN(2)/25)*AA120+(1-EXP(-LN(2)/25))/(LN(2)/25)*Calculateur!V121*Calculateur!X121*VLOOKUP('Données projet'!$B$9,Paramètres!$A$1:$I$89,3,0)*0.475*44/12</f>
        <v>25.166913017999367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95.662809905150539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2.2737367544323206E-13</v>
      </c>
      <c r="AJ121" s="13">
        <f>AI121*VLOOKUP('Données projet'!$B$10,Paramètres!$A$1:$I$89,3,0)*VLOOKUP('Données projet'!$B$10,Paramètres!$A$1:$I$89,5,0)</f>
        <v>1.3596945791505279E-13</v>
      </c>
      <c r="AK121" s="13">
        <f t="shared" si="89"/>
        <v>1.9708830566360721E-12</v>
      </c>
      <c r="AL121" s="20">
        <f t="shared" si="58"/>
        <v>3.669434796176543E-12</v>
      </c>
      <c r="AM121" s="59">
        <f t="shared" si="59"/>
        <v>293.33333333333701</v>
      </c>
      <c r="AN121" s="59">
        <f ca="1">AVERAGE(OFFSET($AM$3,0,0,'Données projet'!$E$10+1,1))-AVERAGE(OFFSET($H$3,0,0,'Données projet'!$E$10+1,1))</f>
        <v>287.52077437571728</v>
      </c>
      <c r="AO121" s="59">
        <f t="shared" si="90"/>
        <v>420.95891230839874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14.548030936531239</v>
      </c>
      <c r="AV121" s="21">
        <f>EXP(-LN(2)/25)*AV120+(1-EXP(-LN(2)/25))/(LN(2)/25)*Calculateur!AQ121*Calculateur!AS121*VLOOKUP('Données projet'!$B$10,Paramètres!$A$1:$I$89,3,0)*0.475*44/12</f>
        <v>16.445112324126701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30.993143260657938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7.9920000000000018</v>
      </c>
      <c r="BD121" s="12">
        <f>IF('Données projet'!$A$88&gt;35,BD120+BC121-BL120,IF(A121&lt;'Données projet'!$A$88,$BA$205^A121,IF(A121='Données projet'!$A$88,'Données projet'!$B$88,BD120+BC121-BL120)))</f>
        <v>360.46800000000059</v>
      </c>
      <c r="BE121" s="13">
        <f>BD121*VLOOKUP('Données projet'!$B$11,Paramètres!$A$1:$I$89,3,0)*VLOOKUP('Données projet'!$B$11,Paramètres!$A$1:$I$89,5,0)</f>
        <v>326.15144640000051</v>
      </c>
      <c r="BF121" s="13">
        <f t="shared" si="91"/>
        <v>76.631859883081802</v>
      </c>
      <c r="BG121" s="20">
        <f t="shared" si="61"/>
        <v>701.51425844303503</v>
      </c>
      <c r="BH121" s="59">
        <f t="shared" si="62"/>
        <v>994.84759177636829</v>
      </c>
      <c r="BI121" s="59">
        <f ca="1">AVERAGE(OFFSET($BH$3,0,0,'Données projet'!$E$11+1,1))-AVERAGE(OFFSET($H$3,0,0,'Données projet'!$E$11+1,1))</f>
        <v>581.88778927327667</v>
      </c>
      <c r="BJ121" s="59">
        <f t="shared" si="92"/>
        <v>269.67340993773422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57.066909782046707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57.066909782046707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-9.9316821433603781E-14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413.25558401068383</v>
      </c>
      <c r="T122" s="59">
        <f t="shared" si="88"/>
        <v>289.56516326172863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69.113515347445514</v>
      </c>
      <c r="AA122" s="21">
        <f>EXP(-LN(2)/25)*AA121+(1-EXP(-LN(2)/25))/(LN(2)/25)*Calculateur!V122*Calculateur!X122*VLOOKUP('Données projet'!$B$9,Paramètres!$A$1:$I$89,3,0)*0.475*44/12</f>
        <v>24.478722458051738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93.592237805497248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2.2737367544323206E-13</v>
      </c>
      <c r="AJ122" s="13">
        <f>AI122*VLOOKUP('Données projet'!$B$10,Paramètres!$A$1:$I$89,3,0)*VLOOKUP('Données projet'!$B$10,Paramètres!$A$1:$I$89,5,0)</f>
        <v>1.3596945791505279E-13</v>
      </c>
      <c r="AK122" s="13">
        <f t="shared" si="89"/>
        <v>1.9708830566360721E-12</v>
      </c>
      <c r="AL122" s="20">
        <f t="shared" si="58"/>
        <v>3.669434796176543E-12</v>
      </c>
      <c r="AM122" s="59">
        <f t="shared" si="59"/>
        <v>293.33333333333701</v>
      </c>
      <c r="AN122" s="59">
        <f ca="1">AVERAGE(OFFSET($AM$3,0,0,'Données projet'!$E$10+1,1))-AVERAGE(OFFSET($H$3,0,0,'Données projet'!$E$10+1,1))</f>
        <v>287.52077437571728</v>
      </c>
      <c r="AO122" s="59">
        <f t="shared" si="90"/>
        <v>420.95891230839874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14.262752923288556</v>
      </c>
      <c r="AV122" s="21">
        <f>EXP(-LN(2)/25)*AV121+(1-EXP(-LN(2)/25))/(LN(2)/25)*Calculateur!AQ122*Calculateur!AS122*VLOOKUP('Données projet'!$B$10,Paramètres!$A$1:$I$89,3,0)*0.475*44/12</f>
        <v>15.995419862812584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30.258172786101142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7.9920000000000018</v>
      </c>
      <c r="BD122" s="12">
        <f>IF('Données projet'!$A$88&gt;35,BD121+BC122-BL121,IF(A122&lt;'Données projet'!$A$88,$BA$205^A122,IF(A122='Données projet'!$A$88,'Données projet'!$B$88,BD121+BC122-BL121)))</f>
        <v>368.4600000000006</v>
      </c>
      <c r="BE122" s="13">
        <f>BD122*VLOOKUP('Données projet'!$B$11,Paramètres!$A$1:$I$89,3,0)*VLOOKUP('Données projet'!$B$11,Paramètres!$A$1:$I$89,5,0)</f>
        <v>333.38260800000052</v>
      </c>
      <c r="BF122" s="13">
        <f t="shared" si="91"/>
        <v>78.13119132485231</v>
      </c>
      <c r="BG122" s="20">
        <f t="shared" si="61"/>
        <v>716.71986715745197</v>
      </c>
      <c r="BH122" s="59">
        <f t="shared" si="62"/>
        <v>1010.0532004907852</v>
      </c>
      <c r="BI122" s="59">
        <f ca="1">AVERAGE(OFFSET($BH$3,0,0,'Données projet'!$E$11+1,1))-AVERAGE(OFFSET($H$3,0,0,'Données projet'!$E$11+1,1))</f>
        <v>581.88778927327667</v>
      </c>
      <c r="BJ122" s="59">
        <f t="shared" si="92"/>
        <v>269.67340993773422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55.947862488598794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55.947862488598794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-9.9316821433603781E-14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413.25558401068383</v>
      </c>
      <c r="T123" s="59">
        <f t="shared" si="88"/>
        <v>289.56516326172863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67.758241466564002</v>
      </c>
      <c r="AA123" s="21">
        <f>EXP(-LN(2)/25)*AA122+(1-EXP(-LN(2)/25))/(LN(2)/25)*Calculateur!V123*Calculateur!X123*VLOOKUP('Données projet'!$B$9,Paramètres!$A$1:$I$89,3,0)*0.475*44/12</f>
        <v>23.809350505156246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91.567591971720248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2.2737367544323206E-13</v>
      </c>
      <c r="AJ123" s="13">
        <f>AI123*VLOOKUP('Données projet'!$B$10,Paramètres!$A$1:$I$89,3,0)*VLOOKUP('Données projet'!$B$10,Paramètres!$A$1:$I$89,5,0)</f>
        <v>1.3596945791505279E-13</v>
      </c>
      <c r="AK123" s="13">
        <f t="shared" si="89"/>
        <v>1.9708830566360721E-12</v>
      </c>
      <c r="AL123" s="20">
        <f t="shared" si="58"/>
        <v>3.669434796176543E-12</v>
      </c>
      <c r="AM123" s="59">
        <f t="shared" si="59"/>
        <v>293.33333333333701</v>
      </c>
      <c r="AN123" s="59">
        <f ca="1">AVERAGE(OFFSET($AM$3,0,0,'Données projet'!$E$10+1,1))-AVERAGE(OFFSET($H$3,0,0,'Données projet'!$E$10+1,1))</f>
        <v>287.52077437571728</v>
      </c>
      <c r="AO123" s="59">
        <f t="shared" si="90"/>
        <v>420.95891230839874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13.983069037883155</v>
      </c>
      <c r="AV123" s="21">
        <f>EXP(-LN(2)/25)*AV122+(1-EXP(-LN(2)/25))/(LN(2)/25)*Calculateur!AQ123*Calculateur!AS123*VLOOKUP('Données projet'!$B$10,Paramètres!$A$1:$I$89,3,0)*0.475*44/12</f>
        <v>15.558024265501402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29.541093303384557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7.9920000000000018</v>
      </c>
      <c r="BD123" s="12">
        <f>IF('Données projet'!$A$88&gt;35,BD122+BC123-BL122,IF(A123&lt;'Données projet'!$A$88,$BA$205^A123,IF(A123='Données projet'!$A$88,'Données projet'!$B$88,BD122+BC123-BL122)))</f>
        <v>376.45200000000062</v>
      </c>
      <c r="BE123" s="13">
        <f>BD123*VLOOKUP('Données projet'!$B$11,Paramètres!$A$1:$I$89,3,0)*VLOOKUP('Données projet'!$B$11,Paramètres!$A$1:$I$89,5,0)</f>
        <v>340.61376960000058</v>
      </c>
      <c r="BF123" s="13">
        <f t="shared" si="91"/>
        <v>79.626741793195919</v>
      </c>
      <c r="BG123" s="20">
        <f t="shared" si="61"/>
        <v>731.9188906764839</v>
      </c>
      <c r="BH123" s="59">
        <f t="shared" si="62"/>
        <v>1025.2522240098172</v>
      </c>
      <c r="BI123" s="59">
        <f ca="1">AVERAGE(OFFSET($BH$3,0,0,'Données projet'!$E$11+1,1))-AVERAGE(OFFSET($H$3,0,0,'Données projet'!$E$11+1,1))</f>
        <v>581.88778927327667</v>
      </c>
      <c r="BJ123" s="59">
        <f t="shared" si="92"/>
        <v>269.67340993773422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54.850759030023944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54.850759030023944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-9.9316821433603781E-14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413.25558401068383</v>
      </c>
      <c r="T124" s="59">
        <f t="shared" si="88"/>
        <v>289.56516326172863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66.429543679851136</v>
      </c>
      <c r="AA124" s="21">
        <f>EXP(-LN(2)/25)*AA123+(1-EXP(-LN(2)/25))/(LN(2)/25)*Calculateur!V124*Calculateur!X124*VLOOKUP('Données projet'!$B$9,Paramètres!$A$1:$I$89,3,0)*0.475*44/12</f>
        <v>23.158282563513421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89.58782624336456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2.2737367544323206E-13</v>
      </c>
      <c r="AJ124" s="13">
        <f>AI124*VLOOKUP('Données projet'!$B$10,Paramètres!$A$1:$I$89,3,0)*VLOOKUP('Données projet'!$B$10,Paramètres!$A$1:$I$89,5,0)</f>
        <v>1.3596945791505279E-13</v>
      </c>
      <c r="AK124" s="13">
        <f t="shared" si="89"/>
        <v>1.9708830566360721E-12</v>
      </c>
      <c r="AL124" s="20">
        <f t="shared" si="58"/>
        <v>3.669434796176543E-12</v>
      </c>
      <c r="AM124" s="59">
        <f t="shared" si="59"/>
        <v>293.33333333333701</v>
      </c>
      <c r="AN124" s="59">
        <f ca="1">AVERAGE(OFFSET($AM$3,0,0,'Données projet'!$E$10+1,1))-AVERAGE(OFFSET($H$3,0,0,'Données projet'!$E$10+1,1))</f>
        <v>287.52077437571728</v>
      </c>
      <c r="AO124" s="59">
        <f t="shared" si="90"/>
        <v>420.95891230839874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13.708869582880228</v>
      </c>
      <c r="AV124" s="21">
        <f>EXP(-LN(2)/25)*AV123+(1-EXP(-LN(2)/25))/(LN(2)/25)*Calculateur!AQ124*Calculateur!AS124*VLOOKUP('Données projet'!$B$10,Paramètres!$A$1:$I$89,3,0)*0.475*44/12</f>
        <v>15.132589273800328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28.841458856680553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7.9920000000000018</v>
      </c>
      <c r="BD124" s="12">
        <f>IF('Données projet'!$A$88&gt;35,BD123+BC124-BL123,IF(A124&lt;'Données projet'!$A$88,$BA$205^A124,IF(A124='Données projet'!$A$88,'Données projet'!$B$88,BD123+BC124-BL123)))</f>
        <v>384.44400000000064</v>
      </c>
      <c r="BE124" s="13">
        <f>BD124*VLOOKUP('Données projet'!$B$11,Paramètres!$A$1:$I$89,3,0)*VLOOKUP('Données projet'!$B$11,Paramètres!$A$1:$I$89,5,0)</f>
        <v>347.84493120000059</v>
      </c>
      <c r="BF124" s="13">
        <f t="shared" si="91"/>
        <v>81.11860080370937</v>
      </c>
      <c r="BG124" s="20">
        <f t="shared" si="61"/>
        <v>747.11148490646144</v>
      </c>
      <c r="BH124" s="59">
        <f t="shared" si="62"/>
        <v>1040.4448182397948</v>
      </c>
      <c r="BI124" s="59">
        <f ca="1">AVERAGE(OFFSET($BH$3,0,0,'Données projet'!$E$11+1,1))-AVERAGE(OFFSET($H$3,0,0,'Données projet'!$E$11+1,1))</f>
        <v>581.88778927327667</v>
      </c>
      <c r="BJ124" s="59">
        <f t="shared" si="92"/>
        <v>269.67340993773422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53.775169101104709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53.775169101104709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-9.9316821433603781E-14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413.25558401068383</v>
      </c>
      <c r="T125" s="59">
        <f t="shared" si="88"/>
        <v>289.56516326172863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65.126900846310079</v>
      </c>
      <c r="AA125" s="21">
        <f>EXP(-LN(2)/25)*AA124+(1-EXP(-LN(2)/25))/(LN(2)/25)*Calculateur!V125*Calculateur!X125*VLOOKUP('Données projet'!$B$9,Paramètres!$A$1:$I$89,3,0)*0.475*44/12</f>
        <v>22.525018108972994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87.651918955283065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2.2737367544323206E-13</v>
      </c>
      <c r="AJ125" s="13">
        <f>AI125*VLOOKUP('Données projet'!$B$10,Paramètres!$A$1:$I$89,3,0)*VLOOKUP('Données projet'!$B$10,Paramètres!$A$1:$I$89,5,0)</f>
        <v>1.3596945791505279E-13</v>
      </c>
      <c r="AK125" s="13">
        <f t="shared" si="89"/>
        <v>1.9708830566360721E-12</v>
      </c>
      <c r="AL125" s="20">
        <f t="shared" si="58"/>
        <v>3.669434796176543E-12</v>
      </c>
      <c r="AM125" s="59">
        <f t="shared" si="59"/>
        <v>293.33333333333701</v>
      </c>
      <c r="AN125" s="59">
        <f ca="1">AVERAGE(OFFSET($AM$3,0,0,'Données projet'!$E$10+1,1))-AVERAGE(OFFSET($H$3,0,0,'Données projet'!$E$10+1,1))</f>
        <v>287.52077437571728</v>
      </c>
      <c r="AO125" s="59">
        <f t="shared" si="90"/>
        <v>420.95891230839874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13.440047011944754</v>
      </c>
      <c r="AV125" s="21">
        <f>EXP(-LN(2)/25)*AV124+(1-EXP(-LN(2)/25))/(LN(2)/25)*Calculateur!AQ125*Calculateur!AS125*VLOOKUP('Données projet'!$B$10,Paramètres!$A$1:$I$89,3,0)*0.475*44/12</f>
        <v>14.718787824319973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28.158834836264727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7.9920000000000018</v>
      </c>
      <c r="BD125" s="12">
        <f>IF('Données projet'!$A$88&gt;35,BD124+BC125-BL124,IF(A125&lt;'Données projet'!$A$88,$BA$205^A125,IF(A125='Données projet'!$A$88,'Données projet'!$B$88,BD124+BC125-BL124)))</f>
        <v>392.43600000000066</v>
      </c>
      <c r="BE125" s="13">
        <f>BD125*VLOOKUP('Données projet'!$B$11,Paramètres!$A$1:$I$89,3,0)*VLOOKUP('Données projet'!$B$11,Paramètres!$A$1:$I$89,5,0)</f>
        <v>355.07609280000059</v>
      </c>
      <c r="BF125" s="13">
        <f t="shared" si="91"/>
        <v>82.606853937508674</v>
      </c>
      <c r="BG125" s="20">
        <f t="shared" si="61"/>
        <v>762.29779890116197</v>
      </c>
      <c r="BH125" s="59">
        <f t="shared" si="62"/>
        <v>1055.6311322344952</v>
      </c>
      <c r="BI125" s="59">
        <f ca="1">AVERAGE(OFFSET($BH$3,0,0,'Données projet'!$E$11+1,1))-AVERAGE(OFFSET($H$3,0,0,'Données projet'!$E$11+1,1))</f>
        <v>581.88778927327667</v>
      </c>
      <c r="BJ125" s="59">
        <f t="shared" si="92"/>
        <v>269.67340993773422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52.720670834646505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52.720670834646505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-9.9316821433603781E-14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413.25558401068383</v>
      </c>
      <c r="T126" s="59">
        <f t="shared" si="88"/>
        <v>289.56516326172863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63.849802044201084</v>
      </c>
      <c r="AA126" s="21">
        <f>EXP(-LN(2)/25)*AA125+(1-EXP(-LN(2)/25))/(LN(2)/25)*Calculateur!V126*Calculateur!X126*VLOOKUP('Données projet'!$B$9,Paramètres!$A$1:$I$89,3,0)*0.475*44/12</f>
        <v>21.909070304243905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85.758872348444982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2.2737367544323206E-13</v>
      </c>
      <c r="AJ126" s="13">
        <f>AI126*VLOOKUP('Données projet'!$B$10,Paramètres!$A$1:$I$89,3,0)*VLOOKUP('Données projet'!$B$10,Paramètres!$A$1:$I$89,5,0)</f>
        <v>1.3596945791505279E-13</v>
      </c>
      <c r="AK126" s="13">
        <f t="shared" si="89"/>
        <v>1.9708830566360721E-12</v>
      </c>
      <c r="AL126" s="20">
        <f t="shared" si="58"/>
        <v>3.669434796176543E-12</v>
      </c>
      <c r="AM126" s="59">
        <f t="shared" si="59"/>
        <v>293.33333333333701</v>
      </c>
      <c r="AN126" s="59">
        <f ca="1">AVERAGE(OFFSET($AM$3,0,0,'Données projet'!$E$10+1,1))-AVERAGE(OFFSET($H$3,0,0,'Données projet'!$E$10+1,1))</f>
        <v>287.52077437571728</v>
      </c>
      <c r="AO126" s="59">
        <f t="shared" si="90"/>
        <v>420.95891230839874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13.176495887659748</v>
      </c>
      <c r="AV126" s="21">
        <f>EXP(-LN(2)/25)*AV125+(1-EXP(-LN(2)/25))/(LN(2)/25)*Calculateur!AQ126*Calculateur!AS126*VLOOKUP('Données projet'!$B$10,Paramètres!$A$1:$I$89,3,0)*0.475*44/12</f>
        <v>14.316301797236532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27.492797684896281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7.9920000000000018</v>
      </c>
      <c r="BD126" s="12">
        <f>IF('Données projet'!$A$88&gt;35,BD125+BC126-BL125,IF(A126&lt;'Données projet'!$A$88,$BA$205^A126,IF(A126='Données projet'!$A$88,'Données projet'!$B$88,BD125+BC126-BL125)))</f>
        <v>400.42800000000068</v>
      </c>
      <c r="BE126" s="13">
        <f>BD126*VLOOKUP('Données projet'!$B$11,Paramètres!$A$1:$I$89,3,0)*VLOOKUP('Données projet'!$B$11,Paramètres!$A$1:$I$89,5,0)</f>
        <v>362.3072544000006</v>
      </c>
      <c r="BF126" s="13">
        <f t="shared" si="91"/>
        <v>84.09158309070763</v>
      </c>
      <c r="BG126" s="20">
        <f t="shared" si="61"/>
        <v>777.4779752963168</v>
      </c>
      <c r="BH126" s="59">
        <f t="shared" si="62"/>
        <v>1070.8113086296501</v>
      </c>
      <c r="BI126" s="59">
        <f ca="1">AVERAGE(OFFSET($BH$3,0,0,'Données projet'!$E$11+1,1))-AVERAGE(OFFSET($H$3,0,0,'Données projet'!$E$11+1,1))</f>
        <v>581.88778927327667</v>
      </c>
      <c r="BJ126" s="59">
        <f t="shared" si="92"/>
        <v>269.67340993773422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51.686850636013112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51.686850636013112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-9.9316821433603781E-14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413.25558401068383</v>
      </c>
      <c r="T127" s="59">
        <f t="shared" si="88"/>
        <v>289.56516326172863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62.597746370648096</v>
      </c>
      <c r="AA127" s="21">
        <f>EXP(-LN(2)/25)*AA126+(1-EXP(-LN(2)/25))/(LN(2)/25)*Calculateur!V127*Calculateur!X127*VLOOKUP('Données projet'!$B$9,Paramètres!$A$1:$I$89,3,0)*0.475*44/12</f>
        <v>21.309965624626422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83.907711995274525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2.2737367544323206E-13</v>
      </c>
      <c r="AJ127" s="13">
        <f>AI127*VLOOKUP('Données projet'!$B$10,Paramètres!$A$1:$I$89,3,0)*VLOOKUP('Données projet'!$B$10,Paramètres!$A$1:$I$89,5,0)</f>
        <v>1.3596945791505279E-13</v>
      </c>
      <c r="AK127" s="13">
        <f t="shared" si="89"/>
        <v>1.9708830566360721E-12</v>
      </c>
      <c r="AL127" s="20">
        <f t="shared" si="58"/>
        <v>3.669434796176543E-12</v>
      </c>
      <c r="AM127" s="59">
        <f t="shared" si="59"/>
        <v>293.33333333333701</v>
      </c>
      <c r="AN127" s="59">
        <f ca="1">AVERAGE(OFFSET($AM$3,0,0,'Données projet'!$E$10+1,1))-AVERAGE(OFFSET($H$3,0,0,'Données projet'!$E$10+1,1))</f>
        <v>287.52077437571728</v>
      </c>
      <c r="AO127" s="59">
        <f t="shared" si="90"/>
        <v>420.95891230839874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12.918112840171656</v>
      </c>
      <c r="AV127" s="21">
        <f>EXP(-LN(2)/25)*AV126+(1-EXP(-LN(2)/25))/(LN(2)/25)*Calculateur!AQ127*Calculateur!AS127*VLOOKUP('Données projet'!$B$10,Paramètres!$A$1:$I$89,3,0)*0.475*44/12</f>
        <v>13.924821771729508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26.842934611901164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408.42</v>
      </c>
      <c r="BB127" s="12">
        <f>VLOOKUP(A127,'Données projet'!$A$87:$I$107,9,0)</f>
        <v>7.9920000000000018</v>
      </c>
      <c r="BC127" s="12">
        <f t="array" ref="BC127">INDEX(BB:BB,MIN(IF(ISNUMBER(BB127:BB323),ROW(BB127:BB323),"")))</f>
        <v>7.9920000000000018</v>
      </c>
      <c r="BD127" s="12">
        <f>IF('Données projet'!$A$88&gt;35,BD126+BC127-BL126,IF(A127&lt;'Données projet'!$A$88,$BA$205^A127,IF(A127='Données projet'!$A$88,'Données projet'!$B$88,BD126+BC127-BL126)))</f>
        <v>408.4200000000007</v>
      </c>
      <c r="BE127" s="13">
        <f>BD127*VLOOKUP('Données projet'!$B$11,Paramètres!$A$1:$I$89,3,0)*VLOOKUP('Données projet'!$B$11,Paramètres!$A$1:$I$89,5,0)</f>
        <v>369.53841600000061</v>
      </c>
      <c r="BF127" s="13">
        <f t="shared" si="91"/>
        <v>85.572866703416025</v>
      </c>
      <c r="BG127" s="20">
        <f t="shared" si="61"/>
        <v>792.65215070845068</v>
      </c>
      <c r="BH127" s="59">
        <f t="shared" si="62"/>
        <v>1085.985484041784</v>
      </c>
      <c r="BI127" s="59">
        <f ca="1">AVERAGE(OFFSET($BH$3,0,0,'Données projet'!$E$11+1,1))-AVERAGE(OFFSET($H$3,0,0,'Données projet'!$E$11+1,1))</f>
        <v>581.88778927327667</v>
      </c>
      <c r="BJ127" s="59">
        <f t="shared" si="92"/>
        <v>269.67340993773422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52.53</v>
      </c>
      <c r="BM127" s="16">
        <f>IF(ISNA(VLOOKUP(A127,'Données projet'!$A$87:$I$107,5,0)),0%,VLOOKUP(A127,'Données projet'!$A$87:$I$107,5,0)*VLOOKUP('Données projet'!$B$11,Paramètres!$A$1:$I$89,7,0))</f>
        <v>0.25800000000000001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64.229154721898368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64.229154721898368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-9.9316821433603781E-14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413.25558401068383</v>
      </c>
      <c r="T128" s="59">
        <f t="shared" si="88"/>
        <v>289.56516326172863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61.370242745174927</v>
      </c>
      <c r="AA128" s="21">
        <f>EXP(-LN(2)/25)*AA127+(1-EXP(-LN(2)/25))/(LN(2)/25)*Calculateur!V128*Calculateur!X128*VLOOKUP('Données projet'!$B$9,Paramètres!$A$1:$I$89,3,0)*0.475*44/12</f>
        <v>20.727243493978623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82.097486239153554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2.2737367544323206E-13</v>
      </c>
      <c r="AJ128" s="13">
        <f>AI128*VLOOKUP('Données projet'!$B$10,Paramètres!$A$1:$I$89,3,0)*VLOOKUP('Données projet'!$B$10,Paramètres!$A$1:$I$89,5,0)</f>
        <v>1.3596945791505279E-13</v>
      </c>
      <c r="AK128" s="13">
        <f t="shared" si="89"/>
        <v>1.9708830566360721E-12</v>
      </c>
      <c r="AL128" s="20">
        <f t="shared" si="58"/>
        <v>3.669434796176543E-12</v>
      </c>
      <c r="AM128" s="59">
        <f t="shared" si="59"/>
        <v>293.33333333333701</v>
      </c>
      <c r="AN128" s="59">
        <f ca="1">AVERAGE(OFFSET($AM$3,0,0,'Données projet'!$E$10+1,1))-AVERAGE(OFFSET($H$3,0,0,'Données projet'!$E$10+1,1))</f>
        <v>287.52077437571728</v>
      </c>
      <c r="AO128" s="59">
        <f t="shared" si="90"/>
        <v>420.95891230839874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12.664796526646709</v>
      </c>
      <c r="AV128" s="21">
        <f>EXP(-LN(2)/25)*AV127+(1-EXP(-LN(2)/25))/(LN(2)/25)*Calculateur!AQ128*Calculateur!AS128*VLOOKUP('Données projet'!$B$10,Paramètres!$A$1:$I$89,3,0)*0.475*44/12</f>
        <v>13.544046788107014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26.208843314753722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8.0699999999999985</v>
      </c>
      <c r="BD128" s="12">
        <f>IF('Données projet'!$A$88&gt;35,BD127+BC128-BL127,IF(A128&lt;'Données projet'!$A$88,$BA$205^A128,IF(A128='Données projet'!$A$88,'Données projet'!$B$88,BD127+BC128-BL127)))</f>
        <v>363.96000000000072</v>
      </c>
      <c r="BE128" s="13">
        <f>BD128*VLOOKUP('Données projet'!$B$11,Paramètres!$A$1:$I$89,3,0)*VLOOKUP('Données projet'!$B$11,Paramètres!$A$1:$I$89,5,0)</f>
        <v>329.31100800000064</v>
      </c>
      <c r="BF128" s="13">
        <f t="shared" si="91"/>
        <v>77.287444180583748</v>
      </c>
      <c r="BG128" s="20">
        <f t="shared" si="61"/>
        <v>708.15897088118447</v>
      </c>
      <c r="BH128" s="59">
        <f t="shared" si="62"/>
        <v>1001.4923042145178</v>
      </c>
      <c r="BI128" s="59">
        <f ca="1">AVERAGE(OFFSET($BH$3,0,0,'Données projet'!$E$11+1,1))-AVERAGE(OFFSET($H$3,0,0,'Données projet'!$E$11+1,1))</f>
        <v>581.88778927327667</v>
      </c>
      <c r="BJ128" s="59">
        <f t="shared" si="92"/>
        <v>269.67340993773422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62.969660173718019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62.969660173718019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-9.9316821433603781E-14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413.25558401068383</v>
      </c>
      <c r="T129" s="59">
        <f t="shared" si="88"/>
        <v>289.56516326172863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60.166809717094004</v>
      </c>
      <c r="AA129" s="21">
        <f>EXP(-LN(2)/25)*AA128+(1-EXP(-LN(2)/25))/(LN(2)/25)*Calculateur!V129*Calculateur!X129*VLOOKUP('Données projet'!$B$9,Paramètres!$A$1:$I$89,3,0)*0.475*44/12</f>
        <v>20.160455930637415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80.327265647731423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2.2737367544323206E-13</v>
      </c>
      <c r="AJ129" s="13">
        <f>AI129*VLOOKUP('Données projet'!$B$10,Paramètres!$A$1:$I$89,3,0)*VLOOKUP('Données projet'!$B$10,Paramètres!$A$1:$I$89,5,0)</f>
        <v>1.3596945791505279E-13</v>
      </c>
      <c r="AK129" s="13">
        <f t="shared" si="89"/>
        <v>1.9708830566360721E-12</v>
      </c>
      <c r="AL129" s="20">
        <f t="shared" si="58"/>
        <v>3.669434796176543E-12</v>
      </c>
      <c r="AM129" s="59">
        <f t="shared" si="59"/>
        <v>293.33333333333701</v>
      </c>
      <c r="AN129" s="59">
        <f ca="1">AVERAGE(OFFSET($AM$3,0,0,'Données projet'!$E$10+1,1))-AVERAGE(OFFSET($H$3,0,0,'Données projet'!$E$10+1,1))</f>
        <v>287.52077437571728</v>
      </c>
      <c r="AO129" s="59">
        <f t="shared" si="90"/>
        <v>420.95891230839874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12.416447591522292</v>
      </c>
      <c r="AV129" s="21">
        <f>EXP(-LN(2)/25)*AV128+(1-EXP(-LN(2)/25))/(LN(2)/25)*Calculateur!AQ129*Calculateur!AS129*VLOOKUP('Données projet'!$B$10,Paramètres!$A$1:$I$89,3,0)*0.475*44/12</f>
        <v>13.173684116435762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25.590131707958054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8.0699999999999985</v>
      </c>
      <c r="BD129" s="12">
        <f>IF('Données projet'!$A$88&gt;35,BD128+BC129-BL128,IF(A129&lt;'Données projet'!$A$88,$BA$205^A129,IF(A129='Données projet'!$A$88,'Données projet'!$B$88,BD128+BC129-BL128)))</f>
        <v>372.03000000000071</v>
      </c>
      <c r="BE129" s="13">
        <f>BD129*VLOOKUP('Données projet'!$B$11,Paramètres!$A$1:$I$89,3,0)*VLOOKUP('Données projet'!$B$11,Paramètres!$A$1:$I$89,5,0)</f>
        <v>336.61274400000065</v>
      </c>
      <c r="BF129" s="13">
        <f t="shared" si="91"/>
        <v>78.799710600410648</v>
      </c>
      <c r="BG129" s="20">
        <f t="shared" si="61"/>
        <v>723.51002509571629</v>
      </c>
      <c r="BH129" s="59">
        <f t="shared" si="62"/>
        <v>1016.8433584290497</v>
      </c>
      <c r="BI129" s="59">
        <f ca="1">AVERAGE(OFFSET($BH$3,0,0,'Données projet'!$E$11+1,1))-AVERAGE(OFFSET($H$3,0,0,'Données projet'!$E$11+1,1))</f>
        <v>581.88778927327667</v>
      </c>
      <c r="BJ129" s="59">
        <f t="shared" si="92"/>
        <v>269.67340993773422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61.73486354541167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61.73486354541167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-9.9316821433603781E-14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413.25558401068383</v>
      </c>
      <c r="T130" s="59">
        <f t="shared" si="88"/>
        <v>289.56516326172863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58.986975276672077</v>
      </c>
      <c r="AA130" s="21">
        <f>EXP(-LN(2)/25)*AA129+(1-EXP(-LN(2)/25))/(LN(2)/25)*Calculateur!V130*Calculateur!X130*VLOOKUP('Données projet'!$B$9,Paramètres!$A$1:$I$89,3,0)*0.475*44/12</f>
        <v>19.609167203021833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78.59614247969391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2.2737367544323206E-13</v>
      </c>
      <c r="AJ130" s="13">
        <f>AI130*VLOOKUP('Données projet'!$B$10,Paramètres!$A$1:$I$89,3,0)*VLOOKUP('Données projet'!$B$10,Paramètres!$A$1:$I$89,5,0)</f>
        <v>1.3596945791505279E-13</v>
      </c>
      <c r="AK130" s="13">
        <f t="shared" si="89"/>
        <v>1.9708830566360721E-12</v>
      </c>
      <c r="AL130" s="20">
        <f t="shared" si="58"/>
        <v>3.669434796176543E-12</v>
      </c>
      <c r="AM130" s="59">
        <f t="shared" si="59"/>
        <v>293.33333333333701</v>
      </c>
      <c r="AN130" s="59">
        <f ca="1">AVERAGE(OFFSET($AM$3,0,0,'Données projet'!$E$10+1,1))-AVERAGE(OFFSET($H$3,0,0,'Données projet'!$E$10+1,1))</f>
        <v>287.52077437571728</v>
      </c>
      <c r="AO130" s="59">
        <f t="shared" si="90"/>
        <v>420.95891230839874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12.172968627537772</v>
      </c>
      <c r="AV130" s="21">
        <f>EXP(-LN(2)/25)*AV129+(1-EXP(-LN(2)/25))/(LN(2)/25)*Calculateur!AQ130*Calculateur!AS130*VLOOKUP('Données projet'!$B$10,Paramètres!$A$1:$I$89,3,0)*0.475*44/12</f>
        <v>12.813449031497887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24.986417659035659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8.0699999999999985</v>
      </c>
      <c r="BD130" s="12">
        <f>IF('Données projet'!$A$88&gt;35,BD129+BC130-BL129,IF(A130&lt;'Données projet'!$A$88,$BA$205^A130,IF(A130='Données projet'!$A$88,'Données projet'!$B$88,BD129+BC130-BL129)))</f>
        <v>380.1000000000007</v>
      </c>
      <c r="BE130" s="13">
        <f>BD130*VLOOKUP('Données projet'!$B$11,Paramètres!$A$1:$I$89,3,0)*VLOOKUP('Données projet'!$B$11,Paramètres!$A$1:$I$89,5,0)</f>
        <v>343.91448000000065</v>
      </c>
      <c r="BF130" s="13">
        <f t="shared" si="91"/>
        <v>80.308163160675235</v>
      </c>
      <c r="BG130" s="20">
        <f t="shared" si="61"/>
        <v>738.85443683817709</v>
      </c>
      <c r="BH130" s="59">
        <f t="shared" si="62"/>
        <v>1032.1877701715105</v>
      </c>
      <c r="BI130" s="59">
        <f ca="1">AVERAGE(OFFSET($BH$3,0,0,'Données projet'!$E$11+1,1))-AVERAGE(OFFSET($H$3,0,0,'Données projet'!$E$11+1,1))</f>
        <v>581.88778927327667</v>
      </c>
      <c r="BJ130" s="59">
        <f t="shared" si="92"/>
        <v>269.67340993773422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60.524280525834833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60.524280525834833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-9.9316821433603781E-14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413.25558401068383</v>
      </c>
      <c r="T131" s="59">
        <f t="shared" si="88"/>
        <v>289.56516326172863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57.830276669998874</v>
      </c>
      <c r="AA131" s="21">
        <f>EXP(-LN(2)/25)*AA130+(1-EXP(-LN(2)/25))/(LN(2)/25)*Calculateur!V131*Calculateur!X131*VLOOKUP('Données projet'!$B$9,Paramètres!$A$1:$I$89,3,0)*0.475*44/12</f>
        <v>19.072953494653916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76.903230164652797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2.2737367544323206E-13</v>
      </c>
      <c r="AJ131" s="13">
        <f>AI131*VLOOKUP('Données projet'!$B$10,Paramètres!$A$1:$I$89,3,0)*VLOOKUP('Données projet'!$B$10,Paramètres!$A$1:$I$89,5,0)</f>
        <v>1.3596945791505279E-13</v>
      </c>
      <c r="AK131" s="13">
        <f t="shared" si="89"/>
        <v>1.9708830566360721E-12</v>
      </c>
      <c r="AL131" s="20">
        <f t="shared" si="58"/>
        <v>3.669434796176543E-12</v>
      </c>
      <c r="AM131" s="59">
        <f t="shared" si="59"/>
        <v>293.33333333333701</v>
      </c>
      <c r="AN131" s="59">
        <f ca="1">AVERAGE(OFFSET($AM$3,0,0,'Données projet'!$E$10+1,1))-AVERAGE(OFFSET($H$3,0,0,'Données projet'!$E$10+1,1))</f>
        <v>287.52077437571728</v>
      </c>
      <c r="AO131" s="59">
        <f t="shared" si="90"/>
        <v>420.95891230839874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11.934264137529484</v>
      </c>
      <c r="AV131" s="21">
        <f>EXP(-LN(2)/25)*AV130+(1-EXP(-LN(2)/25))/(LN(2)/25)*Calculateur!AQ131*Calculateur!AS131*VLOOKUP('Données projet'!$B$10,Paramètres!$A$1:$I$89,3,0)*0.475*44/12</f>
        <v>12.463064593901578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24.39732873143106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8.0699999999999985</v>
      </c>
      <c r="BD131" s="12">
        <f>IF('Données projet'!$A$88&gt;35,BD130+BC131-BL130,IF(A131&lt;'Données projet'!$A$88,$BA$205^A131,IF(A131='Données projet'!$A$88,'Données projet'!$B$88,BD130+BC131-BL130)))</f>
        <v>388.1700000000007</v>
      </c>
      <c r="BE131" s="13">
        <f>BD131*VLOOKUP('Données projet'!$B$11,Paramètres!$A$1:$I$89,3,0)*VLOOKUP('Données projet'!$B$11,Paramètres!$A$1:$I$89,5,0)</f>
        <v>351.2162160000006</v>
      </c>
      <c r="BF131" s="13">
        <f t="shared" si="91"/>
        <v>81.812892161752615</v>
      </c>
      <c r="BG131" s="20">
        <f t="shared" si="61"/>
        <v>754.19236338172016</v>
      </c>
      <c r="BH131" s="59">
        <f t="shared" si="62"/>
        <v>1047.5256967150535</v>
      </c>
      <c r="BI131" s="59">
        <f ca="1">AVERAGE(OFFSET($BH$3,0,0,'Données projet'!$E$11+1,1))-AVERAGE(OFFSET($H$3,0,0,'Données projet'!$E$11+1,1))</f>
        <v>581.88778927327667</v>
      </c>
      <c r="BJ131" s="59">
        <f t="shared" si="92"/>
        <v>269.67340993773422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59.337436300889166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59.337436300889166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-9.9316821433603781E-14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413.25558401068383</v>
      </c>
      <c r="T132" s="59">
        <f t="shared" si="88"/>
        <v>289.56516326172863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56.696260217486049</v>
      </c>
      <c r="AA132" s="21">
        <f>EXP(-LN(2)/25)*AA131+(1-EXP(-LN(2)/25))/(LN(2)/25)*Calculateur!V132*Calculateur!X132*VLOOKUP('Données projet'!$B$9,Paramètres!$A$1:$I$89,3,0)*0.475*44/12</f>
        <v>18.551402578339573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75.247662795825619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2.2737367544323206E-13</v>
      </c>
      <c r="AJ132" s="13">
        <f>AI132*VLOOKUP('Données projet'!$B$10,Paramètres!$A$1:$I$89,3,0)*VLOOKUP('Données projet'!$B$10,Paramètres!$A$1:$I$89,5,0)</f>
        <v>1.3596945791505279E-13</v>
      </c>
      <c r="AK132" s="13">
        <f t="shared" si="89"/>
        <v>1.9708830566360721E-12</v>
      </c>
      <c r="AL132" s="20">
        <f t="shared" ref="AL132:AL153" si="112">(AJ132+AK132)*0.475*44/12</f>
        <v>3.669434796176543E-12</v>
      </c>
      <c r="AM132" s="59">
        <f t="shared" ref="AM132:AM195" si="113">AL132+(AD132+AE132)*44/12</f>
        <v>293.33333333333701</v>
      </c>
      <c r="AN132" s="59">
        <f ca="1">AVERAGE(OFFSET($AM$3,0,0,'Données projet'!$E$10+1,1))-AVERAGE(OFFSET($H$3,0,0,'Données projet'!$E$10+1,1))</f>
        <v>287.52077437571728</v>
      </c>
      <c r="AO132" s="59">
        <f t="shared" si="90"/>
        <v>420.95891230839874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11.700240496974894</v>
      </c>
      <c r="AV132" s="21">
        <f>EXP(-LN(2)/25)*AV131+(1-EXP(-LN(2)/25))/(LN(2)/25)*Calculateur!AQ132*Calculateur!AS132*VLOOKUP('Données projet'!$B$10,Paramètres!$A$1:$I$89,3,0)*0.475*44/12</f>
        <v>12.122261437177256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23.82250193415215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8.0699999999999985</v>
      </c>
      <c r="BD132" s="12">
        <f>IF('Données projet'!$A$88&gt;35,BD131+BC132-BL131,IF(A132&lt;'Données projet'!$A$88,$BA$205^A132,IF(A132='Données projet'!$A$88,'Données projet'!$B$88,BD131+BC132-BL131)))</f>
        <v>396.24000000000069</v>
      </c>
      <c r="BE132" s="13">
        <f>BD132*VLOOKUP('Données projet'!$B$11,Paramètres!$A$1:$I$89,3,0)*VLOOKUP('Données projet'!$B$11,Paramètres!$A$1:$I$89,5,0)</f>
        <v>358.51795200000061</v>
      </c>
      <c r="BF132" s="13">
        <f t="shared" si="91"/>
        <v>83.313983934777241</v>
      </c>
      <c r="BG132" s="20">
        <f t="shared" ref="BG132:BG153" si="115">(BE132+BF132)*0.475*44/12</f>
        <v>769.52395508640473</v>
      </c>
      <c r="BH132" s="59">
        <f t="shared" ref="BH132:BH195" si="116">BG132+(AY132+AZ132)*44/12</f>
        <v>1062.8572884197381</v>
      </c>
      <c r="BI132" s="59">
        <f ca="1">AVERAGE(OFFSET($BH$3,0,0,'Données projet'!$E$11+1,1))-AVERAGE(OFFSET($H$3,0,0,'Données projet'!$E$11+1,1))</f>
        <v>581.88778927327667</v>
      </c>
      <c r="BJ132" s="59">
        <f t="shared" si="92"/>
        <v>269.67340993773422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58.173865367291185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58.173865367291185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-9.9316821433603781E-14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413.25558401068383</v>
      </c>
      <c r="T133" s="59">
        <f t="shared" ref="T133:T196" si="142">$T$3</f>
        <v>289.56516326172863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55.584481135925259</v>
      </c>
      <c r="AA133" s="21">
        <f>EXP(-LN(2)/25)*AA132+(1-EXP(-LN(2)/25))/(LN(2)/25)*Calculateur!V133*Calculateur!X133*VLOOKUP('Données projet'!$B$9,Paramètres!$A$1:$I$89,3,0)*0.475*44/12</f>
        <v>18.044113499259016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73.628594635184271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2.2737367544323206E-13</v>
      </c>
      <c r="AJ133" s="13">
        <f>AI133*VLOOKUP('Données projet'!$B$10,Paramètres!$A$1:$I$89,3,0)*VLOOKUP('Données projet'!$B$10,Paramètres!$A$1:$I$89,5,0)</f>
        <v>1.3596945791505279E-13</v>
      </c>
      <c r="AK133" s="13">
        <f t="shared" ref="AK133:AK153" si="143">EXP(-1.0587+0.8836*LN(AJ133)+0.284)</f>
        <v>1.9708830566360721E-12</v>
      </c>
      <c r="AL133" s="20">
        <f t="shared" si="112"/>
        <v>3.669434796176543E-12</v>
      </c>
      <c r="AM133" s="59">
        <f t="shared" si="113"/>
        <v>293.33333333333701</v>
      </c>
      <c r="AN133" s="59">
        <f ca="1">AVERAGE(OFFSET($AM$3,0,0,'Données projet'!$E$10+1,1))-AVERAGE(OFFSET($H$3,0,0,'Données projet'!$E$10+1,1))</f>
        <v>287.52077437571728</v>
      </c>
      <c r="AO133" s="59">
        <f t="shared" ref="AO133:AO196" si="144">$AO$3</f>
        <v>420.95891230839874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11.470805917271255</v>
      </c>
      <c r="AV133" s="21">
        <f>EXP(-LN(2)/25)*AV132+(1-EXP(-LN(2)/25))/(LN(2)/25)*Calculateur!AQ133*Calculateur!AS133*VLOOKUP('Données projet'!$B$10,Paramètres!$A$1:$I$89,3,0)*0.475*44/12</f>
        <v>11.79077756069562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23.261583477966873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8.0699999999999985</v>
      </c>
      <c r="BD133" s="12">
        <f>IF('Données projet'!$A$88&gt;35,BD132+BC133-BL132,IF(A133&lt;'Données projet'!$A$88,$BA$205^A133,IF(A133='Données projet'!$A$88,'Données projet'!$B$88,BD132+BC133-BL132)))</f>
        <v>404.31000000000068</v>
      </c>
      <c r="BE133" s="13">
        <f>BD133*VLOOKUP('Données projet'!$B$11,Paramètres!$A$1:$I$89,3,0)*VLOOKUP('Données projet'!$B$11,Paramètres!$A$1:$I$89,5,0)</f>
        <v>365.81968800000061</v>
      </c>
      <c r="BF133" s="13">
        <f t="shared" ref="BF133:BF153" si="145">EXP(-1.0587+0.8836*LN(BE133)+0.284)</f>
        <v>84.811521093342051</v>
      </c>
      <c r="BG133" s="20">
        <f t="shared" si="115"/>
        <v>784.84935583757169</v>
      </c>
      <c r="BH133" s="59">
        <f t="shared" si="116"/>
        <v>1078.182689170905</v>
      </c>
      <c r="BI133" s="59">
        <f ca="1">AVERAGE(OFFSET($BH$3,0,0,'Données projet'!$E$11+1,1))-AVERAGE(OFFSET($H$3,0,0,'Données projet'!$E$11+1,1))</f>
        <v>581.88778927327667</v>
      </c>
      <c r="BJ133" s="59">
        <f t="shared" ref="BJ133:BJ196" si="146">$BJ$3</f>
        <v>269.67340993773422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57.033111349992865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57.033111349992865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-9.9316821433603781E-14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413.25558401068383</v>
      </c>
      <c r="T134" s="59">
        <f t="shared" si="142"/>
        <v>289.56516326172863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54.494503364035594</v>
      </c>
      <c r="AA134" s="21">
        <f>EXP(-LN(2)/25)*AA133+(1-EXP(-LN(2)/25))/(LN(2)/25)*Calculateur!V134*Calculateur!X134*VLOOKUP('Données projet'!$B$9,Paramètres!$A$1:$I$89,3,0)*0.475*44/12</f>
        <v>17.55069626672309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72.045199630758688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2.2737367544323206E-13</v>
      </c>
      <c r="AJ134" s="13">
        <f>AI134*VLOOKUP('Données projet'!$B$10,Paramètres!$A$1:$I$89,3,0)*VLOOKUP('Données projet'!$B$10,Paramètres!$A$1:$I$89,5,0)</f>
        <v>1.3596945791505279E-13</v>
      </c>
      <c r="AK134" s="13">
        <f t="shared" si="143"/>
        <v>1.9708830566360721E-12</v>
      </c>
      <c r="AL134" s="20">
        <f t="shared" si="112"/>
        <v>3.669434796176543E-12</v>
      </c>
      <c r="AM134" s="59">
        <f t="shared" si="113"/>
        <v>293.33333333333701</v>
      </c>
      <c r="AN134" s="59">
        <f ca="1">AVERAGE(OFFSET($AM$3,0,0,'Données projet'!$E$10+1,1))-AVERAGE(OFFSET($H$3,0,0,'Données projet'!$E$10+1,1))</f>
        <v>287.52077437571728</v>
      </c>
      <c r="AO134" s="59">
        <f t="shared" si="144"/>
        <v>420.95891230839874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11.245870409734328</v>
      </c>
      <c r="AV134" s="21">
        <f>EXP(-LN(2)/25)*AV133+(1-EXP(-LN(2)/25))/(LN(2)/25)*Calculateur!AQ134*Calculateur!AS134*VLOOKUP('Données projet'!$B$10,Paramètres!$A$1:$I$89,3,0)*0.475*44/12</f>
        <v>11.468358128248354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22.714228537982684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8.0699999999999985</v>
      </c>
      <c r="BD134" s="12">
        <f>IF('Données projet'!$A$88&gt;35,BD133+BC134-BL133,IF(A134&lt;'Données projet'!$A$88,$BA$205^A134,IF(A134='Données projet'!$A$88,'Données projet'!$B$88,BD133+BC134-BL133)))</f>
        <v>412.38000000000068</v>
      </c>
      <c r="BE134" s="13">
        <f>BD134*VLOOKUP('Données projet'!$B$11,Paramètres!$A$1:$I$89,3,0)*VLOOKUP('Données projet'!$B$11,Paramètres!$A$1:$I$89,5,0)</f>
        <v>373.12142400000062</v>
      </c>
      <c r="BF134" s="13">
        <f t="shared" si="145"/>
        <v>86.305582764533938</v>
      </c>
      <c r="BG134" s="20">
        <f t="shared" si="115"/>
        <v>800.16870344823099</v>
      </c>
      <c r="BH134" s="59">
        <f t="shared" si="116"/>
        <v>1093.5020367815644</v>
      </c>
      <c r="BI134" s="59">
        <f ca="1">AVERAGE(OFFSET($BH$3,0,0,'Données projet'!$E$11+1,1))-AVERAGE(OFFSET($H$3,0,0,'Données projet'!$E$11+1,1))</f>
        <v>581.88778927327667</v>
      </c>
      <c r="BJ134" s="59">
        <f t="shared" si="146"/>
        <v>269.67340993773422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55.914726823182519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55.914726823182519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-9.9316821433603781E-14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413.25558401068383</v>
      </c>
      <c r="T135" s="59">
        <f t="shared" si="142"/>
        <v>289.56516326172863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53.425899391431891</v>
      </c>
      <c r="AA135" s="21">
        <f>EXP(-LN(2)/25)*AA134+(1-EXP(-LN(2)/25))/(LN(2)/25)*Calculateur!V135*Calculateur!X135*VLOOKUP('Données projet'!$B$9,Paramètres!$A$1:$I$89,3,0)*0.475*44/12</f>
        <v>17.070771554358544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70.496670945790441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2.2737367544323206E-13</v>
      </c>
      <c r="AJ135" s="13">
        <f>AI135*VLOOKUP('Données projet'!$B$10,Paramètres!$A$1:$I$89,3,0)*VLOOKUP('Données projet'!$B$10,Paramètres!$A$1:$I$89,5,0)</f>
        <v>1.3596945791505279E-13</v>
      </c>
      <c r="AK135" s="13">
        <f t="shared" si="143"/>
        <v>1.9708830566360721E-12</v>
      </c>
      <c r="AL135" s="20">
        <f t="shared" si="112"/>
        <v>3.669434796176543E-12</v>
      </c>
      <c r="AM135" s="59">
        <f t="shared" si="113"/>
        <v>293.33333333333701</v>
      </c>
      <c r="AN135" s="59">
        <f ca="1">AVERAGE(OFFSET($AM$3,0,0,'Données projet'!$E$10+1,1))-AVERAGE(OFFSET($H$3,0,0,'Données projet'!$E$10+1,1))</f>
        <v>287.52077437571728</v>
      </c>
      <c r="AO135" s="59">
        <f t="shared" si="144"/>
        <v>420.95891230839874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11.025345750303089</v>
      </c>
      <c r="AV135" s="21">
        <f>EXP(-LN(2)/25)*AV134+(1-EXP(-LN(2)/25))/(LN(2)/25)*Calculateur!AQ135*Calculateur!AS135*VLOOKUP('Données projet'!$B$10,Paramètres!$A$1:$I$89,3,0)*0.475*44/12</f>
        <v>11.15475527213666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22.18010102243975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8.0699999999999985</v>
      </c>
      <c r="BD135" s="12">
        <f>IF('Données projet'!$A$88&gt;35,BD134+BC135-BL134,IF(A135&lt;'Données projet'!$A$88,$BA$205^A135,IF(A135='Données projet'!$A$88,'Données projet'!$B$88,BD134+BC135-BL134)))</f>
        <v>420.45000000000067</v>
      </c>
      <c r="BE135" s="13">
        <f>BD135*VLOOKUP('Données projet'!$B$11,Paramètres!$A$1:$I$89,3,0)*VLOOKUP('Données projet'!$B$11,Paramètres!$A$1:$I$89,5,0)</f>
        <v>380.42316000000056</v>
      </c>
      <c r="BF135" s="13">
        <f t="shared" si="145"/>
        <v>87.79624480137376</v>
      </c>
      <c r="BG135" s="20">
        <f t="shared" si="115"/>
        <v>815.48213002906016</v>
      </c>
      <c r="BH135" s="59">
        <f t="shared" si="116"/>
        <v>1108.8154633623935</v>
      </c>
      <c r="BI135" s="59">
        <f ca="1">AVERAGE(OFFSET($BH$3,0,0,'Données projet'!$E$11+1,1))-AVERAGE(OFFSET($H$3,0,0,'Données projet'!$E$11+1,1))</f>
        <v>581.88778927327667</v>
      </c>
      <c r="BJ135" s="59">
        <f t="shared" si="146"/>
        <v>269.67340993773422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54.818273134795724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54.818273134795724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-9.9316821433603781E-14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413.25558401068383</v>
      </c>
      <c r="T136" s="59">
        <f t="shared" si="142"/>
        <v>289.56516326172863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52.378250090946885</v>
      </c>
      <c r="AA136" s="21">
        <f>EXP(-LN(2)/25)*AA135+(1-EXP(-LN(2)/25))/(LN(2)/25)*Calculateur!V136*Calculateur!X136*VLOOKUP('Données projet'!$B$9,Paramètres!$A$1:$I$89,3,0)*0.475*44/12</f>
        <v>16.603970408491747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68.982220499438625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2.2737367544323206E-13</v>
      </c>
      <c r="AJ136" s="13">
        <f>AI136*VLOOKUP('Données projet'!$B$10,Paramètres!$A$1:$I$89,3,0)*VLOOKUP('Données projet'!$B$10,Paramètres!$A$1:$I$89,5,0)</f>
        <v>1.3596945791505279E-13</v>
      </c>
      <c r="AK136" s="13">
        <f t="shared" si="143"/>
        <v>1.9708830566360721E-12</v>
      </c>
      <c r="AL136" s="20">
        <f t="shared" si="112"/>
        <v>3.669434796176543E-12</v>
      </c>
      <c r="AM136" s="59">
        <f t="shared" si="113"/>
        <v>293.33333333333701</v>
      </c>
      <c r="AN136" s="59">
        <f ca="1">AVERAGE(OFFSET($AM$3,0,0,'Données projet'!$E$10+1,1))-AVERAGE(OFFSET($H$3,0,0,'Données projet'!$E$10+1,1))</f>
        <v>287.52077437571728</v>
      </c>
      <c r="AO136" s="59">
        <f t="shared" si="144"/>
        <v>420.95891230839874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10.809145444936535</v>
      </c>
      <c r="AV136" s="21">
        <f>EXP(-LN(2)/25)*AV135+(1-EXP(-LN(2)/25))/(LN(2)/25)*Calculateur!AQ136*Calculateur!AS136*VLOOKUP('Données projet'!$B$10,Paramètres!$A$1:$I$89,3,0)*0.475*44/12</f>
        <v>10.849727902616998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21.658873347553531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8.0699999999999985</v>
      </c>
      <c r="BD136" s="12">
        <f>IF('Données projet'!$A$88&gt;35,BD135+BC136-BL135,IF(A136&lt;'Données projet'!$A$88,$BA$205^A136,IF(A136='Données projet'!$A$88,'Données projet'!$B$88,BD135+BC136-BL135)))</f>
        <v>428.52000000000066</v>
      </c>
      <c r="BE136" s="13">
        <f>BD136*VLOOKUP('Données projet'!$B$11,Paramètres!$A$1:$I$89,3,0)*VLOOKUP('Données projet'!$B$11,Paramètres!$A$1:$I$89,5,0)</f>
        <v>387.72489600000057</v>
      </c>
      <c r="BF136" s="13">
        <f t="shared" si="145"/>
        <v>89.283579978484866</v>
      </c>
      <c r="BG136" s="20">
        <f t="shared" si="115"/>
        <v>830.78976232919547</v>
      </c>
      <c r="BH136" s="59">
        <f t="shared" si="116"/>
        <v>1124.1230956625288</v>
      </c>
      <c r="BI136" s="59">
        <f ca="1">AVERAGE(OFFSET($BH$3,0,0,'Données projet'!$E$11+1,1))-AVERAGE(OFFSET($H$3,0,0,'Données projet'!$E$11+1,1))</f>
        <v>581.88778927327667</v>
      </c>
      <c r="BJ136" s="59">
        <f t="shared" si="146"/>
        <v>269.67340993773422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53.743320234467475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53.743320234467475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-9.9316821433603781E-14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413.25558401068383</v>
      </c>
      <c r="T137" s="59">
        <f t="shared" si="142"/>
        <v>289.56516326172863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51.351144554241408</v>
      </c>
      <c r="AA137" s="21">
        <f>EXP(-LN(2)/25)*AA136+(1-EXP(-LN(2)/25))/(LN(2)/25)*Calculateur!V137*Calculateur!X137*VLOOKUP('Données projet'!$B$9,Paramètres!$A$1:$I$89,3,0)*0.475*44/12</f>
        <v>16.149933964506687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67.501078518748102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2.2737367544323206E-13</v>
      </c>
      <c r="AJ137" s="13">
        <f>AI137*VLOOKUP('Données projet'!$B$10,Paramètres!$A$1:$I$89,3,0)*VLOOKUP('Données projet'!$B$10,Paramètres!$A$1:$I$89,5,0)</f>
        <v>1.3596945791505279E-13</v>
      </c>
      <c r="AK137" s="13">
        <f t="shared" si="143"/>
        <v>1.9708830566360721E-12</v>
      </c>
      <c r="AL137" s="20">
        <f t="shared" si="112"/>
        <v>3.669434796176543E-12</v>
      </c>
      <c r="AM137" s="59">
        <f t="shared" si="113"/>
        <v>293.33333333333701</v>
      </c>
      <c r="AN137" s="59">
        <f ca="1">AVERAGE(OFFSET($AM$3,0,0,'Données projet'!$E$10+1,1))-AVERAGE(OFFSET($H$3,0,0,'Données projet'!$E$10+1,1))</f>
        <v>287.52077437571728</v>
      </c>
      <c r="AO137" s="59">
        <f t="shared" si="144"/>
        <v>420.95891230839874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10.597184695689053</v>
      </c>
      <c r="AV137" s="21">
        <f>EXP(-LN(2)/25)*AV136+(1-EXP(-LN(2)/25))/(LN(2)/25)*Calculateur!AQ137*Calculateur!AS137*VLOOKUP('Données projet'!$B$10,Paramètres!$A$1:$I$89,3,0)*0.475*44/12</f>
        <v>10.553041522557542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21.150226218246594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436.59</v>
      </c>
      <c r="BB137" s="12">
        <f>VLOOKUP(A137,'Données projet'!$A$87:$I$107,9,0)</f>
        <v>8.0699999999999985</v>
      </c>
      <c r="BC137" s="12">
        <f t="array" ref="BC137">INDEX(BB:BB,MIN(IF(ISNUMBER(BB137:BB333),ROW(BB137:BB333),"")))</f>
        <v>8.0699999999999985</v>
      </c>
      <c r="BD137" s="12">
        <f>IF('Données projet'!$A$88&gt;35,BD136+BC137-BL136,IF(A137&lt;'Données projet'!$A$88,$BA$205^A137,IF(A137='Données projet'!$A$88,'Données projet'!$B$88,BD136+BC137-BL136)))</f>
        <v>436.59000000000066</v>
      </c>
      <c r="BE137" s="13">
        <f>BD137*VLOOKUP('Données projet'!$B$11,Paramètres!$A$1:$I$89,3,0)*VLOOKUP('Données projet'!$B$11,Paramètres!$A$1:$I$89,5,0)</f>
        <v>395.02663200000057</v>
      </c>
      <c r="BF137" s="13">
        <f t="shared" si="145"/>
        <v>90.767658172605465</v>
      </c>
      <c r="BG137" s="20">
        <f t="shared" si="115"/>
        <v>846.09172205062214</v>
      </c>
      <c r="BH137" s="59">
        <f t="shared" si="116"/>
        <v>1139.4250553839554</v>
      </c>
      <c r="BI137" s="59">
        <f ca="1">AVERAGE(OFFSET($BH$3,0,0,'Données projet'!$E$11+1,1))-AVERAGE(OFFSET($H$3,0,0,'Données projet'!$E$11+1,1))</f>
        <v>581.88778927327667</v>
      </c>
      <c r="BJ137" s="59">
        <f t="shared" si="146"/>
        <v>269.67340993773422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54.95</v>
      </c>
      <c r="BM137" s="16">
        <f>IF(ISNA(VLOOKUP(A137,'Données projet'!$A$87:$I$107,5,0)),0%,VLOOKUP(A137,'Données projet'!$A$87:$I$107,5,0)*VLOOKUP('Données projet'!$B$11,Paramètres!$A$1:$I$89,7,0))</f>
        <v>0.25800000000000001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66.869801558531918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66.869801558531918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-9.9316821433603781E-14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413.25558401068383</v>
      </c>
      <c r="T138" s="59">
        <f t="shared" si="142"/>
        <v>289.56516326172863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50.344179930638212</v>
      </c>
      <c r="AA138" s="21">
        <f>EXP(-LN(2)/25)*AA137+(1-EXP(-LN(2)/25))/(LN(2)/25)*Calculateur!V138*Calculateur!X138*VLOOKUP('Données projet'!$B$9,Paramètres!$A$1:$I$89,3,0)*0.475*44/12</f>
        <v>15.708313170959135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66.052493101597349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2.2737367544323206E-13</v>
      </c>
      <c r="AJ138" s="13">
        <f>AI138*VLOOKUP('Données projet'!$B$10,Paramètres!$A$1:$I$89,3,0)*VLOOKUP('Données projet'!$B$10,Paramètres!$A$1:$I$89,5,0)</f>
        <v>1.3596945791505279E-13</v>
      </c>
      <c r="AK138" s="13">
        <f t="shared" si="143"/>
        <v>1.9708830566360721E-12</v>
      </c>
      <c r="AL138" s="20">
        <f t="shared" si="112"/>
        <v>3.669434796176543E-12</v>
      </c>
      <c r="AM138" s="59">
        <f t="shared" si="113"/>
        <v>293.33333333333701</v>
      </c>
      <c r="AN138" s="59">
        <f ca="1">AVERAGE(OFFSET($AM$3,0,0,'Données projet'!$E$10+1,1))-AVERAGE(OFFSET($H$3,0,0,'Données projet'!$E$10+1,1))</f>
        <v>287.52077437571728</v>
      </c>
      <c r="AO138" s="59">
        <f t="shared" si="144"/>
        <v>420.95891230839874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10.389380367451023</v>
      </c>
      <c r="AV138" s="21">
        <f>EXP(-LN(2)/25)*AV137+(1-EXP(-LN(2)/25))/(LN(2)/25)*Calculateur!AQ138*Calculateur!AS138*VLOOKUP('Données projet'!$B$10,Paramètres!$A$1:$I$89,3,0)*0.475*44/12</f>
        <v>10.264468047162872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20.653848414613897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8.1590000000000025</v>
      </c>
      <c r="BD138" s="12">
        <f>IF('Données projet'!$A$88&gt;35,BD137+BC138-BL137,IF(A138&lt;'Données projet'!$A$88,$BA$205^A138,IF(A138='Données projet'!$A$88,'Données projet'!$B$88,BD137+BC138-BL137)))</f>
        <v>389.79900000000066</v>
      </c>
      <c r="BE138" s="13">
        <f>BD138*VLOOKUP('Données projet'!$B$11,Paramètres!$A$1:$I$89,3,0)*VLOOKUP('Données projet'!$B$11,Paramètres!$A$1:$I$89,5,0)</f>
        <v>352.69013520000055</v>
      </c>
      <c r="BF138" s="13">
        <f t="shared" si="145"/>
        <v>82.116190931394016</v>
      </c>
      <c r="BG138" s="20">
        <f t="shared" si="115"/>
        <v>757.28768467884549</v>
      </c>
      <c r="BH138" s="59">
        <f t="shared" si="116"/>
        <v>1050.6210180121789</v>
      </c>
      <c r="BI138" s="59">
        <f ca="1">AVERAGE(OFFSET($BH$3,0,0,'Données projet'!$E$11+1,1))-AVERAGE(OFFSET($H$3,0,0,'Données projet'!$E$11+1,1))</f>
        <v>581.88778927327667</v>
      </c>
      <c r="BJ138" s="59">
        <f t="shared" si="146"/>
        <v>269.67340993773422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65.558525536520719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65.558525536520719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-9.9316821433603781E-14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413.25558401068383</v>
      </c>
      <c r="T139" s="59">
        <f t="shared" si="142"/>
        <v>289.56516326172863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49.356961269116098</v>
      </c>
      <c r="AA139" s="21">
        <f>EXP(-LN(2)/25)*AA138+(1-EXP(-LN(2)/25))/(LN(2)/25)*Calculateur!V139*Calculateur!X139*VLOOKUP('Données projet'!$B$9,Paramètres!$A$1:$I$89,3,0)*0.475*44/12</f>
        <v>15.278768521234969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64.635729790351064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2.2737367544323206E-13</v>
      </c>
      <c r="AJ139" s="13">
        <f>AI139*VLOOKUP('Données projet'!$B$10,Paramètres!$A$1:$I$89,3,0)*VLOOKUP('Données projet'!$B$10,Paramètres!$A$1:$I$89,5,0)</f>
        <v>1.3596945791505279E-13</v>
      </c>
      <c r="AK139" s="13">
        <f t="shared" si="143"/>
        <v>1.9708830566360721E-12</v>
      </c>
      <c r="AL139" s="20">
        <f t="shared" si="112"/>
        <v>3.669434796176543E-12</v>
      </c>
      <c r="AM139" s="59">
        <f t="shared" si="113"/>
        <v>293.33333333333701</v>
      </c>
      <c r="AN139" s="59">
        <f ca="1">AVERAGE(OFFSET($AM$3,0,0,'Données projet'!$E$10+1,1))-AVERAGE(OFFSET($H$3,0,0,'Données projet'!$E$10+1,1))</f>
        <v>287.52077437571728</v>
      </c>
      <c r="AO139" s="59">
        <f t="shared" si="144"/>
        <v>420.95891230839874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10.185650955341616</v>
      </c>
      <c r="AV139" s="21">
        <f>EXP(-LN(2)/25)*AV138+(1-EXP(-LN(2)/25))/(LN(2)/25)*Calculateur!AQ139*Calculateur!AS139*VLOOKUP('Données projet'!$B$10,Paramètres!$A$1:$I$89,3,0)*0.475*44/12</f>
        <v>9.9837856286282882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20.169436583969905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8.1590000000000025</v>
      </c>
      <c r="BD139" s="12">
        <f>IF('Données projet'!$A$88&gt;35,BD138+BC139-BL138,IF(A139&lt;'Données projet'!$A$88,$BA$205^A139,IF(A139='Données projet'!$A$88,'Données projet'!$B$88,BD138+BC139-BL138)))</f>
        <v>397.95800000000065</v>
      </c>
      <c r="BE139" s="13">
        <f>BD139*VLOOKUP('Données projet'!$B$11,Paramètres!$A$1:$I$89,3,0)*VLOOKUP('Données projet'!$B$11,Paramètres!$A$1:$I$89,5,0)</f>
        <v>360.07239840000057</v>
      </c>
      <c r="BF139" s="13">
        <f t="shared" si="145"/>
        <v>83.633085567444908</v>
      </c>
      <c r="BG139" s="20">
        <f t="shared" si="115"/>
        <v>772.78705124330099</v>
      </c>
      <c r="BH139" s="59">
        <f t="shared" si="116"/>
        <v>1066.1203845766343</v>
      </c>
      <c r="BI139" s="59">
        <f ca="1">AVERAGE(OFFSET($BH$3,0,0,'Données projet'!$E$11+1,1))-AVERAGE(OFFSET($H$3,0,0,'Données projet'!$E$11+1,1))</f>
        <v>581.88778927327667</v>
      </c>
      <c r="BJ139" s="59">
        <f t="shared" si="146"/>
        <v>269.67340993773422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64.272962837501765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64.272962837501765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-9.9316821433603781E-14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413.25558401068383</v>
      </c>
      <c r="T140" s="59">
        <f t="shared" si="142"/>
        <v>289.56516326172863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48.389101363402503</v>
      </c>
      <c r="AA140" s="21">
        <f>EXP(-LN(2)/25)*AA139+(1-EXP(-LN(2)/25))/(LN(2)/25)*Calculateur!V140*Calculateur!X140*VLOOKUP('Données projet'!$B$9,Paramètres!$A$1:$I$89,3,0)*0.475*44/12</f>
        <v>14.860969792546282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63.250071155948788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2.2737367544323206E-13</v>
      </c>
      <c r="AJ140" s="13">
        <f>AI140*VLOOKUP('Données projet'!$B$10,Paramètres!$A$1:$I$89,3,0)*VLOOKUP('Données projet'!$B$10,Paramètres!$A$1:$I$89,5,0)</f>
        <v>1.3596945791505279E-13</v>
      </c>
      <c r="AK140" s="13">
        <f t="shared" si="143"/>
        <v>1.9708830566360721E-12</v>
      </c>
      <c r="AL140" s="20">
        <f t="shared" si="112"/>
        <v>3.669434796176543E-12</v>
      </c>
      <c r="AM140" s="59">
        <f t="shared" si="113"/>
        <v>293.33333333333701</v>
      </c>
      <c r="AN140" s="59">
        <f ca="1">AVERAGE(OFFSET($AM$3,0,0,'Données projet'!$E$10+1,1))-AVERAGE(OFFSET($H$3,0,0,'Données projet'!$E$10+1,1))</f>
        <v>287.52077437571728</v>
      </c>
      <c r="AO140" s="59">
        <f t="shared" si="144"/>
        <v>420.95891230839874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9.9859165527410028</v>
      </c>
      <c r="AV140" s="21">
        <f>EXP(-LN(2)/25)*AV139+(1-EXP(-LN(2)/25))/(LN(2)/25)*Calculateur!AQ140*Calculateur!AS140*VLOOKUP('Données projet'!$B$10,Paramètres!$A$1:$I$89,3,0)*0.475*44/12</f>
        <v>9.71077848558898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19.696695038329985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8.1590000000000025</v>
      </c>
      <c r="BD140" s="12">
        <f>IF('Données projet'!$A$88&gt;35,BD139+BC140-BL139,IF(A140&lt;'Données projet'!$A$88,$BA$205^A140,IF(A140='Données projet'!$A$88,'Données projet'!$B$88,BD139+BC140-BL139)))</f>
        <v>406.11700000000064</v>
      </c>
      <c r="BE140" s="13">
        <f>BD140*VLOOKUP('Données projet'!$B$11,Paramètres!$A$1:$I$89,3,0)*VLOOKUP('Données projet'!$B$11,Paramètres!$A$1:$I$89,5,0)</f>
        <v>367.45466160000058</v>
      </c>
      <c r="BF140" s="13">
        <f t="shared" si="145"/>
        <v>85.146364255773364</v>
      </c>
      <c r="BG140" s="20">
        <f t="shared" si="115"/>
        <v>788.28012003213962</v>
      </c>
      <c r="BH140" s="59">
        <f t="shared" si="116"/>
        <v>1081.6134533654729</v>
      </c>
      <c r="BI140" s="59">
        <f ca="1">AVERAGE(OFFSET($BH$3,0,0,'Données projet'!$E$11+1,1))-AVERAGE(OFFSET($H$3,0,0,'Données projet'!$E$11+1,1))</f>
        <v>581.88778927327667</v>
      </c>
      <c r="BJ140" s="59">
        <f t="shared" si="146"/>
        <v>269.67340993773422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63.012609238894747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63.012609238894747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-9.9316821433603781E-14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413.25558401068383</v>
      </c>
      <c r="T141" s="59">
        <f t="shared" si="142"/>
        <v>289.56516326172863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47.4402206001037</v>
      </c>
      <c r="AA141" s="21">
        <f>EXP(-LN(2)/25)*AA140+(1-EXP(-LN(2)/25))/(LN(2)/25)*Calculateur!V141*Calculateur!X141*VLOOKUP('Données projet'!$B$9,Paramètres!$A$1:$I$89,3,0)*0.475*44/12</f>
        <v>14.454595792064667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61.894816392168366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2.2737367544323206E-13</v>
      </c>
      <c r="AJ141" s="13">
        <f>AI141*VLOOKUP('Données projet'!$B$10,Paramètres!$A$1:$I$89,3,0)*VLOOKUP('Données projet'!$B$10,Paramètres!$A$1:$I$89,5,0)</f>
        <v>1.3596945791505279E-13</v>
      </c>
      <c r="AK141" s="13">
        <f t="shared" si="143"/>
        <v>1.9708830566360721E-12</v>
      </c>
      <c r="AL141" s="20">
        <f t="shared" si="112"/>
        <v>3.669434796176543E-12</v>
      </c>
      <c r="AM141" s="59">
        <f t="shared" si="113"/>
        <v>293.33333333333701</v>
      </c>
      <c r="AN141" s="59">
        <f ca="1">AVERAGE(OFFSET($AM$3,0,0,'Données projet'!$E$10+1,1))-AVERAGE(OFFSET($H$3,0,0,'Données projet'!$E$10+1,1))</f>
        <v>287.52077437571728</v>
      </c>
      <c r="AO141" s="59">
        <f t="shared" si="144"/>
        <v>420.95891230839874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9.7900988199494314</v>
      </c>
      <c r="AV141" s="21">
        <f>EXP(-LN(2)/25)*AV140+(1-EXP(-LN(2)/25))/(LN(2)/25)*Calculateur!AQ141*Calculateur!AS141*VLOOKUP('Données projet'!$B$10,Paramètres!$A$1:$I$89,3,0)*0.475*44/12</f>
        <v>9.4452367372329036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19.235335557182335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8.1590000000000025</v>
      </c>
      <c r="BD141" s="12">
        <f>IF('Données projet'!$A$88&gt;35,BD140+BC141-BL140,IF(A141&lt;'Données projet'!$A$88,$BA$205^A141,IF(A141='Données projet'!$A$88,'Données projet'!$B$88,BD140+BC141-BL140)))</f>
        <v>414.27600000000064</v>
      </c>
      <c r="BE141" s="13">
        <f>BD141*VLOOKUP('Données projet'!$B$11,Paramètres!$A$1:$I$89,3,0)*VLOOKUP('Données projet'!$B$11,Paramètres!$A$1:$I$89,5,0)</f>
        <v>374.83692480000053</v>
      </c>
      <c r="BF141" s="13">
        <f t="shared" si="145"/>
        <v>86.656108013910185</v>
      </c>
      <c r="BG141" s="20">
        <f t="shared" si="115"/>
        <v>803.76703215089447</v>
      </c>
      <c r="BH141" s="59">
        <f t="shared" si="116"/>
        <v>1097.1003654842277</v>
      </c>
      <c r="BI141" s="59">
        <f ca="1">AVERAGE(OFFSET($BH$3,0,0,'Données projet'!$E$11+1,1))-AVERAGE(OFFSET($H$3,0,0,'Données projet'!$E$11+1,1))</f>
        <v>581.88778927327667</v>
      </c>
      <c r="BJ141" s="59">
        <f t="shared" si="146"/>
        <v>269.67340993773422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61.776970405616623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61.776970405616623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-9.9316821433603781E-14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413.25558401068383</v>
      </c>
      <c r="T142" s="59">
        <f t="shared" si="142"/>
        <v>289.56516326172863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46.509946809813073</v>
      </c>
      <c r="AA142" s="21">
        <f>EXP(-LN(2)/25)*AA141+(1-EXP(-LN(2)/25))/(LN(2)/25)*Calculateur!V142*Calculateur!X142*VLOOKUP('Données projet'!$B$9,Paramètres!$A$1:$I$89,3,0)*0.475*44/12</f>
        <v>14.059334109996502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60.569280919809572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2.2737367544323206E-13</v>
      </c>
      <c r="AJ142" s="13">
        <f>AI142*VLOOKUP('Données projet'!$B$10,Paramètres!$A$1:$I$89,3,0)*VLOOKUP('Données projet'!$B$10,Paramètres!$A$1:$I$89,5,0)</f>
        <v>1.3596945791505279E-13</v>
      </c>
      <c r="AK142" s="13">
        <f t="shared" si="143"/>
        <v>1.9708830566360721E-12</v>
      </c>
      <c r="AL142" s="20">
        <f t="shared" si="112"/>
        <v>3.669434796176543E-12</v>
      </c>
      <c r="AM142" s="59">
        <f t="shared" si="113"/>
        <v>293.33333333333701</v>
      </c>
      <c r="AN142" s="59">
        <f ca="1">AVERAGE(OFFSET($AM$3,0,0,'Données projet'!$E$10+1,1))-AVERAGE(OFFSET($H$3,0,0,'Données projet'!$E$10+1,1))</f>
        <v>287.52077437571728</v>
      </c>
      <c r="AO142" s="59">
        <f t="shared" si="144"/>
        <v>420.95891230839874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9.5981209534608798</v>
      </c>
      <c r="AV142" s="21">
        <f>EXP(-LN(2)/25)*AV141+(1-EXP(-LN(2)/25))/(LN(2)/25)*Calculateur!AQ142*Calculateur!AS142*VLOOKUP('Données projet'!$B$10,Paramètres!$A$1:$I$89,3,0)*0.475*44/12</f>
        <v>9.1869562419498578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18.785077195410736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8.1590000000000025</v>
      </c>
      <c r="BD142" s="12">
        <f>IF('Données projet'!$A$88&gt;35,BD141+BC142-BL141,IF(A142&lt;'Données projet'!$A$88,$BA$205^A142,IF(A142='Données projet'!$A$88,'Données projet'!$B$88,BD141+BC142-BL141)))</f>
        <v>422.43500000000063</v>
      </c>
      <c r="BE142" s="13">
        <f>BD142*VLOOKUP('Données projet'!$B$11,Paramètres!$A$1:$I$89,3,0)*VLOOKUP('Données projet'!$B$11,Paramètres!$A$1:$I$89,5,0)</f>
        <v>382.21918800000054</v>
      </c>
      <c r="BF142" s="13">
        <f t="shared" si="145"/>
        <v>88.162394485655341</v>
      </c>
      <c r="BG142" s="20">
        <f t="shared" si="115"/>
        <v>819.24792282918395</v>
      </c>
      <c r="BH142" s="59">
        <f t="shared" si="116"/>
        <v>1112.5812561625173</v>
      </c>
      <c r="BI142" s="59">
        <f ca="1">AVERAGE(OFFSET($BH$3,0,0,'Données projet'!$E$11+1,1))-AVERAGE(OFFSET($H$3,0,0,'Données projet'!$E$11+1,1))</f>
        <v>581.88778927327667</v>
      </c>
      <c r="BJ142" s="59">
        <f t="shared" si="146"/>
        <v>269.67340993773422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60.565561696193818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60.565561696193818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-9.9316821433603781E-14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413.25558401068383</v>
      </c>
      <c r="T143" s="59">
        <f t="shared" si="142"/>
        <v>289.56516326172863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45.59791512113906</v>
      </c>
      <c r="AA143" s="21">
        <f>EXP(-LN(2)/25)*AA142+(1-EXP(-LN(2)/25))/(LN(2)/25)*Calculateur!V143*Calculateur!X143*VLOOKUP('Données projet'!$B$9,Paramètres!$A$1:$I$89,3,0)*0.475*44/12</f>
        <v>13.6748808794104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59.272796000549462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2.2737367544323206E-13</v>
      </c>
      <c r="AJ143" s="13">
        <f>AI143*VLOOKUP('Données projet'!$B$10,Paramètres!$A$1:$I$89,3,0)*VLOOKUP('Données projet'!$B$10,Paramètres!$A$1:$I$89,5,0)</f>
        <v>1.3596945791505279E-13</v>
      </c>
      <c r="AK143" s="13">
        <f t="shared" si="143"/>
        <v>1.9708830566360721E-12</v>
      </c>
      <c r="AL143" s="20">
        <f t="shared" si="112"/>
        <v>3.669434796176543E-12</v>
      </c>
      <c r="AM143" s="59">
        <f t="shared" si="113"/>
        <v>293.33333333333701</v>
      </c>
      <c r="AN143" s="59">
        <f ca="1">AVERAGE(OFFSET($AM$3,0,0,'Données projet'!$E$10+1,1))-AVERAGE(OFFSET($H$3,0,0,'Données projet'!$E$10+1,1))</f>
        <v>287.52077437571728</v>
      </c>
      <c r="AO143" s="59">
        <f t="shared" si="144"/>
        <v>420.95891230839874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9.4099076558392323</v>
      </c>
      <c r="AV143" s="21">
        <f>EXP(-LN(2)/25)*AV142+(1-EXP(-LN(2)/25))/(LN(2)/25)*Calculateur!AQ143*Calculateur!AS143*VLOOKUP('Données projet'!$B$10,Paramètres!$A$1:$I$89,3,0)*0.475*44/12</f>
        <v>8.9357384403927078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18.345646096231938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8.1590000000000025</v>
      </c>
      <c r="BD143" s="12">
        <f>IF('Données projet'!$A$88&gt;35,BD142+BC143-BL142,IF(A143&lt;'Données projet'!$A$88,$BA$205^A143,IF(A143='Données projet'!$A$88,'Données projet'!$B$88,BD142+BC143-BL142)))</f>
        <v>430.59400000000062</v>
      </c>
      <c r="BE143" s="13">
        <f>BD143*VLOOKUP('Données projet'!$B$11,Paramètres!$A$1:$I$89,3,0)*VLOOKUP('Données projet'!$B$11,Paramètres!$A$1:$I$89,5,0)</f>
        <v>389.60145120000055</v>
      </c>
      <c r="BF143" s="13">
        <f t="shared" si="145"/>
        <v>89.665298143968485</v>
      </c>
      <c r="BG143" s="20">
        <f t="shared" si="115"/>
        <v>834.72292177407928</v>
      </c>
      <c r="BH143" s="59">
        <f t="shared" si="116"/>
        <v>1128.0562551074127</v>
      </c>
      <c r="BI143" s="59">
        <f ca="1">AVERAGE(OFFSET($BH$3,0,0,'Données projet'!$E$11+1,1))-AVERAGE(OFFSET($H$3,0,0,'Données projet'!$E$11+1,1))</f>
        <v>581.88778927327667</v>
      </c>
      <c r="BJ143" s="59">
        <f t="shared" si="146"/>
        <v>269.67340993773422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59.377907972676439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59.377907972676439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-9.9316821433603781E-14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413.25558401068383</v>
      </c>
      <c r="T144" s="59">
        <f t="shared" si="142"/>
        <v>289.56516326172863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44.703767817595541</v>
      </c>
      <c r="AA144" s="21">
        <f>EXP(-LN(2)/25)*AA143+(1-EXP(-LN(2)/25))/(LN(2)/25)*Calculateur!V144*Calculateur!X144*VLOOKUP('Données projet'!$B$9,Paramètres!$A$1:$I$89,3,0)*0.475*44/12</f>
        <v>13.300940542632192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58.004708360227731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2.2737367544323206E-13</v>
      </c>
      <c r="AJ144" s="13">
        <f>AI144*VLOOKUP('Données projet'!$B$10,Paramètres!$A$1:$I$89,3,0)*VLOOKUP('Données projet'!$B$10,Paramètres!$A$1:$I$89,5,0)</f>
        <v>1.3596945791505279E-13</v>
      </c>
      <c r="AK144" s="13">
        <f t="shared" si="143"/>
        <v>1.9708830566360721E-12</v>
      </c>
      <c r="AL144" s="20">
        <f t="shared" si="112"/>
        <v>3.669434796176543E-12</v>
      </c>
      <c r="AM144" s="59">
        <f t="shared" si="113"/>
        <v>293.33333333333701</v>
      </c>
      <c r="AN144" s="59">
        <f ca="1">AVERAGE(OFFSET($AM$3,0,0,'Données projet'!$E$10+1,1))-AVERAGE(OFFSET($H$3,0,0,'Données projet'!$E$10+1,1))</f>
        <v>287.52077437571728</v>
      </c>
      <c r="AO144" s="59">
        <f t="shared" si="144"/>
        <v>420.95891230839874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9.2253851061851684</v>
      </c>
      <c r="AV144" s="21">
        <f>EXP(-LN(2)/25)*AV143+(1-EXP(-LN(2)/25))/(LN(2)/25)*Calculateur!AQ144*Calculateur!AS144*VLOOKUP('Données projet'!$B$10,Paramètres!$A$1:$I$89,3,0)*0.475*44/12</f>
        <v>8.6913902028301067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17.916775309015275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8.1590000000000025</v>
      </c>
      <c r="BD144" s="12">
        <f>IF('Données projet'!$A$88&gt;35,BD143+BC144-BL143,IF(A144&lt;'Données projet'!$A$88,$BA$205^A144,IF(A144='Données projet'!$A$88,'Données projet'!$B$88,BD143+BC144-BL143)))</f>
        <v>438.75300000000061</v>
      </c>
      <c r="BE144" s="13">
        <f>BD144*VLOOKUP('Données projet'!$B$11,Paramètres!$A$1:$I$89,3,0)*VLOOKUP('Données projet'!$B$11,Paramètres!$A$1:$I$89,5,0)</f>
        <v>396.98371440000057</v>
      </c>
      <c r="BF144" s="13">
        <f t="shared" si="145"/>
        <v>91.164890478045521</v>
      </c>
      <c r="BG144" s="20">
        <f t="shared" si="115"/>
        <v>850.19215349593026</v>
      </c>
      <c r="BH144" s="59">
        <f t="shared" si="116"/>
        <v>1143.5254868292636</v>
      </c>
      <c r="BI144" s="59">
        <f ca="1">AVERAGE(OFFSET($BH$3,0,0,'Données projet'!$E$11+1,1))-AVERAGE(OFFSET($H$3,0,0,'Données projet'!$E$11+1,1))</f>
        <v>581.88778927327667</v>
      </c>
      <c r="BJ144" s="59">
        <f t="shared" si="146"/>
        <v>269.67340993773422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58.213543414279989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58.213543414279989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-9.9316821433603781E-14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413.25558401068383</v>
      </c>
      <c r="T145" s="59">
        <f t="shared" si="142"/>
        <v>289.56516326172863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43.827154197298505</v>
      </c>
      <c r="AA145" s="21">
        <f>EXP(-LN(2)/25)*AA144+(1-EXP(-LN(2)/25))/(LN(2)/25)*Calculateur!V145*Calculateur!X145*VLOOKUP('Données projet'!$B$9,Paramètres!$A$1:$I$89,3,0)*0.475*44/12</f>
        <v>12.937225624027851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56.764379821326358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2.2737367544323206E-13</v>
      </c>
      <c r="AJ145" s="13">
        <f>AI145*VLOOKUP('Données projet'!$B$10,Paramètres!$A$1:$I$89,3,0)*VLOOKUP('Données projet'!$B$10,Paramètres!$A$1:$I$89,5,0)</f>
        <v>1.3596945791505279E-13</v>
      </c>
      <c r="AK145" s="13">
        <f t="shared" si="143"/>
        <v>1.9708830566360721E-12</v>
      </c>
      <c r="AL145" s="20">
        <f t="shared" si="112"/>
        <v>3.669434796176543E-12</v>
      </c>
      <c r="AM145" s="59">
        <f t="shared" si="113"/>
        <v>293.33333333333701</v>
      </c>
      <c r="AN145" s="59">
        <f ca="1">AVERAGE(OFFSET($AM$3,0,0,'Données projet'!$E$10+1,1))-AVERAGE(OFFSET($H$3,0,0,'Données projet'!$E$10+1,1))</f>
        <v>287.52077437571728</v>
      </c>
      <c r="AO145" s="59">
        <f t="shared" si="144"/>
        <v>420.95891230839874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9.0444809311821786</v>
      </c>
      <c r="AV145" s="21">
        <f>EXP(-LN(2)/25)*AV144+(1-EXP(-LN(2)/25))/(LN(2)/25)*Calculateur!AQ145*Calculateur!AS145*VLOOKUP('Données projet'!$B$10,Paramètres!$A$1:$I$89,3,0)*0.475*44/12</f>
        <v>8.4537236806733702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17.498204611855549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8.1590000000000025</v>
      </c>
      <c r="BD145" s="12">
        <f>IF('Données projet'!$A$88&gt;35,BD144+BC145-BL144,IF(A145&lt;'Données projet'!$A$88,$BA$205^A145,IF(A145='Données projet'!$A$88,'Données projet'!$B$88,BD144+BC145-BL144)))</f>
        <v>446.9120000000006</v>
      </c>
      <c r="BE145" s="13">
        <f>BD145*VLOOKUP('Données projet'!$B$11,Paramètres!$A$1:$I$89,3,0)*VLOOKUP('Données projet'!$B$11,Paramètres!$A$1:$I$89,5,0)</f>
        <v>404.36597760000052</v>
      </c>
      <c r="BF145" s="13">
        <f t="shared" si="145"/>
        <v>92.66124016608812</v>
      </c>
      <c r="BG145" s="20">
        <f t="shared" si="115"/>
        <v>865.655737609271</v>
      </c>
      <c r="BH145" s="59">
        <f t="shared" si="116"/>
        <v>1158.9890709426043</v>
      </c>
      <c r="BI145" s="59">
        <f ca="1">AVERAGE(OFFSET($BH$3,0,0,'Données projet'!$E$11+1,1))-AVERAGE(OFFSET($H$3,0,0,'Données projet'!$E$11+1,1))</f>
        <v>581.88778927327667</v>
      </c>
      <c r="BJ145" s="59">
        <f t="shared" si="146"/>
        <v>269.67340993773422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57.072011334681441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57.072011334681441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-9.9316821433603781E-14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413.25558401068383</v>
      </c>
      <c r="T146" s="59">
        <f t="shared" si="142"/>
        <v>289.56516326172863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42.967730435413984</v>
      </c>
      <c r="AA146" s="21">
        <f>EXP(-LN(2)/25)*AA145+(1-EXP(-LN(2)/25))/(LN(2)/25)*Calculateur!V146*Calculateur!X146*VLOOKUP('Données projet'!$B$9,Paramètres!$A$1:$I$89,3,0)*0.475*44/12</f>
        <v>12.583456508999683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55.551186944413665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2.2737367544323206E-13</v>
      </c>
      <c r="AJ146" s="13">
        <f>AI146*VLOOKUP('Données projet'!$B$10,Paramètres!$A$1:$I$89,3,0)*VLOOKUP('Données projet'!$B$10,Paramètres!$A$1:$I$89,5,0)</f>
        <v>1.3596945791505279E-13</v>
      </c>
      <c r="AK146" s="13">
        <f t="shared" si="143"/>
        <v>1.9708830566360721E-12</v>
      </c>
      <c r="AL146" s="20">
        <f t="shared" si="112"/>
        <v>3.669434796176543E-12</v>
      </c>
      <c r="AM146" s="59">
        <f t="shared" si="113"/>
        <v>293.33333333333701</v>
      </c>
      <c r="AN146" s="59">
        <f ca="1">AVERAGE(OFFSET($AM$3,0,0,'Données projet'!$E$10+1,1))-AVERAGE(OFFSET($H$3,0,0,'Données projet'!$E$10+1,1))</f>
        <v>287.52077437571728</v>
      </c>
      <c r="AO146" s="59">
        <f t="shared" si="144"/>
        <v>420.95891230839874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8.8671241767103464</v>
      </c>
      <c r="AV146" s="21">
        <f>EXP(-LN(2)/25)*AV145+(1-EXP(-LN(2)/25))/(LN(2)/25)*Calculateur!AQ146*Calculateur!AS146*VLOOKUP('Données projet'!$B$10,Paramètres!$A$1:$I$89,3,0)*0.475*44/12</f>
        <v>8.2225561620633503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17.089680338773697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8.1590000000000025</v>
      </c>
      <c r="BD146" s="12">
        <f>IF('Données projet'!$A$88&gt;35,BD145+BC146-BL145,IF(A146&lt;'Données projet'!$A$88,$BA$205^A146,IF(A146='Données projet'!$A$88,'Données projet'!$B$88,BD145+BC146-BL145)))</f>
        <v>455.07100000000059</v>
      </c>
      <c r="BE146" s="13">
        <f>BD146*VLOOKUP('Données projet'!$B$11,Paramètres!$A$1:$I$89,3,0)*VLOOKUP('Données projet'!$B$11,Paramètres!$A$1:$I$89,5,0)</f>
        <v>411.74824080000053</v>
      </c>
      <c r="BF146" s="13">
        <f t="shared" si="145"/>
        <v>94.15441323509782</v>
      </c>
      <c r="BG146" s="20">
        <f t="shared" si="115"/>
        <v>881.11378911112968</v>
      </c>
      <c r="BH146" s="59">
        <f t="shared" si="116"/>
        <v>1174.447122444463</v>
      </c>
      <c r="BI146" s="59">
        <f ca="1">AVERAGE(OFFSET($BH$3,0,0,'Données projet'!$E$11+1,1))-AVERAGE(OFFSET($H$3,0,0,'Données projet'!$E$11+1,1))</f>
        <v>581.88778927327667</v>
      </c>
      <c r="BJ146" s="59">
        <f t="shared" si="146"/>
        <v>269.67340993773422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55.952864002898004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55.952864002898004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-9.9316821433603781E-14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413.25558401068383</v>
      </c>
      <c r="T147" s="59">
        <f t="shared" si="142"/>
        <v>289.56516326172863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42.125159449303283</v>
      </c>
      <c r="AA147" s="21">
        <f>EXP(-LN(2)/25)*AA146+(1-EXP(-LN(2)/25))/(LN(2)/25)*Calculateur!V147*Calculateur!X147*VLOOKUP('Données projet'!$B$9,Paramètres!$A$1:$I$89,3,0)*0.475*44/12</f>
        <v>12.239361229025869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54.36452067832915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2.2737367544323206E-13</v>
      </c>
      <c r="AJ147" s="13">
        <f>AI147*VLOOKUP('Données projet'!$B$10,Paramètres!$A$1:$I$89,3,0)*VLOOKUP('Données projet'!$B$10,Paramètres!$A$1:$I$89,5,0)</f>
        <v>1.3596945791505279E-13</v>
      </c>
      <c r="AK147" s="13">
        <f t="shared" si="143"/>
        <v>1.9708830566360721E-12</v>
      </c>
      <c r="AL147" s="20">
        <f t="shared" si="112"/>
        <v>3.669434796176543E-12</v>
      </c>
      <c r="AM147" s="59">
        <f t="shared" si="113"/>
        <v>293.33333333333701</v>
      </c>
      <c r="AN147" s="59">
        <f ca="1">AVERAGE(OFFSET($AM$3,0,0,'Données projet'!$E$10+1,1))-AVERAGE(OFFSET($H$3,0,0,'Données projet'!$E$10+1,1))</f>
        <v>287.52077437571728</v>
      </c>
      <c r="AO147" s="59">
        <f t="shared" si="144"/>
        <v>420.95891230839874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8.6932452800167681</v>
      </c>
      <c r="AV147" s="21">
        <f>EXP(-LN(2)/25)*AV146+(1-EXP(-LN(2)/25))/(LN(2)/25)*Calculateur!AQ147*Calculateur!AS147*VLOOKUP('Données projet'!$B$10,Paramètres!$A$1:$I$89,3,0)*0.475*44/12</f>
        <v>7.997709931406292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16.690955211423059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463.23</v>
      </c>
      <c r="BB147" s="12">
        <f>VLOOKUP(A147,'Données projet'!$A$87:$I$107,9,0)</f>
        <v>8.1590000000000025</v>
      </c>
      <c r="BC147" s="12">
        <f t="array" ref="BC147">INDEX(BB:BB,MIN(IF(ISNUMBER(BB147:BB343),ROW(BB147:BB343),"")))</f>
        <v>8.1590000000000025</v>
      </c>
      <c r="BD147" s="12">
        <f>IF('Données projet'!$A$88&gt;35,BD146+BC147-BL146,IF(A147&lt;'Données projet'!$A$88,$BA$205^A147,IF(A147='Données projet'!$A$88,'Données projet'!$B$88,BD146+BC147-BL146)))</f>
        <v>463.23000000000059</v>
      </c>
      <c r="BE147" s="13">
        <f>BD147*VLOOKUP('Données projet'!$B$11,Paramètres!$A$1:$I$89,3,0)*VLOOKUP('Données projet'!$B$11,Paramètres!$A$1:$I$89,5,0)</f>
        <v>419.13050400000049</v>
      </c>
      <c r="BF147" s="13">
        <f t="shared" si="145"/>
        <v>95.644473208887277</v>
      </c>
      <c r="BG147" s="20">
        <f t="shared" si="115"/>
        <v>896.56641863881293</v>
      </c>
      <c r="BH147" s="59">
        <f t="shared" si="116"/>
        <v>1189.8997519721463</v>
      </c>
      <c r="BI147" s="59">
        <f ca="1">AVERAGE(OFFSET($BH$3,0,0,'Données projet'!$E$11+1,1))-AVERAGE(OFFSET($H$3,0,0,'Données projet'!$E$11+1,1))</f>
        <v>581.88778927327667</v>
      </c>
      <c r="BJ147" s="59">
        <f t="shared" si="146"/>
        <v>269.67340993773422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56.01</v>
      </c>
      <c r="BM147" s="16">
        <f>IF(ISNA(VLOOKUP(A147,'Données projet'!$A$87:$I$107,5,0)),0%,VLOOKUP(A147,'Données projet'!$A$87:$I$107,5,0)*VLOOKUP('Données projet'!$B$11,Paramètres!$A$1:$I$89,7,0))</f>
        <v>0.25800000000000001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69.309560312196439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69.309560312196439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-9.9316821433603781E-14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413.25558401068383</v>
      </c>
      <c r="T148" s="59">
        <f t="shared" si="142"/>
        <v>289.56516326172863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41.299110766312658</v>
      </c>
      <c r="AA148" s="21">
        <f>EXP(-LN(2)/25)*AA147+(1-EXP(-LN(2)/25))/(LN(2)/25)*Calculateur!V148*Calculateur!X148*VLOOKUP('Données projet'!$B$9,Paramètres!$A$1:$I$89,3,0)*0.475*44/12</f>
        <v>11.904675252578123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53.203786018890781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2.2737367544323206E-13</v>
      </c>
      <c r="AJ148" s="13">
        <f>AI148*VLOOKUP('Données projet'!$B$10,Paramètres!$A$1:$I$89,3,0)*VLOOKUP('Données projet'!$B$10,Paramètres!$A$1:$I$89,5,0)</f>
        <v>1.3596945791505279E-13</v>
      </c>
      <c r="AK148" s="13">
        <f t="shared" si="143"/>
        <v>1.9708830566360721E-12</v>
      </c>
      <c r="AL148" s="20">
        <f t="shared" si="112"/>
        <v>3.669434796176543E-12</v>
      </c>
      <c r="AM148" s="59">
        <f t="shared" si="113"/>
        <v>293.33333333333701</v>
      </c>
      <c r="AN148" s="59">
        <f ca="1">AVERAGE(OFFSET($AM$3,0,0,'Données projet'!$E$10+1,1))-AVERAGE(OFFSET($H$3,0,0,'Données projet'!$E$10+1,1))</f>
        <v>287.52077437571728</v>
      </c>
      <c r="AO148" s="59">
        <f t="shared" si="144"/>
        <v>420.95891230839874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8.5227760424316958</v>
      </c>
      <c r="AV148" s="21">
        <f>EXP(-LN(2)/25)*AV147+(1-EXP(-LN(2)/25))/(LN(2)/25)*Calculateur!AQ148*Calculateur!AS148*VLOOKUP('Données projet'!$B$10,Paramètres!$A$1:$I$89,3,0)*0.475*44/12</f>
        <v>7.7790121327507009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16.301788175182395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8.3249999999999993</v>
      </c>
      <c r="BD148" s="12">
        <f>IF('Données projet'!$A$88&gt;35,BD147+BC148-BL147,IF(A148&lt;'Données projet'!$A$88,$BA$205^A148,IF(A148='Données projet'!$A$88,'Données projet'!$B$88,BD147+BC148-BL147)))</f>
        <v>415.54500000000058</v>
      </c>
      <c r="BE148" s="13">
        <f>BD148*VLOOKUP('Données projet'!$B$11,Paramètres!$A$1:$I$89,3,0)*VLOOKUP('Données projet'!$B$11,Paramètres!$A$1:$I$89,5,0)</f>
        <v>375.98511600000052</v>
      </c>
      <c r="BF148" s="13">
        <f t="shared" si="145"/>
        <v>86.890611547517153</v>
      </c>
      <c r="BG148" s="20">
        <f t="shared" si="115"/>
        <v>806.17522547859323</v>
      </c>
      <c r="BH148" s="59">
        <f t="shared" si="116"/>
        <v>1099.5085588119266</v>
      </c>
      <c r="BI148" s="59">
        <f ca="1">AVERAGE(OFFSET($BH$3,0,0,'Données projet'!$E$11+1,1))-AVERAGE(OFFSET($H$3,0,0,'Données projet'!$E$11+1,1))</f>
        <v>581.88778927327667</v>
      </c>
      <c r="BJ148" s="59">
        <f t="shared" si="146"/>
        <v>269.67340993773422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67.950442109131785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67.950442109131785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-9.9316821433603781E-14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413.25558401068383</v>
      </c>
      <c r="T149" s="59">
        <f t="shared" si="142"/>
        <v>289.56516326172863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40.489260394155529</v>
      </c>
      <c r="AA149" s="21">
        <f>EXP(-LN(2)/25)*AA148+(1-EXP(-LN(2)/25))/(LN(2)/25)*Calculateur!V149*Calculateur!X149*VLOOKUP('Données projet'!$B$9,Paramètres!$A$1:$I$89,3,0)*0.475*44/12</f>
        <v>11.57914128175671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52.068401675912241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2.2737367544323206E-13</v>
      </c>
      <c r="AJ149" s="13">
        <f>AI149*VLOOKUP('Données projet'!$B$10,Paramètres!$A$1:$I$89,3,0)*VLOOKUP('Données projet'!$B$10,Paramètres!$A$1:$I$89,5,0)</f>
        <v>1.3596945791505279E-13</v>
      </c>
      <c r="AK149" s="13">
        <f t="shared" si="143"/>
        <v>1.9708830566360721E-12</v>
      </c>
      <c r="AL149" s="20">
        <f t="shared" si="112"/>
        <v>3.669434796176543E-12</v>
      </c>
      <c r="AM149" s="59">
        <f t="shared" si="113"/>
        <v>293.33333333333701</v>
      </c>
      <c r="AN149" s="59">
        <f ca="1">AVERAGE(OFFSET($AM$3,0,0,'Données projet'!$E$10+1,1))-AVERAGE(OFFSET($H$3,0,0,'Données projet'!$E$10+1,1))</f>
        <v>287.52077437571728</v>
      </c>
      <c r="AO149" s="59">
        <f t="shared" si="144"/>
        <v>420.95891230839874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8.3556496026196996</v>
      </c>
      <c r="AV149" s="21">
        <f>EXP(-LN(2)/25)*AV148+(1-EXP(-LN(2)/25))/(LN(2)/25)*Calculateur!AQ149*Calculateur!AS149*VLOOKUP('Données projet'!$B$10,Paramètres!$A$1:$I$89,3,0)*0.475*44/12</f>
        <v>7.5662946369001638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15.921944239519863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8.3249999999999993</v>
      </c>
      <c r="BD149" s="12">
        <f>IF('Données projet'!$A$88&gt;35,BD148+BC149-BL148,IF(A149&lt;'Données projet'!$A$88,$BA$205^A149,IF(A149='Données projet'!$A$88,'Données projet'!$B$88,BD148+BC149-BL148)))</f>
        <v>423.87000000000057</v>
      </c>
      <c r="BE149" s="13">
        <f>BD149*VLOOKUP('Données projet'!$B$11,Paramètres!$A$1:$I$89,3,0)*VLOOKUP('Données projet'!$B$11,Paramètres!$A$1:$I$89,5,0)</f>
        <v>383.51757600000053</v>
      </c>
      <c r="BF149" s="13">
        <f t="shared" si="145"/>
        <v>88.426967368766455</v>
      </c>
      <c r="BG149" s="20">
        <f t="shared" si="115"/>
        <v>821.97007970060247</v>
      </c>
      <c r="BH149" s="59">
        <f t="shared" si="116"/>
        <v>1115.3034130339358</v>
      </c>
      <c r="BI149" s="59">
        <f ca="1">AVERAGE(OFFSET($BH$3,0,0,'Données projet'!$E$11+1,1))-AVERAGE(OFFSET($H$3,0,0,'Données projet'!$E$11+1,1))</f>
        <v>581.88778927327667</v>
      </c>
      <c r="BJ149" s="59">
        <f t="shared" si="146"/>
        <v>269.67340993773422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66.617975385048979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66.617975385048979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-9.9316821433603781E-14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413.25558401068383</v>
      </c>
      <c r="T150" s="59">
        <f t="shared" si="142"/>
        <v>289.56516326172863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39.695290693836455</v>
      </c>
      <c r="AA150" s="21">
        <f>EXP(-LN(2)/25)*AA149+(1-EXP(-LN(2)/25))/(LN(2)/25)*Calculateur!V150*Calculateur!X150*VLOOKUP('Données projet'!$B$9,Paramètres!$A$1:$I$89,3,0)*0.475*44/12</f>
        <v>11.262509054486497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50.957799748322955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2.2737367544323206E-13</v>
      </c>
      <c r="AJ150" s="13">
        <f>AI150*VLOOKUP('Données projet'!$B$10,Paramètres!$A$1:$I$89,3,0)*VLOOKUP('Données projet'!$B$10,Paramètres!$A$1:$I$89,5,0)</f>
        <v>1.3596945791505279E-13</v>
      </c>
      <c r="AK150" s="13">
        <f t="shared" si="143"/>
        <v>1.9708830566360721E-12</v>
      </c>
      <c r="AL150" s="20">
        <f t="shared" si="112"/>
        <v>3.669434796176543E-12</v>
      </c>
      <c r="AM150" s="59">
        <f t="shared" si="113"/>
        <v>293.33333333333701</v>
      </c>
      <c r="AN150" s="59">
        <f ca="1">AVERAGE(OFFSET($AM$3,0,0,'Données projet'!$E$10+1,1))-AVERAGE(OFFSET($H$3,0,0,'Données projet'!$E$10+1,1))</f>
        <v>287.52077437571728</v>
      </c>
      <c r="AO150" s="59">
        <f t="shared" si="144"/>
        <v>420.95891230839874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8.1918004103553521</v>
      </c>
      <c r="AV150" s="21">
        <f>EXP(-LN(2)/25)*AV149+(1-EXP(-LN(2)/25))/(LN(2)/25)*Calculateur!AQ150*Calculateur!AS150*VLOOKUP('Données projet'!$B$10,Paramètres!$A$1:$I$89,3,0)*0.475*44/12</f>
        <v>7.3593939121599865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15.55119432251534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8.3249999999999993</v>
      </c>
      <c r="BD150" s="12">
        <f>IF('Données projet'!$A$88&gt;35,BD149+BC150-BL149,IF(A150&lt;'Données projet'!$A$88,$BA$205^A150,IF(A150='Données projet'!$A$88,'Données projet'!$B$88,BD149+BC150-BL149)))</f>
        <v>432.19500000000056</v>
      </c>
      <c r="BE150" s="13">
        <f>BD150*VLOOKUP('Données projet'!$B$11,Paramètres!$A$1:$I$89,3,0)*VLOOKUP('Données projet'!$B$11,Paramètres!$A$1:$I$89,5,0)</f>
        <v>391.05003600000049</v>
      </c>
      <c r="BF150" s="13">
        <f t="shared" si="145"/>
        <v>89.959814624965674</v>
      </c>
      <c r="BG150" s="20">
        <f t="shared" si="115"/>
        <v>837.75882317181595</v>
      </c>
      <c r="BH150" s="59">
        <f t="shared" si="116"/>
        <v>1131.0921565051492</v>
      </c>
      <c r="BI150" s="59">
        <f ca="1">AVERAGE(OFFSET($BH$3,0,0,'Données projet'!$E$11+1,1))-AVERAGE(OFFSET($H$3,0,0,'Données projet'!$E$11+1,1))</f>
        <v>581.88778927327667</v>
      </c>
      <c r="BJ150" s="59">
        <f t="shared" si="146"/>
        <v>269.67340993773422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65.311637520700984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65.311637520700984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-9.9316821433603781E-14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413.25558401068383</v>
      </c>
      <c r="T151" s="59">
        <f t="shared" si="142"/>
        <v>289.56516326172863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38.916890255066932</v>
      </c>
      <c r="AA151" s="21">
        <f>EXP(-LN(2)/25)*AA150+(1-EXP(-LN(2)/25))/(LN(2)/25)*Calculateur!V151*Calculateur!X151*VLOOKUP('Données projet'!$B$9,Paramètres!$A$1:$I$89,3,0)*0.475*44/12</f>
        <v>10.954535152121952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49.87142540718888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2.2737367544323206E-13</v>
      </c>
      <c r="AJ151" s="13">
        <f>AI151*VLOOKUP('Données projet'!$B$10,Paramètres!$A$1:$I$89,3,0)*VLOOKUP('Données projet'!$B$10,Paramètres!$A$1:$I$89,5,0)</f>
        <v>1.3596945791505279E-13</v>
      </c>
      <c r="AK151" s="13">
        <f t="shared" si="143"/>
        <v>1.9708830566360721E-12</v>
      </c>
      <c r="AL151" s="20">
        <f t="shared" si="112"/>
        <v>3.669434796176543E-12</v>
      </c>
      <c r="AM151" s="59">
        <f t="shared" si="113"/>
        <v>293.33333333333701</v>
      </c>
      <c r="AN151" s="59">
        <f ca="1">AVERAGE(OFFSET($AM$3,0,0,'Données projet'!$E$10+1,1))-AVERAGE(OFFSET($H$3,0,0,'Données projet'!$E$10+1,1))</f>
        <v>287.52077437571728</v>
      </c>
      <c r="AO151" s="59">
        <f t="shared" si="144"/>
        <v>420.95891230839874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8.031164200813171</v>
      </c>
      <c r="AV151" s="21">
        <f>EXP(-LN(2)/25)*AV150+(1-EXP(-LN(2)/25))/(LN(2)/25)*Calculateur!AQ151*Calculateur!AS151*VLOOKUP('Données projet'!$B$10,Paramètres!$A$1:$I$89,3,0)*0.475*44/12</f>
        <v>7.158150898618266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15.189315099431436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8.3249999999999993</v>
      </c>
      <c r="BD151" s="12">
        <f>IF('Données projet'!$A$88&gt;35,BD150+BC151-BL150,IF(A151&lt;'Données projet'!$A$88,$BA$205^A151,IF(A151='Données projet'!$A$88,'Données projet'!$B$88,BD150+BC151-BL150)))</f>
        <v>440.52000000000055</v>
      </c>
      <c r="BE151" s="13">
        <f>BD151*VLOOKUP('Données projet'!$B$11,Paramètres!$A$1:$I$89,3,0)*VLOOKUP('Données projet'!$B$11,Paramètres!$A$1:$I$89,5,0)</f>
        <v>398.5824960000005</v>
      </c>
      <c r="BF151" s="13">
        <f t="shared" si="145"/>
        <v>91.489228690064536</v>
      </c>
      <c r="BG151" s="20">
        <f t="shared" si="115"/>
        <v>853.54158716852999</v>
      </c>
      <c r="BH151" s="59">
        <f t="shared" si="116"/>
        <v>1146.8749205018632</v>
      </c>
      <c r="BI151" s="59">
        <f ca="1">AVERAGE(OFFSET($BH$3,0,0,'Données projet'!$E$11+1,1))-AVERAGE(OFFSET($H$3,0,0,'Données projet'!$E$11+1,1))</f>
        <v>581.88778927327667</v>
      </c>
      <c r="BJ151" s="59">
        <f t="shared" si="146"/>
        <v>269.67340993773422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64.030916145085428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64.030916145085428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-9.9316821433603781E-14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413.25558401068383</v>
      </c>
      <c r="T152" s="59">
        <f t="shared" si="142"/>
        <v>289.56516326172863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38.153753774124297</v>
      </c>
      <c r="AA152" s="21">
        <f>EXP(-LN(2)/25)*AA151+(1-EXP(-LN(2)/25))/(LN(2)/25)*Calculateur!V152*Calculateur!X152*VLOOKUP('Données projet'!$B$9,Paramètres!$A$1:$I$89,3,0)*0.475*44/12</f>
        <v>10.654982812313211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48.808736586437504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2.2737367544323206E-13</v>
      </c>
      <c r="AJ152" s="13">
        <f>AI152*VLOOKUP('Données projet'!$B$10,Paramètres!$A$1:$I$89,3,0)*VLOOKUP('Données projet'!$B$10,Paramètres!$A$1:$I$89,5,0)</f>
        <v>1.3596945791505279E-13</v>
      </c>
      <c r="AK152" s="13">
        <f t="shared" si="143"/>
        <v>1.9708830566360721E-12</v>
      </c>
      <c r="AL152" s="20">
        <f t="shared" si="112"/>
        <v>3.669434796176543E-12</v>
      </c>
      <c r="AM152" s="59">
        <f t="shared" si="113"/>
        <v>293.33333333333701</v>
      </c>
      <c r="AN152" s="59">
        <f ca="1">AVERAGE(OFFSET($AM$3,0,0,'Données projet'!$E$10+1,1))-AVERAGE(OFFSET($H$3,0,0,'Données projet'!$E$10+1,1))</f>
        <v>287.52077437571728</v>
      </c>
      <c r="AO152" s="59">
        <f t="shared" si="144"/>
        <v>420.95891230839874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7.8736779693616983</v>
      </c>
      <c r="AV152" s="21">
        <f>EXP(-LN(2)/25)*AV151+(1-EXP(-LN(2)/25))/(LN(2)/25)*Calculateur!AQ152*Calculateur!AS152*VLOOKUP('Données projet'!$B$10,Paramètres!$A$1:$I$89,3,0)*0.475*44/12</f>
        <v>6.9624108858647542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14.836088855226453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8.3249999999999993</v>
      </c>
      <c r="BD152" s="12">
        <f>IF('Données projet'!$A$88&gt;35,BD151+BC152-BL151,IF(A152&lt;'Données projet'!$A$88,$BA$205^A152,IF(A152='Données projet'!$A$88,'Données projet'!$B$88,BD151+BC152-BL151)))</f>
        <v>448.84500000000054</v>
      </c>
      <c r="BE152" s="13">
        <f>BD152*VLOOKUP('Données projet'!$B$11,Paramètres!$A$1:$I$89,3,0)*VLOOKUP('Données projet'!$B$11,Paramètres!$A$1:$I$89,5,0)</f>
        <v>406.11495600000046</v>
      </c>
      <c r="BF152" s="13">
        <f t="shared" si="145"/>
        <v>93.015281926133852</v>
      </c>
      <c r="BG152" s="20">
        <f t="shared" si="115"/>
        <v>869.31849772135058</v>
      </c>
      <c r="BH152" s="59">
        <f t="shared" si="116"/>
        <v>1162.651831054684</v>
      </c>
      <c r="BI152" s="59">
        <f ca="1">AVERAGE(OFFSET($BH$3,0,0,'Données projet'!$E$11+1,1))-AVERAGE(OFFSET($H$3,0,0,'Données projet'!$E$11+1,1))</f>
        <v>581.88778927327667</v>
      </c>
      <c r="BJ152" s="59">
        <f t="shared" si="146"/>
        <v>269.67340993773422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62.775308934482787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62.775308934482787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-9.9316821433603781E-14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413.25558401068383</v>
      </c>
      <c r="T153" s="59">
        <f t="shared" si="142"/>
        <v>289.56516326172863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37.405581934105655</v>
      </c>
      <c r="AA153" s="21">
        <f>EXP(-LN(2)/25)*AA152+(1-EXP(-LN(2)/25))/(LN(2)/25)*Calculateur!V153*Calculateur!X153*VLOOKUP('Données projet'!$B$9,Paramètres!$A$1:$I$89,3,0)*0.475*44/12</f>
        <v>10.363621746989311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47.769203681094965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2.2737367544323206E-13</v>
      </c>
      <c r="AJ153" s="13">
        <f>AI153*VLOOKUP('Données projet'!$B$10,Paramètres!$A$1:$I$89,3,0)*VLOOKUP('Données projet'!$B$10,Paramètres!$A$1:$I$89,5,0)</f>
        <v>1.3596945791505279E-13</v>
      </c>
      <c r="AK153" s="13">
        <f t="shared" si="143"/>
        <v>1.9708830566360721E-12</v>
      </c>
      <c r="AL153" s="20">
        <f t="shared" si="112"/>
        <v>3.669434796176543E-12</v>
      </c>
      <c r="AM153" s="59">
        <f t="shared" si="113"/>
        <v>293.33333333333701</v>
      </c>
      <c r="AN153" s="59">
        <f ca="1">AVERAGE(OFFSET($AM$3,0,0,'Données projet'!$E$10+1,1))-AVERAGE(OFFSET($H$3,0,0,'Données projet'!$E$10+1,1))</f>
        <v>287.52077437571728</v>
      </c>
      <c r="AO153" s="59">
        <f t="shared" si="144"/>
        <v>420.95891230839874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7.7192799468518718</v>
      </c>
      <c r="AV153" s="21">
        <f>EXP(-LN(2)/25)*AV152+(1-EXP(-LN(2)/25))/(LN(2)/25)*Calculateur!AQ153*Calculateur!AS153*VLOOKUP('Données projet'!$B$10,Paramètres!$A$1:$I$89,3,0)*0.475*44/12</f>
        <v>6.7720233940535071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14.491303340905379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8.3249999999999993</v>
      </c>
      <c r="BD153" s="12">
        <f>IF('Données projet'!$A$88&gt;35,BD152+BC153-BL152,IF(A153&lt;'Données projet'!$A$88,$BA$205^A153,IF(A153='Données projet'!$A$88,'Données projet'!$B$88,BD152+BC153-BL152)))</f>
        <v>457.17000000000053</v>
      </c>
      <c r="BE153" s="13">
        <f>BD153*VLOOKUP('Données projet'!$B$11,Paramètres!$A$1:$I$89,3,0)*VLOOKUP('Données projet'!$B$11,Paramètres!$A$1:$I$89,5,0)</f>
        <v>413.64741600000042</v>
      </c>
      <c r="BF153" s="13">
        <f t="shared" si="145"/>
        <v>94.538043857309361</v>
      </c>
      <c r="BG153" s="20">
        <f t="shared" si="115"/>
        <v>885.0896759181478</v>
      </c>
      <c r="BH153" s="59">
        <f t="shared" si="116"/>
        <v>1178.4230092514811</v>
      </c>
      <c r="BI153" s="59">
        <f ca="1">AVERAGE(OFFSET($BH$3,0,0,'Données projet'!$E$11+1,1))-AVERAGE(OFFSET($H$3,0,0,'Données projet'!$E$11+1,1))</f>
        <v>581.88778927327667</v>
      </c>
      <c r="BJ153" s="59">
        <f t="shared" si="146"/>
        <v>269.67340993773422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61.544323415435287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61.544323415435287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-9.9316821433603781E-14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413.25558401068383</v>
      </c>
      <c r="T154" s="59">
        <f t="shared" si="142"/>
        <v>289.56516326172863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36.672081287530013</v>
      </c>
      <c r="AA154" s="21">
        <f>EXP(-LN(2)/25)*AA153+(1-EXP(-LN(2)/25))/(LN(2)/25)*Calculateur!V154*Calculateur!X154*VLOOKUP('Données projet'!$B$9,Paramètres!$A$1:$I$89,3,0)*0.475*44/12</f>
        <v>10.080227965318707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46.752309252848718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2.2737367544323206E-13</v>
      </c>
      <c r="AJ154" s="13">
        <f>AI154*VLOOKUP('Données projet'!$B$10,Paramètres!$A$1:$I$89,3,0)*VLOOKUP('Données projet'!$B$10,Paramètres!$A$1:$I$89,5,0)</f>
        <v>1.3596945791505279E-13</v>
      </c>
      <c r="AK154" s="13">
        <f t="shared" ref="AK154:AK203" si="164">EXP(-1.0587+0.8836*LN(AJ154)+0.284)</f>
        <v>1.9708830566360721E-12</v>
      </c>
      <c r="AL154" s="20">
        <f t="shared" ref="AL154:AL203" si="165">(AJ154+AK154)*0.475*44/12</f>
        <v>3.669434796176543E-12</v>
      </c>
      <c r="AM154" s="59">
        <f t="shared" si="113"/>
        <v>293.33333333333701</v>
      </c>
      <c r="AN154" s="59">
        <f ca="1">AVERAGE(OFFSET($AM$3,0,0,'Données projet'!$E$10+1,1))-AVERAGE(OFFSET($H$3,0,0,'Données projet'!$E$10+1,1))</f>
        <v>287.52077437571728</v>
      </c>
      <c r="AO154" s="59">
        <f t="shared" si="144"/>
        <v>420.95891230839874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7.5679095753899688</v>
      </c>
      <c r="AV154" s="21">
        <f>EXP(-LN(2)/25)*AV153+(1-EXP(-LN(2)/25))/(LN(2)/25)*Calculateur!AQ154*Calculateur!AS154*VLOOKUP('Données projet'!$B$10,Paramètres!$A$1:$I$89,3,0)*0.475*44/12</f>
        <v>6.586842058217881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14.15475163360785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8.3249999999999993</v>
      </c>
      <c r="BD154" s="12">
        <f>IF('Données projet'!$A$88&gt;35,BD153+BC154-BL153,IF(A154&lt;'Données projet'!$A$88,$BA$205^A154,IF(A154='Données projet'!$A$88,'Données projet'!$B$88,BD153+BC154-BL153)))</f>
        <v>465.49500000000052</v>
      </c>
      <c r="BE154" s="13">
        <f>BD154*VLOOKUP('Données projet'!$B$11,Paramètres!$A$1:$I$89,3,0)*VLOOKUP('Données projet'!$B$11,Paramètres!$A$1:$I$89,5,0)</f>
        <v>421.17987600000043</v>
      </c>
      <c r="BF154" s="13">
        <f t="shared" ref="BF154:BF203" si="167">EXP(-1.0587+0.8836*LN(BE154)+0.284)</f>
        <v>96.057581330707137</v>
      </c>
      <c r="BG154" s="20">
        <f t="shared" ref="BG154:BG203" si="168">(BE154+BF154)*0.475*44/12</f>
        <v>900.85523818431557</v>
      </c>
      <c r="BH154" s="59">
        <f t="shared" si="116"/>
        <v>1194.1885715176488</v>
      </c>
      <c r="BI154" s="59">
        <f ca="1">AVERAGE(OFFSET($BH$3,0,0,'Données projet'!$E$11+1,1))-AVERAGE(OFFSET($H$3,0,0,'Données projet'!$E$11+1,1))</f>
        <v>581.88778927327667</v>
      </c>
      <c r="BJ154" s="59">
        <f t="shared" si="146"/>
        <v>269.67340993773422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60.33747677158928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60.33747677158928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-9.9316821433603781E-14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413.25558401068383</v>
      </c>
      <c r="T155" s="59">
        <f t="shared" si="142"/>
        <v>289.56516326172863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35.952964141242504</v>
      </c>
      <c r="AA155" s="21">
        <f>EXP(-LN(2)/25)*AA154+(1-EXP(-LN(2)/25))/(LN(2)/25)*Calculateur!V155*Calculateur!X155*VLOOKUP('Données projet'!$B$9,Paramètres!$A$1:$I$89,3,0)*0.475*44/12</f>
        <v>9.8045836015109167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45.757547742753417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2.2737367544323206E-13</v>
      </c>
      <c r="AJ155" s="13">
        <f>AI155*VLOOKUP('Données projet'!$B$10,Paramètres!$A$1:$I$89,3,0)*VLOOKUP('Données projet'!$B$10,Paramètres!$A$1:$I$89,5,0)</f>
        <v>1.3596945791505279E-13</v>
      </c>
      <c r="AK155" s="13">
        <f t="shared" si="164"/>
        <v>1.9708830566360721E-12</v>
      </c>
      <c r="AL155" s="20">
        <f t="shared" si="165"/>
        <v>3.669434796176543E-12</v>
      </c>
      <c r="AM155" s="59">
        <f t="shared" si="113"/>
        <v>293.33333333333701</v>
      </c>
      <c r="AN155" s="59">
        <f ca="1">AVERAGE(OFFSET($AM$3,0,0,'Données projet'!$E$10+1,1))-AVERAGE(OFFSET($H$3,0,0,'Données projet'!$E$10+1,1))</f>
        <v>287.52077437571728</v>
      </c>
      <c r="AO155" s="59">
        <f t="shared" si="144"/>
        <v>420.95891230839874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7.4195074845856235</v>
      </c>
      <c r="AV155" s="21">
        <f>EXP(-LN(2)/25)*AV154+(1-EXP(-LN(2)/25))/(LN(2)/25)*Calculateur!AQ155*Calculateur!AS155*VLOOKUP('Données projet'!$B$10,Paramètres!$A$1:$I$89,3,0)*0.475*44/12</f>
        <v>6.4067245157489436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13.826232000334567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8.3249999999999993</v>
      </c>
      <c r="BD155" s="12">
        <f>IF('Données projet'!$A$88&gt;35,BD154+BC155-BL154,IF(A155&lt;'Données projet'!$A$88,$BA$205^A155,IF(A155='Données projet'!$A$88,'Données projet'!$B$88,BD154+BC155-BL154)))</f>
        <v>473.8200000000005</v>
      </c>
      <c r="BE155" s="13">
        <f>BD155*VLOOKUP('Données projet'!$B$11,Paramètres!$A$1:$I$89,3,0)*VLOOKUP('Données projet'!$B$11,Paramètres!$A$1:$I$89,5,0)</f>
        <v>428.71233600000051</v>
      </c>
      <c r="BF155" s="13">
        <f t="shared" si="167"/>
        <v>97.57395866550209</v>
      </c>
      <c r="BG155" s="20">
        <f t="shared" si="168"/>
        <v>916.61529654241701</v>
      </c>
      <c r="BH155" s="59">
        <f t="shared" si="116"/>
        <v>1209.9486298757504</v>
      </c>
      <c r="BI155" s="59">
        <f ca="1">AVERAGE(OFFSET($BH$3,0,0,'Données projet'!$E$11+1,1))-AVERAGE(OFFSET($H$3,0,0,'Données projet'!$E$11+1,1))</f>
        <v>581.88778927327667</v>
      </c>
      <c r="BJ155" s="59">
        <f t="shared" si="146"/>
        <v>269.67340993773422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59.154295654325324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59.154295654325324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-9.9316821433603781E-14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413.25558401068383</v>
      </c>
      <c r="T156" s="59">
        <f t="shared" si="142"/>
        <v>289.56516326172863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35.247948443575538</v>
      </c>
      <c r="AA156" s="21">
        <f>EXP(-LN(2)/25)*AA155+(1-EXP(-LN(2)/25))/(LN(2)/25)*Calculateur!V156*Calculateur!X156*VLOOKUP('Données projet'!$B$9,Paramètres!$A$1:$I$89,3,0)*0.475*44/12</f>
        <v>9.536476747326958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44.784425190902496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2.2737367544323206E-13</v>
      </c>
      <c r="AJ156" s="13">
        <f>AI156*VLOOKUP('Données projet'!$B$10,Paramètres!$A$1:$I$89,3,0)*VLOOKUP('Données projet'!$B$10,Paramètres!$A$1:$I$89,5,0)</f>
        <v>1.3596945791505279E-13</v>
      </c>
      <c r="AK156" s="13">
        <f t="shared" si="164"/>
        <v>1.9708830566360721E-12</v>
      </c>
      <c r="AL156" s="20">
        <f t="shared" si="165"/>
        <v>3.669434796176543E-12</v>
      </c>
      <c r="AM156" s="59">
        <f t="shared" si="113"/>
        <v>293.33333333333701</v>
      </c>
      <c r="AN156" s="59">
        <f ca="1">AVERAGE(OFFSET($AM$3,0,0,'Données projet'!$E$10+1,1))-AVERAGE(OFFSET($H$3,0,0,'Données projet'!$E$10+1,1))</f>
        <v>287.52077437571728</v>
      </c>
      <c r="AO156" s="59">
        <f t="shared" si="144"/>
        <v>420.95891230839874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7.2740154682656133</v>
      </c>
      <c r="AV156" s="21">
        <f>EXP(-LN(2)/25)*AV155+(1-EXP(-LN(2)/25))/(LN(2)/25)*Calculateur!AQ156*Calculateur!AS156*VLOOKUP('Données projet'!$B$10,Paramètres!$A$1:$I$89,3,0)*0.475*44/12</f>
        <v>6.2315322969507889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13.505547765216402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8.3249999999999993</v>
      </c>
      <c r="BD156" s="12">
        <f>IF('Données projet'!$A$88&gt;35,BD155+BC156-BL155,IF(A156&lt;'Données projet'!$A$88,$BA$205^A156,IF(A156='Données projet'!$A$88,'Données projet'!$B$88,BD155+BC156-BL155)))</f>
        <v>482.14500000000049</v>
      </c>
      <c r="BE156" s="13">
        <f>BD156*VLOOKUP('Données projet'!$B$11,Paramètres!$A$1:$I$89,3,0)*VLOOKUP('Données projet'!$B$11,Paramètres!$A$1:$I$89,5,0)</f>
        <v>436.24479600000041</v>
      </c>
      <c r="BF156" s="13">
        <f t="shared" si="167"/>
        <v>99.087237791231857</v>
      </c>
      <c r="BG156" s="20">
        <f t="shared" si="168"/>
        <v>932.36995885306271</v>
      </c>
      <c r="BH156" s="59">
        <f t="shared" si="116"/>
        <v>1225.7032921863961</v>
      </c>
      <c r="BI156" s="59">
        <f ca="1">AVERAGE(OFFSET($BH$3,0,0,'Données projet'!$E$11+1,1))-AVERAGE(OFFSET($H$3,0,0,'Données projet'!$E$11+1,1))</f>
        <v>581.88778927327667</v>
      </c>
      <c r="BJ156" s="59">
        <f t="shared" si="146"/>
        <v>269.67340993773422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57.994315997101694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57.994315997101694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-9.9316821433603781E-14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413.25558401068383</v>
      </c>
      <c r="T157" s="59">
        <f t="shared" si="142"/>
        <v>289.56516326172863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34.556757673722707</v>
      </c>
      <c r="AA157" s="21">
        <f>EXP(-LN(2)/25)*AA156+(1-EXP(-LN(2)/25))/(LN(2)/25)*Calculateur!V157*Calculateur!X157*VLOOKUP('Données projet'!$B$9,Paramètres!$A$1:$I$89,3,0)*0.475*44/12</f>
        <v>9.2757012891697865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43.832458962892495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2.2737367544323206E-13</v>
      </c>
      <c r="AJ157" s="13">
        <f>AI157*VLOOKUP('Données projet'!$B$10,Paramètres!$A$1:$I$89,3,0)*VLOOKUP('Données projet'!$B$10,Paramètres!$A$1:$I$89,5,0)</f>
        <v>1.3596945791505279E-13</v>
      </c>
      <c r="AK157" s="13">
        <f t="shared" si="164"/>
        <v>1.9708830566360721E-12</v>
      </c>
      <c r="AL157" s="20">
        <f t="shared" si="165"/>
        <v>3.669434796176543E-12</v>
      </c>
      <c r="AM157" s="59">
        <f t="shared" si="113"/>
        <v>293.33333333333701</v>
      </c>
      <c r="AN157" s="59">
        <f ca="1">AVERAGE(OFFSET($AM$3,0,0,'Données projet'!$E$10+1,1))-AVERAGE(OFFSET($H$3,0,0,'Données projet'!$E$10+1,1))</f>
        <v>287.52077437571728</v>
      </c>
      <c r="AO157" s="59">
        <f t="shared" si="144"/>
        <v>420.95891230839874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7.1313764616442716</v>
      </c>
      <c r="AV157" s="21">
        <f>EXP(-LN(2)/25)*AV156+(1-EXP(-LN(2)/25))/(LN(2)/25)*Calculateur!AQ157*Calculateur!AS157*VLOOKUP('Données projet'!$B$10,Paramètres!$A$1:$I$89,3,0)*0.475*44/12</f>
        <v>6.0611307185886281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13.1925071802329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490.47</v>
      </c>
      <c r="BB157" s="12">
        <f>VLOOKUP(A157,'Données projet'!$A$87:$I$107,9,0)</f>
        <v>8.3249999999999993</v>
      </c>
      <c r="BC157" s="12">
        <f t="array" ref="BC157">INDEX(BB:BB,MIN(IF(ISNUMBER(BB157:BB353),ROW(BB157:BB353),"")))</f>
        <v>8.3249999999999993</v>
      </c>
      <c r="BD157" s="12">
        <f>IF('Données projet'!$A$88&gt;35,BD156+BC157-BL156,IF(A157&lt;'Données projet'!$A$88,$BA$205^A157,IF(A157='Données projet'!$A$88,'Données projet'!$B$88,BD156+BC157-BL156)))</f>
        <v>490.47000000000048</v>
      </c>
      <c r="BE157" s="13">
        <f>BD157*VLOOKUP('Données projet'!$B$11,Paramètres!$A$1:$I$89,3,0)*VLOOKUP('Données projet'!$B$11,Paramètres!$A$1:$I$89,5,0)</f>
        <v>443.77725600000048</v>
      </c>
      <c r="BF157" s="13">
        <f t="shared" si="167"/>
        <v>100.59747837627934</v>
      </c>
      <c r="BG157" s="20">
        <f t="shared" si="168"/>
        <v>948.11932903868717</v>
      </c>
      <c r="BH157" s="59">
        <f t="shared" si="116"/>
        <v>1241.4526623720205</v>
      </c>
      <c r="BI157" s="59">
        <f ca="1">AVERAGE(OFFSET($BH$3,0,0,'Données projet'!$E$11+1,1))-AVERAGE(OFFSET($H$3,0,0,'Données projet'!$E$11+1,1))</f>
        <v>581.88778927327667</v>
      </c>
      <c r="BJ157" s="59">
        <f t="shared" si="146"/>
        <v>269.67340993773422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55.13</v>
      </c>
      <c r="BM157" s="16">
        <f>IF(ISNA(VLOOKUP(A157,'Données projet'!$A$87:$I$107,5,0)),0%,VLOOKUP(A157,'Données projet'!$A$87:$I$107,5,0)*VLOOKUP('Données projet'!$B$11,Paramètres!$A$1:$I$89,7,0))</f>
        <v>0.25800000000000001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71.083888549708462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71.083888549708462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-9.9316821433603781E-14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413.25558401068383</v>
      </c>
      <c r="T158" s="59">
        <f t="shared" si="142"/>
        <v>289.56516326172863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33.879120733281951</v>
      </c>
      <c r="AA158" s="21">
        <f>EXP(-LN(2)/25)*AA157+(1-EXP(-LN(2)/25))/(LN(2)/25)*Calculateur!V158*Calculateur!X158*VLOOKUP('Données projet'!$B$9,Paramètres!$A$1:$I$89,3,0)*0.475*44/12</f>
        <v>9.0220567496295079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42.901177482911457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2.2737367544323206E-13</v>
      </c>
      <c r="AJ158" s="13">
        <f>AI158*VLOOKUP('Données projet'!$B$10,Paramètres!$A$1:$I$89,3,0)*VLOOKUP('Données projet'!$B$10,Paramètres!$A$1:$I$89,5,0)</f>
        <v>1.3596945791505279E-13</v>
      </c>
      <c r="AK158" s="13">
        <f t="shared" si="164"/>
        <v>1.9708830566360721E-12</v>
      </c>
      <c r="AL158" s="20">
        <f t="shared" si="165"/>
        <v>3.669434796176543E-12</v>
      </c>
      <c r="AM158" s="59">
        <f t="shared" si="113"/>
        <v>293.33333333333701</v>
      </c>
      <c r="AN158" s="59">
        <f ca="1">AVERAGE(OFFSET($AM$3,0,0,'Données projet'!$E$10+1,1))-AVERAGE(OFFSET($H$3,0,0,'Données projet'!$E$10+1,1))</f>
        <v>287.52077437571728</v>
      </c>
      <c r="AO158" s="59">
        <f t="shared" si="144"/>
        <v>420.95891230839874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6.9915345189415712</v>
      </c>
      <c r="AV158" s="21">
        <f>EXP(-LN(2)/25)*AV157+(1-EXP(-LN(2)/25))/(LN(2)/25)*Calculateur!AQ158*Calculateur!AS158*VLOOKUP('Données projet'!$B$10,Paramètres!$A$1:$I$89,3,0)*0.475*44/12</f>
        <v>5.89538878034781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12.886923299289382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8.4429999999999943</v>
      </c>
      <c r="BD158" s="12">
        <f>IF('Données projet'!$A$88&gt;35,BD157+BC158-BL157,IF(A158&lt;'Données projet'!$A$88,$BA$205^A158,IF(A158='Données projet'!$A$88,'Données projet'!$B$88,BD157+BC158-BL157)))</f>
        <v>443.78300000000047</v>
      </c>
      <c r="BE158" s="13">
        <f>BD158*VLOOKUP('Données projet'!$B$11,Paramètres!$A$1:$I$89,3,0)*VLOOKUP('Données projet'!$B$11,Paramètres!$A$1:$I$89,5,0)</f>
        <v>401.53485840000047</v>
      </c>
      <c r="BF158" s="13">
        <f t="shared" si="167"/>
        <v>92.087764815279797</v>
      </c>
      <c r="BG158" s="20">
        <f t="shared" si="168"/>
        <v>859.72606876661303</v>
      </c>
      <c r="BH158" s="59">
        <f t="shared" si="116"/>
        <v>1153.0594020999463</v>
      </c>
      <c r="BI158" s="59">
        <f ca="1">AVERAGE(OFFSET($BH$3,0,0,'Données projet'!$E$11+1,1))-AVERAGE(OFFSET($H$3,0,0,'Données projet'!$E$11+1,1))</f>
        <v>581.88778927327667</v>
      </c>
      <c r="BJ158" s="59">
        <f t="shared" si="146"/>
        <v>269.67340993773422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69.689976852139552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69.689976852139552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-9.9316821433603781E-14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413.25558401068383</v>
      </c>
      <c r="T159" s="59">
        <f t="shared" si="142"/>
        <v>289.56516326172863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33.214771839925518</v>
      </c>
      <c r="AA159" s="21">
        <f>EXP(-LN(2)/25)*AA158+(1-EXP(-LN(2)/25))/(LN(2)/25)*Calculateur!V159*Calculateur!X159*VLOOKUP('Données projet'!$B$9,Paramètres!$A$1:$I$89,3,0)*0.475*44/12</f>
        <v>8.7753481333615451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41.990119973287065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2.2737367544323206E-13</v>
      </c>
      <c r="AJ159" s="13">
        <f>AI159*VLOOKUP('Données projet'!$B$10,Paramètres!$A$1:$I$89,3,0)*VLOOKUP('Données projet'!$B$10,Paramètres!$A$1:$I$89,5,0)</f>
        <v>1.3596945791505279E-13</v>
      </c>
      <c r="AK159" s="13">
        <f t="shared" si="164"/>
        <v>1.9708830566360721E-12</v>
      </c>
      <c r="AL159" s="20">
        <f t="shared" si="165"/>
        <v>3.669434796176543E-12</v>
      </c>
      <c r="AM159" s="59">
        <f t="shared" si="113"/>
        <v>293.33333333333701</v>
      </c>
      <c r="AN159" s="59">
        <f ca="1">AVERAGE(OFFSET($AM$3,0,0,'Données projet'!$E$10+1,1))-AVERAGE(OFFSET($H$3,0,0,'Données projet'!$E$10+1,1))</f>
        <v>287.52077437571728</v>
      </c>
      <c r="AO159" s="59">
        <f t="shared" si="144"/>
        <v>420.95891230839874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6.8544347914401076</v>
      </c>
      <c r="AV159" s="21">
        <f>EXP(-LN(2)/25)*AV158+(1-EXP(-LN(2)/25))/(LN(2)/25)*Calculateur!AQ159*Calculateur!AS159*VLOOKUP('Données projet'!$B$10,Paramètres!$A$1:$I$89,3,0)*0.475*44/12</f>
        <v>5.7341790641241772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12.588613855564285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8.4429999999999943</v>
      </c>
      <c r="BD159" s="12">
        <f>IF('Données projet'!$A$88&gt;35,BD158+BC159-BL158,IF(A159&lt;'Données projet'!$A$88,$BA$205^A159,IF(A159='Données projet'!$A$88,'Données projet'!$B$88,BD158+BC159-BL158)))</f>
        <v>452.22600000000045</v>
      </c>
      <c r="BE159" s="13">
        <f>BD159*VLOOKUP('Données projet'!$B$11,Paramètres!$A$1:$I$89,3,0)*VLOOKUP('Données projet'!$B$11,Paramètres!$A$1:$I$89,5,0)</f>
        <v>409.1740848000004</v>
      </c>
      <c r="BF159" s="13">
        <f t="shared" si="167"/>
        <v>93.634108404325715</v>
      </c>
      <c r="BG159" s="20">
        <f t="shared" si="168"/>
        <v>875.72426983086791</v>
      </c>
      <c r="BH159" s="59">
        <f t="shared" si="116"/>
        <v>1169.0576031642013</v>
      </c>
      <c r="BI159" s="59">
        <f ca="1">AVERAGE(OFFSET($BH$3,0,0,'Données projet'!$E$11+1,1))-AVERAGE(OFFSET($H$3,0,0,'Données projet'!$E$11+1,1))</f>
        <v>581.88778927327667</v>
      </c>
      <c r="BJ159" s="59">
        <f t="shared" si="146"/>
        <v>269.67340993773422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68.323398912757781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68.323398912757781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-9.9316821433603781E-14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413.25558401068383</v>
      </c>
      <c r="T160" s="59">
        <f t="shared" si="142"/>
        <v>289.56516326172863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32.56345042315499</v>
      </c>
      <c r="AA160" s="21">
        <f>EXP(-LN(2)/25)*AA159+(1-EXP(-LN(2)/25))/(LN(2)/25)*Calculateur!V160*Calculateur!X160*VLOOKUP('Données projet'!$B$9,Paramètres!$A$1:$I$89,3,0)*0.475*44/12</f>
        <v>8.5353857771792718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41.098836200334262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2.2737367544323206E-13</v>
      </c>
      <c r="AJ160" s="13">
        <f>AI160*VLOOKUP('Données projet'!$B$10,Paramètres!$A$1:$I$89,3,0)*VLOOKUP('Données projet'!$B$10,Paramètres!$A$1:$I$89,5,0)</f>
        <v>1.3596945791505279E-13</v>
      </c>
      <c r="AK160" s="13">
        <f t="shared" si="164"/>
        <v>1.9708830566360721E-12</v>
      </c>
      <c r="AL160" s="20">
        <f t="shared" si="165"/>
        <v>3.669434796176543E-12</v>
      </c>
      <c r="AM160" s="59">
        <f t="shared" si="113"/>
        <v>293.33333333333701</v>
      </c>
      <c r="AN160" s="59">
        <f ca="1">AVERAGE(OFFSET($AM$3,0,0,'Données projet'!$E$10+1,1))-AVERAGE(OFFSET($H$3,0,0,'Données projet'!$E$10+1,1))</f>
        <v>287.52077437571728</v>
      </c>
      <c r="AO160" s="59">
        <f t="shared" si="144"/>
        <v>420.95891230839874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6.720023505972371</v>
      </c>
      <c r="AV160" s="21">
        <f>EXP(-LN(2)/25)*AV159+(1-EXP(-LN(2)/25))/(LN(2)/25)*Calculateur!AQ160*Calculateur!AS160*VLOOKUP('Données projet'!$B$10,Paramètres!$A$1:$I$89,3,0)*0.475*44/12</f>
        <v>5.5773776360683298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12.297401142040702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8.4429999999999943</v>
      </c>
      <c r="BD160" s="12">
        <f>IF('Données projet'!$A$88&gt;35,BD159+BC160-BL159,IF(A160&lt;'Données projet'!$A$88,$BA$205^A160,IF(A160='Données projet'!$A$88,'Données projet'!$B$88,BD159+BC160-BL159)))</f>
        <v>460.66900000000044</v>
      </c>
      <c r="BE160" s="13">
        <f>BD160*VLOOKUP('Données projet'!$B$11,Paramètres!$A$1:$I$89,3,0)*VLOOKUP('Données projet'!$B$11,Paramètres!$A$1:$I$89,5,0)</f>
        <v>416.81331120000038</v>
      </c>
      <c r="BF160" s="13">
        <f t="shared" si="167"/>
        <v>95.177094964322421</v>
      </c>
      <c r="BG160" s="20">
        <f t="shared" si="168"/>
        <v>891.71662406952885</v>
      </c>
      <c r="BH160" s="59">
        <f t="shared" si="116"/>
        <v>1185.0499574028622</v>
      </c>
      <c r="BI160" s="59">
        <f ca="1">AVERAGE(OFFSET($BH$3,0,0,'Données projet'!$E$11+1,1))-AVERAGE(OFFSET($H$3,0,0,'Données projet'!$E$11+1,1))</f>
        <v>581.88778927327667</v>
      </c>
      <c r="BJ160" s="59">
        <f t="shared" si="146"/>
        <v>269.67340993773422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66.983618733237051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66.983618733237051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-9.9316821433603781E-14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413.25558401068383</v>
      </c>
      <c r="T161" s="59">
        <f t="shared" si="142"/>
        <v>289.56516326172863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31.924901022100496</v>
      </c>
      <c r="AA161" s="21">
        <f>EXP(-LN(2)/25)*AA160+(1-EXP(-LN(2)/25))/(LN(2)/25)*Calculateur!V161*Calculateur!X161*VLOOKUP('Données projet'!$B$9,Paramètres!$A$1:$I$89,3,0)*0.475*44/12</f>
        <v>8.3019852042458737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40.226886226346366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2.2737367544323206E-13</v>
      </c>
      <c r="AJ161" s="13">
        <f>AI161*VLOOKUP('Données projet'!$B$10,Paramètres!$A$1:$I$89,3,0)*VLOOKUP('Données projet'!$B$10,Paramètres!$A$1:$I$89,5,0)</f>
        <v>1.3596945791505279E-13</v>
      </c>
      <c r="AK161" s="13">
        <f t="shared" si="164"/>
        <v>1.9708830566360721E-12</v>
      </c>
      <c r="AL161" s="20">
        <f t="shared" si="165"/>
        <v>3.669434796176543E-12</v>
      </c>
      <c r="AM161" s="59">
        <f t="shared" si="113"/>
        <v>293.33333333333701</v>
      </c>
      <c r="AN161" s="59">
        <f ca="1">AVERAGE(OFFSET($AM$3,0,0,'Données projet'!$E$10+1,1))-AVERAGE(OFFSET($H$3,0,0,'Données projet'!$E$10+1,1))</f>
        <v>287.52077437571728</v>
      </c>
      <c r="AO161" s="59">
        <f t="shared" si="144"/>
        <v>420.95891230839874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6.5882479438298676</v>
      </c>
      <c r="AV161" s="21">
        <f>EXP(-LN(2)/25)*AV160+(1-EXP(-LN(2)/25))/(LN(2)/25)*Calculateur!AQ161*Calculateur!AS161*VLOOKUP('Données projet'!$B$10,Paramètres!$A$1:$I$89,3,0)*0.475*44/12</f>
        <v>5.4248639513084989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12.013111895138366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8.4429999999999943</v>
      </c>
      <c r="BD161" s="12">
        <f>IF('Données projet'!$A$88&gt;35,BD160+BC161-BL160,IF(A161&lt;'Données projet'!$A$88,$BA$205^A161,IF(A161='Données projet'!$A$88,'Données projet'!$B$88,BD160+BC161-BL160)))</f>
        <v>469.11200000000042</v>
      </c>
      <c r="BE161" s="13">
        <f>BD161*VLOOKUP('Données projet'!$B$11,Paramètres!$A$1:$I$89,3,0)*VLOOKUP('Données projet'!$B$11,Paramètres!$A$1:$I$89,5,0)</f>
        <v>424.45253760000043</v>
      </c>
      <c r="BF161" s="13">
        <f t="shared" si="167"/>
        <v>96.716793118095666</v>
      </c>
      <c r="BG161" s="20">
        <f t="shared" si="168"/>
        <v>907.70325100068385</v>
      </c>
      <c r="BH161" s="59">
        <f t="shared" si="116"/>
        <v>1201.0365843340171</v>
      </c>
      <c r="BI161" s="59">
        <f ca="1">AVERAGE(OFFSET($BH$3,0,0,'Données projet'!$E$11+1,1))-AVERAGE(OFFSET($H$3,0,0,'Données projet'!$E$11+1,1))</f>
        <v>581.88778927327667</v>
      </c>
      <c r="BJ161" s="59">
        <f t="shared" si="146"/>
        <v>269.67340993773422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65.670110825851509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65.670110825851509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-9.9316821433603781E-14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413.25558401068383</v>
      </c>
      <c r="T162" s="59">
        <f t="shared" si="142"/>
        <v>289.56516326172863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31.298873185324002</v>
      </c>
      <c r="AA162" s="21">
        <f>EXP(-LN(2)/25)*AA161+(1-EXP(-LN(2)/25))/(LN(2)/25)*Calculateur!V162*Calculateur!X162*VLOOKUP('Données projet'!$B$9,Paramètres!$A$1:$I$89,3,0)*0.475*44/12</f>
        <v>8.0749669822533434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39.373840167577342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2.2737367544323206E-13</v>
      </c>
      <c r="AJ162" s="13">
        <f>AI162*VLOOKUP('Données projet'!$B$10,Paramètres!$A$1:$I$89,3,0)*VLOOKUP('Données projet'!$B$10,Paramètres!$A$1:$I$89,5,0)</f>
        <v>1.3596945791505279E-13</v>
      </c>
      <c r="AK162" s="13">
        <f t="shared" si="164"/>
        <v>1.9708830566360721E-12</v>
      </c>
      <c r="AL162" s="20">
        <f t="shared" si="165"/>
        <v>3.669434796176543E-12</v>
      </c>
      <c r="AM162" s="59">
        <f t="shared" si="113"/>
        <v>293.33333333333701</v>
      </c>
      <c r="AN162" s="59">
        <f ca="1">AVERAGE(OFFSET($AM$3,0,0,'Données projet'!$E$10+1,1))-AVERAGE(OFFSET($H$3,0,0,'Données projet'!$E$10+1,1))</f>
        <v>287.52077437571728</v>
      </c>
      <c r="AO162" s="59">
        <f t="shared" si="144"/>
        <v>420.95891230839874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6.4590564200858225</v>
      </c>
      <c r="AV162" s="21">
        <f>EXP(-LN(2)/25)*AV161+(1-EXP(-LN(2)/25))/(LN(2)/25)*Calculateur!AQ162*Calculateur!AS162*VLOOKUP('Données projet'!$B$10,Paramètres!$A$1:$I$89,3,0)*0.475*44/12</f>
        <v>5.2765207612787712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11.735577181364594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8.4429999999999943</v>
      </c>
      <c r="BD162" s="12">
        <f>IF('Données projet'!$A$88&gt;35,BD161+BC162-BL161,IF(A162&lt;'Données projet'!$A$88,$BA$205^A162,IF(A162='Données projet'!$A$88,'Données projet'!$B$88,BD161+BC162-BL161)))</f>
        <v>477.5550000000004</v>
      </c>
      <c r="BE162" s="13">
        <f>BD162*VLOOKUP('Données projet'!$B$11,Paramètres!$A$1:$I$89,3,0)*VLOOKUP('Données projet'!$B$11,Paramètres!$A$1:$I$89,5,0)</f>
        <v>432.09176400000035</v>
      </c>
      <c r="BF162" s="13">
        <f t="shared" si="167"/>
        <v>98.253268876899142</v>
      </c>
      <c r="BG162" s="20">
        <f t="shared" si="168"/>
        <v>923.68426559393322</v>
      </c>
      <c r="BH162" s="59">
        <f t="shared" si="116"/>
        <v>1217.0175989272666</v>
      </c>
      <c r="BI162" s="59">
        <f ca="1">AVERAGE(OFFSET($BH$3,0,0,'Données projet'!$E$11+1,1))-AVERAGE(OFFSET($H$3,0,0,'Données projet'!$E$11+1,1))</f>
        <v>581.88778927327667</v>
      </c>
      <c r="BJ162" s="59">
        <f t="shared" si="146"/>
        <v>269.67340993773422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64.382360007369087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64.382360007369087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-9.9316821433603781E-14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413.25558401068383</v>
      </c>
      <c r="T163" s="59">
        <f t="shared" si="142"/>
        <v>289.56516326172863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30.685121372587417</v>
      </c>
      <c r="AA163" s="21">
        <f>EXP(-LN(2)/25)*AA162+(1-EXP(-LN(2)/25))/(LN(2)/25)*Calculateur!V163*Calculateur!X163*VLOOKUP('Données projet'!$B$9,Paramètres!$A$1:$I$89,3,0)*0.475*44/12</f>
        <v>7.8541565854795676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38.539277958066982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2.2737367544323206E-13</v>
      </c>
      <c r="AJ163" s="13">
        <f>AI163*VLOOKUP('Données projet'!$B$10,Paramètres!$A$1:$I$89,3,0)*VLOOKUP('Données projet'!$B$10,Paramètres!$A$1:$I$89,5,0)</f>
        <v>1.3596945791505279E-13</v>
      </c>
      <c r="AK163" s="13">
        <f t="shared" si="164"/>
        <v>1.9708830566360721E-12</v>
      </c>
      <c r="AL163" s="20">
        <f t="shared" si="165"/>
        <v>3.669434796176543E-12</v>
      </c>
      <c r="AM163" s="59">
        <f t="shared" si="113"/>
        <v>293.33333333333701</v>
      </c>
      <c r="AN163" s="59">
        <f ca="1">AVERAGE(OFFSET($AM$3,0,0,'Données projet'!$E$10+1,1))-AVERAGE(OFFSET($H$3,0,0,'Données projet'!$E$10+1,1))</f>
        <v>287.52077437571728</v>
      </c>
      <c r="AO163" s="59">
        <f t="shared" si="144"/>
        <v>420.95891230839874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6.3323982633233493</v>
      </c>
      <c r="AV163" s="21">
        <f>EXP(-LN(2)/25)*AV162+(1-EXP(-LN(2)/25))/(LN(2)/25)*Calculateur!AQ163*Calculateur!AS163*VLOOKUP('Données projet'!$B$10,Paramètres!$A$1:$I$89,3,0)*0.475*44/12</f>
        <v>5.1322340235814359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11.464632286904784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8.4429999999999943</v>
      </c>
      <c r="BD163" s="12">
        <f>IF('Données projet'!$A$88&gt;35,BD162+BC163-BL162,IF(A163&lt;'Données projet'!$A$88,$BA$205^A163,IF(A163='Données projet'!$A$88,'Données projet'!$B$88,BD162+BC163-BL162)))</f>
        <v>485.99800000000039</v>
      </c>
      <c r="BE163" s="13">
        <f>BD163*VLOOKUP('Données projet'!$B$11,Paramètres!$A$1:$I$89,3,0)*VLOOKUP('Données projet'!$B$11,Paramètres!$A$1:$I$89,5,0)</f>
        <v>439.73099040000034</v>
      </c>
      <c r="BF163" s="13">
        <f t="shared" si="167"/>
        <v>99.786585784186272</v>
      </c>
      <c r="BG163" s="20">
        <f t="shared" si="168"/>
        <v>939.65977852079175</v>
      </c>
      <c r="BH163" s="59">
        <f t="shared" si="116"/>
        <v>1232.9931118541251</v>
      </c>
      <c r="BI163" s="59">
        <f ca="1">AVERAGE(OFFSET($BH$3,0,0,'Données projet'!$E$11+1,1))-AVERAGE(OFFSET($H$3,0,0,'Données projet'!$E$11+1,1))</f>
        <v>581.88778927327667</v>
      </c>
      <c r="BJ163" s="59">
        <f t="shared" si="146"/>
        <v>269.67340993773422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63.119861196986655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63.119861196986655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-9.9316821433603781E-14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413.25558401068383</v>
      </c>
      <c r="T164" s="59">
        <f t="shared" si="142"/>
        <v>289.56516326172863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30.083404858546956</v>
      </c>
      <c r="AA164" s="21">
        <f>EXP(-LN(2)/25)*AA163+(1-EXP(-LN(2)/25))/(LN(2)/25)*Calculateur!V164*Calculateur!X164*VLOOKUP('Données projet'!$B$9,Paramètres!$A$1:$I$89,3,0)*0.475*44/12</f>
        <v>7.6393842606174847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37.722789119164439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2.2737367544323206E-13</v>
      </c>
      <c r="AJ164" s="13">
        <f>AI164*VLOOKUP('Données projet'!$B$10,Paramètres!$A$1:$I$89,3,0)*VLOOKUP('Données projet'!$B$10,Paramètres!$A$1:$I$89,5,0)</f>
        <v>1.3596945791505279E-13</v>
      </c>
      <c r="AK164" s="13">
        <f t="shared" si="164"/>
        <v>1.9708830566360721E-12</v>
      </c>
      <c r="AL164" s="20">
        <f t="shared" si="165"/>
        <v>3.669434796176543E-12</v>
      </c>
      <c r="AM164" s="59">
        <f t="shared" si="113"/>
        <v>293.33333333333701</v>
      </c>
      <c r="AN164" s="59">
        <f ca="1">AVERAGE(OFFSET($AM$3,0,0,'Données projet'!$E$10+1,1))-AVERAGE(OFFSET($H$3,0,0,'Données projet'!$E$10+1,1))</f>
        <v>287.52077437571728</v>
      </c>
      <c r="AO164" s="59">
        <f t="shared" si="144"/>
        <v>420.95891230839874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6.2082237957611408</v>
      </c>
      <c r="AV164" s="21">
        <f>EXP(-LN(2)/25)*AV163+(1-EXP(-LN(2)/25))/(LN(2)/25)*Calculateur!AQ164*Calculateur!AS164*VLOOKUP('Données projet'!$B$10,Paramètres!$A$1:$I$89,3,0)*0.475*44/12</f>
        <v>4.9918928143141441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11.200116610075284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8.4429999999999943</v>
      </c>
      <c r="BD164" s="12">
        <f>IF('Données projet'!$A$88&gt;35,BD163+BC164-BL163,IF(A164&lt;'Données projet'!$A$88,$BA$205^A164,IF(A164='Données projet'!$A$88,'Données projet'!$B$88,BD163+BC164-BL163)))</f>
        <v>494.44100000000037</v>
      </c>
      <c r="BE164" s="13">
        <f>BD164*VLOOKUP('Données projet'!$B$11,Paramètres!$A$1:$I$89,3,0)*VLOOKUP('Données projet'!$B$11,Paramètres!$A$1:$I$89,5,0)</f>
        <v>447.37021680000026</v>
      </c>
      <c r="BF164" s="13">
        <f t="shared" si="167"/>
        <v>101.3168050491076</v>
      </c>
      <c r="BG164" s="20">
        <f t="shared" si="168"/>
        <v>955.62989638719603</v>
      </c>
      <c r="BH164" s="59">
        <f t="shared" si="116"/>
        <v>1248.9632297205294</v>
      </c>
      <c r="BI164" s="59">
        <f ca="1">AVERAGE(OFFSET($BH$3,0,0,'Données projet'!$E$11+1,1))-AVERAGE(OFFSET($H$3,0,0,'Données projet'!$E$11+1,1))</f>
        <v>581.88778927327667</v>
      </c>
      <c r="BJ164" s="59">
        <f t="shared" si="146"/>
        <v>269.67340993773422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61.882119218227587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61.882119218227587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-9.9316821433603781E-14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413.25558401068383</v>
      </c>
      <c r="T165" s="59">
        <f t="shared" si="142"/>
        <v>289.56516326172863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29.493487638335996</v>
      </c>
      <c r="AA165" s="21">
        <f>EXP(-LN(2)/25)*AA164+(1-EXP(-LN(2)/25))/(LN(2)/25)*Calculateur!V165*Calculateur!X165*VLOOKUP('Données projet'!$B$9,Paramètres!$A$1:$I$89,3,0)*0.475*44/12</f>
        <v>7.4304848962731409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36.923972534609135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2.2737367544323206E-13</v>
      </c>
      <c r="AJ165" s="13">
        <f>AI165*VLOOKUP('Données projet'!$B$10,Paramètres!$A$1:$I$89,3,0)*VLOOKUP('Données projet'!$B$10,Paramètres!$A$1:$I$89,5,0)</f>
        <v>1.3596945791505279E-13</v>
      </c>
      <c r="AK165" s="13">
        <f t="shared" si="164"/>
        <v>1.9708830566360721E-12</v>
      </c>
      <c r="AL165" s="20">
        <f t="shared" si="165"/>
        <v>3.669434796176543E-12</v>
      </c>
      <c r="AM165" s="59">
        <f t="shared" si="113"/>
        <v>293.33333333333701</v>
      </c>
      <c r="AN165" s="59">
        <f ca="1">AVERAGE(OFFSET($AM$3,0,0,'Données projet'!$E$10+1,1))-AVERAGE(OFFSET($H$3,0,0,'Données projet'!$E$10+1,1))</f>
        <v>287.52077437571728</v>
      </c>
      <c r="AO165" s="59">
        <f t="shared" si="144"/>
        <v>420.95891230839874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6.0864843137688807</v>
      </c>
      <c r="AV165" s="21">
        <f>EXP(-LN(2)/25)*AV164+(1-EXP(-LN(2)/25))/(LN(2)/25)*Calculateur!AQ165*Calculateur!AS165*VLOOKUP('Données projet'!$B$10,Paramètres!$A$1:$I$89,3,0)*0.475*44/12</f>
        <v>4.85538924279449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10.941873556563371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8.4429999999999943</v>
      </c>
      <c r="BD165" s="12">
        <f>IF('Données projet'!$A$88&gt;35,BD164+BC165-BL164,IF(A165&lt;'Données projet'!$A$88,$BA$205^A165,IF(A165='Données projet'!$A$88,'Données projet'!$B$88,BD164+BC165-BL164)))</f>
        <v>502.88400000000036</v>
      </c>
      <c r="BE165" s="13">
        <f>BD165*VLOOKUP('Données projet'!$B$11,Paramètres!$A$1:$I$89,3,0)*VLOOKUP('Données projet'!$B$11,Paramètres!$A$1:$I$89,5,0)</f>
        <v>455.00944320000031</v>
      </c>
      <c r="BF165" s="13">
        <f t="shared" si="167"/>
        <v>102.84398567063174</v>
      </c>
      <c r="BG165" s="20">
        <f t="shared" si="168"/>
        <v>971.59472194968396</v>
      </c>
      <c r="BH165" s="59">
        <f t="shared" si="116"/>
        <v>1264.9280552830173</v>
      </c>
      <c r="BI165" s="59">
        <f ca="1">AVERAGE(OFFSET($BH$3,0,0,'Données projet'!$E$11+1,1))-AVERAGE(OFFSET($H$3,0,0,'Données projet'!$E$11+1,1))</f>
        <v>581.88778927327667</v>
      </c>
      <c r="BJ165" s="59">
        <f t="shared" si="146"/>
        <v>269.67340993773422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60.66864860472392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60.66864860472392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-9.9316821433603781E-14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413.25558401068383</v>
      </c>
      <c r="T166" s="59">
        <f t="shared" si="142"/>
        <v>289.56516326172863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28.915138334999394</v>
      </c>
      <c r="AA166" s="21">
        <f>EXP(-LN(2)/25)*AA165+(1-EXP(-LN(2)/25))/(LN(2)/25)*Calculateur!V166*Calculateur!X166*VLOOKUP('Données projet'!$B$9,Paramètres!$A$1:$I$89,3,0)*0.475*44/12</f>
        <v>7.2272978960323337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36.142436231031731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2.2737367544323206E-13</v>
      </c>
      <c r="AJ166" s="13">
        <f>AI166*VLOOKUP('Données projet'!$B$10,Paramètres!$A$1:$I$89,3,0)*VLOOKUP('Données projet'!$B$10,Paramètres!$A$1:$I$89,5,0)</f>
        <v>1.3596945791505279E-13</v>
      </c>
      <c r="AK166" s="13">
        <f t="shared" si="164"/>
        <v>1.9708830566360721E-12</v>
      </c>
      <c r="AL166" s="20">
        <f t="shared" si="165"/>
        <v>3.669434796176543E-12</v>
      </c>
      <c r="AM166" s="59">
        <f t="shared" si="113"/>
        <v>293.33333333333701</v>
      </c>
      <c r="AN166" s="59">
        <f ca="1">AVERAGE(OFFSET($AM$3,0,0,'Données projet'!$E$10+1,1))-AVERAGE(OFFSET($H$3,0,0,'Données projet'!$E$10+1,1))</f>
        <v>287.52077437571728</v>
      </c>
      <c r="AO166" s="59">
        <f t="shared" si="144"/>
        <v>420.95891230839874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5.9671320687647365</v>
      </c>
      <c r="AV166" s="21">
        <f>EXP(-LN(2)/25)*AV165+(1-EXP(-LN(2)/25))/(LN(2)/25)*Calculateur!AQ166*Calculateur!AS166*VLOOKUP('Données projet'!$B$10,Paramètres!$A$1:$I$89,3,0)*0.475*44/12</f>
        <v>4.7226183686164518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10.689750437381189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8.4429999999999943</v>
      </c>
      <c r="BD166" s="12">
        <f>IF('Données projet'!$A$88&gt;35,BD165+BC166-BL165,IF(A166&lt;'Données projet'!$A$88,$BA$205^A166,IF(A166='Données projet'!$A$88,'Données projet'!$B$88,BD165+BC166-BL165)))</f>
        <v>511.32700000000034</v>
      </c>
      <c r="BE166" s="13">
        <f>BD166*VLOOKUP('Données projet'!$B$11,Paramètres!$A$1:$I$89,3,0)*VLOOKUP('Données projet'!$B$11,Paramètres!$A$1:$I$89,5,0)</f>
        <v>462.64866960000029</v>
      </c>
      <c r="BF166" s="13">
        <f t="shared" si="167"/>
        <v>104.36818455309495</v>
      </c>
      <c r="BG166" s="20">
        <f t="shared" si="168"/>
        <v>987.5543543166408</v>
      </c>
      <c r="BH166" s="59">
        <f t="shared" si="116"/>
        <v>1280.8876876499742</v>
      </c>
      <c r="BI166" s="59">
        <f ca="1">AVERAGE(OFFSET($BH$3,0,0,'Données projet'!$E$11+1,1))-AVERAGE(OFFSET($H$3,0,0,'Données projet'!$E$11+1,1))</f>
        <v>581.88778927327667</v>
      </c>
      <c r="BJ166" s="59">
        <f t="shared" si="146"/>
        <v>269.67340993773422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59.478973409807068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59.478973409807068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-9.9316821433603781E-14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413.25558401068383</v>
      </c>
      <c r="T167" s="59">
        <f t="shared" si="142"/>
        <v>289.56516326172863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28.348130108742982</v>
      </c>
      <c r="AA167" s="21">
        <f>EXP(-LN(2)/25)*AA166+(1-EXP(-LN(2)/25))/(LN(2)/25)*Calculateur!V167*Calculateur!X167*VLOOKUP('Données projet'!$B$9,Paramètres!$A$1:$I$89,3,0)*0.475*44/12</f>
        <v>7.0296670549982512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35.377797163741235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2.2737367544323206E-13</v>
      </c>
      <c r="AJ167" s="13">
        <f>AI167*VLOOKUP('Données projet'!$B$10,Paramètres!$A$1:$I$89,3,0)*VLOOKUP('Données projet'!$B$10,Paramètres!$A$1:$I$89,5,0)</f>
        <v>1.3596945791505279E-13</v>
      </c>
      <c r="AK167" s="13">
        <f t="shared" si="164"/>
        <v>1.9708830566360721E-12</v>
      </c>
      <c r="AL167" s="20">
        <f t="shared" si="165"/>
        <v>3.669434796176543E-12</v>
      </c>
      <c r="AM167" s="59">
        <f t="shared" si="113"/>
        <v>293.33333333333701</v>
      </c>
      <c r="AN167" s="59">
        <f ca="1">AVERAGE(OFFSET($AM$3,0,0,'Données projet'!$E$10+1,1))-AVERAGE(OFFSET($H$3,0,0,'Données projet'!$E$10+1,1))</f>
        <v>287.52077437571728</v>
      </c>
      <c r="AO167" s="59">
        <f t="shared" si="144"/>
        <v>420.95891230839874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5.8501202484874417</v>
      </c>
      <c r="AV167" s="21">
        <f>EXP(-LN(2)/25)*AV166+(1-EXP(-LN(2)/25))/(LN(2)/25)*Calculateur!AQ167*Calculateur!AS167*VLOOKUP('Données projet'!$B$10,Paramètres!$A$1:$I$89,3,0)*0.475*44/12</f>
        <v>4.5934781209749289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10.443598369462372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519.77</v>
      </c>
      <c r="BB167" s="12">
        <f>VLOOKUP(A167,'Données projet'!$A$87:$I$107,9,0)</f>
        <v>8.4429999999999943</v>
      </c>
      <c r="BC167" s="12">
        <f t="array" ref="BC167">INDEX(BB:BB,MIN(IF(ISNUMBER(BB167:BB363),ROW(BB167:BB363),"")))</f>
        <v>8.4429999999999943</v>
      </c>
      <c r="BD167" s="12">
        <f>IF('Données projet'!$A$88&gt;35,BD166+BC167-BL166,IF(A167&lt;'Données projet'!$A$88,$BA$205^A167,IF(A167='Données projet'!$A$88,'Données projet'!$B$88,BD166+BC167-BL166)))</f>
        <v>519.77000000000032</v>
      </c>
      <c r="BE167" s="13">
        <f>BD167*VLOOKUP('Données projet'!$B$11,Paramètres!$A$1:$I$89,3,0)*VLOOKUP('Données projet'!$B$11,Paramètres!$A$1:$I$89,5,0)</f>
        <v>470.28789600000022</v>
      </c>
      <c r="BF167" s="13">
        <f t="shared" si="167"/>
        <v>105.88945661390174</v>
      </c>
      <c r="BG167" s="20">
        <f t="shared" si="168"/>
        <v>1003.5088891358791</v>
      </c>
      <c r="BH167" s="59">
        <f t="shared" si="116"/>
        <v>1296.8422224692124</v>
      </c>
      <c r="BI167" s="59">
        <f ca="1">AVERAGE(OFFSET($BH$3,0,0,'Données projet'!$E$11+1,1))-AVERAGE(OFFSET($H$3,0,0,'Données projet'!$E$11+1,1))</f>
        <v>581.88778927327667</v>
      </c>
      <c r="BJ167" s="59">
        <f t="shared" si="146"/>
        <v>269.67340993773422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59.58</v>
      </c>
      <c r="BM167" s="16">
        <f>IF(ISNA(VLOOKUP(A167,'Données projet'!$A$87:$I$107,5,0)),0%,VLOOKUP(A167,'Données projet'!$A$87:$I$107,5,0)*VLOOKUP('Données projet'!$B$11,Paramètres!$A$1:$I$89,7,0))</f>
        <v>0.25800000000000001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73.687796339175065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73.687796339175065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-9.9316821433603781E-14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413.25558401068383</v>
      </c>
      <c r="T168" s="59">
        <f t="shared" si="142"/>
        <v>289.56516326172863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27.792240567962587</v>
      </c>
      <c r="AA168" s="21">
        <f>EXP(-LN(2)/25)*AA167+(1-EXP(-LN(2)/25))/(LN(2)/25)*Calculateur!V168*Calculateur!X168*VLOOKUP('Données projet'!$B$9,Paramètres!$A$1:$I$89,3,0)*0.475*44/12</f>
        <v>6.8374404397052002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34.629681007667784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2.2737367544323206E-13</v>
      </c>
      <c r="AJ168" s="13">
        <f>AI168*VLOOKUP('Données projet'!$B$10,Paramètres!$A$1:$I$89,3,0)*VLOOKUP('Données projet'!$B$10,Paramètres!$A$1:$I$89,5,0)</f>
        <v>1.3596945791505279E-13</v>
      </c>
      <c r="AK168" s="13">
        <f t="shared" si="164"/>
        <v>1.9708830566360721E-12</v>
      </c>
      <c r="AL168" s="20">
        <f t="shared" si="165"/>
        <v>3.669434796176543E-12</v>
      </c>
      <c r="AM168" s="59">
        <f t="shared" si="113"/>
        <v>293.33333333333701</v>
      </c>
      <c r="AN168" s="59">
        <f ca="1">AVERAGE(OFFSET($AM$3,0,0,'Données projet'!$E$10+1,1))-AVERAGE(OFFSET($H$3,0,0,'Données projet'!$E$10+1,1))</f>
        <v>287.52077437571728</v>
      </c>
      <c r="AO168" s="59">
        <f t="shared" si="144"/>
        <v>420.95891230839874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5.7354029586356221</v>
      </c>
      <c r="AV168" s="21">
        <f>EXP(-LN(2)/25)*AV167+(1-EXP(-LN(2)/25))/(LN(2)/25)*Calculateur!AQ168*Calculateur!AS168*VLOOKUP('Données projet'!$B$10,Paramètres!$A$1:$I$89,3,0)*0.475*44/12</f>
        <v>4.4678692201963539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10.203272178831977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8.5459999999999976</v>
      </c>
      <c r="BD168" s="12">
        <f>IF('Données projet'!$A$88&gt;35,BD167+BC168-BL167,IF(A168&lt;'Données projet'!$A$88,$BA$205^A168,IF(A168='Données projet'!$A$88,'Données projet'!$B$88,BD167+BC168-BL167)))</f>
        <v>468.73600000000039</v>
      </c>
      <c r="BE168" s="13">
        <f>BD168*VLOOKUP('Données projet'!$B$11,Paramètres!$A$1:$I$89,3,0)*VLOOKUP('Données projet'!$B$11,Paramètres!$A$1:$I$89,5,0)</f>
        <v>424.11233280000033</v>
      </c>
      <c r="BF168" s="13">
        <f t="shared" si="167"/>
        <v>96.648293340367189</v>
      </c>
      <c r="BG168" s="20">
        <f t="shared" si="168"/>
        <v>906.99142386114011</v>
      </c>
      <c r="BH168" s="59">
        <f t="shared" si="116"/>
        <v>1200.3247571944735</v>
      </c>
      <c r="BI168" s="59">
        <f ca="1">AVERAGE(OFFSET($BH$3,0,0,'Données projet'!$E$11+1,1))-AVERAGE(OFFSET($H$3,0,0,'Données projet'!$E$11+1,1))</f>
        <v>581.88778927327667</v>
      </c>
      <c r="BJ168" s="59">
        <f t="shared" si="146"/>
        <v>269.67340993773422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72.242823598081642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72.242823598081642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-9.9316821433603781E-14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413.25558401068383</v>
      </c>
      <c r="T169" s="59">
        <f t="shared" si="142"/>
        <v>289.56516326172863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27.247251682017755</v>
      </c>
      <c r="AA169" s="21">
        <f>EXP(-LN(2)/25)*AA168+(1-EXP(-LN(2)/25))/(LN(2)/25)*Calculateur!V169*Calculateur!X169*VLOOKUP('Données projet'!$B$9,Paramètres!$A$1:$I$89,3,0)*0.475*44/12</f>
        <v>6.6504702713160961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33.89772195333385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2.2737367544323206E-13</v>
      </c>
      <c r="AJ169" s="13">
        <f>AI169*VLOOKUP('Données projet'!$B$10,Paramètres!$A$1:$I$89,3,0)*VLOOKUP('Données projet'!$B$10,Paramètres!$A$1:$I$89,5,0)</f>
        <v>1.3596945791505279E-13</v>
      </c>
      <c r="AK169" s="13">
        <f t="shared" si="164"/>
        <v>1.9708830566360721E-12</v>
      </c>
      <c r="AL169" s="20">
        <f t="shared" si="165"/>
        <v>3.669434796176543E-12</v>
      </c>
      <c r="AM169" s="59">
        <f t="shared" si="113"/>
        <v>293.33333333333701</v>
      </c>
      <c r="AN169" s="59">
        <f ca="1">AVERAGE(OFFSET($AM$3,0,0,'Données projet'!$E$10+1,1))-AVERAGE(OFFSET($H$3,0,0,'Données projet'!$E$10+1,1))</f>
        <v>287.52077437571728</v>
      </c>
      <c r="AO169" s="59">
        <f t="shared" si="144"/>
        <v>420.95891230839874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5.6229352048671588</v>
      </c>
      <c r="AV169" s="21">
        <f>EXP(-LN(2)/25)*AV168+(1-EXP(-LN(2)/25))/(LN(2)/25)*Calculateur!AQ169*Calculateur!AS169*VLOOKUP('Données projet'!$B$10,Paramètres!$A$1:$I$89,3,0)*0.475*44/12</f>
        <v>4.3456951014150533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9.9686303062822113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8.5459999999999976</v>
      </c>
      <c r="BD169" s="12">
        <f>IF('Données projet'!$A$88&gt;35,BD168+BC169-BL168,IF(A169&lt;'Données projet'!$A$88,$BA$205^A169,IF(A169='Données projet'!$A$88,'Données projet'!$B$88,BD168+BC169-BL168)))</f>
        <v>477.28200000000038</v>
      </c>
      <c r="BE169" s="13">
        <f>BD169*VLOOKUP('Données projet'!$B$11,Paramètres!$A$1:$I$89,3,0)*VLOOKUP('Données projet'!$B$11,Paramètres!$A$1:$I$89,5,0)</f>
        <v>431.84475360000033</v>
      </c>
      <c r="BF169" s="13">
        <f t="shared" si="167"/>
        <v>98.203637489221336</v>
      </c>
      <c r="BG169" s="20">
        <f t="shared" si="168"/>
        <v>923.16761448039449</v>
      </c>
      <c r="BH169" s="59">
        <f t="shared" si="116"/>
        <v>1216.5009478137279</v>
      </c>
      <c r="BI169" s="59">
        <f ca="1">AVERAGE(OFFSET($BH$3,0,0,'Données projet'!$E$11+1,1))-AVERAGE(OFFSET($H$3,0,0,'Données projet'!$E$11+1,1))</f>
        <v>581.88778927327667</v>
      </c>
      <c r="BJ169" s="59">
        <f t="shared" si="146"/>
        <v>269.67340993773422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70.826185891094724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70.826185891094724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-9.9316821433603781E-14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413.25558401068383</v>
      </c>
      <c r="T170" s="59">
        <f t="shared" si="142"/>
        <v>289.56516326172863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26.712949695715903</v>
      </c>
      <c r="AA170" s="21">
        <f>EXP(-LN(2)/25)*AA169+(1-EXP(-LN(2)/25))/(LN(2)/25)*Calculateur!V170*Calculateur!X170*VLOOKUP('Données projet'!$B$9,Paramètres!$A$1:$I$89,3,0)*0.475*44/12</f>
        <v>6.4686128120139257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33.181562507729829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2.2737367544323206E-13</v>
      </c>
      <c r="AJ170" s="13">
        <f>AI170*VLOOKUP('Données projet'!$B$10,Paramètres!$A$1:$I$89,3,0)*VLOOKUP('Données projet'!$B$10,Paramètres!$A$1:$I$89,5,0)</f>
        <v>1.3596945791505279E-13</v>
      </c>
      <c r="AK170" s="13">
        <f t="shared" si="164"/>
        <v>1.9708830566360721E-12</v>
      </c>
      <c r="AL170" s="20">
        <f t="shared" si="165"/>
        <v>3.669434796176543E-12</v>
      </c>
      <c r="AM170" s="59">
        <f t="shared" si="113"/>
        <v>293.33333333333701</v>
      </c>
      <c r="AN170" s="59">
        <f ca="1">AVERAGE(OFFSET($AM$3,0,0,'Données projet'!$E$10+1,1))-AVERAGE(OFFSET($H$3,0,0,'Données projet'!$E$10+1,1))</f>
        <v>287.52077437571728</v>
      </c>
      <c r="AO170" s="59">
        <f t="shared" si="144"/>
        <v>420.95891230839874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5.512672875151539</v>
      </c>
      <c r="AV170" s="21">
        <f>EXP(-LN(2)/25)*AV169+(1-EXP(-LN(2)/25))/(LN(2)/25)*Calculateur!AQ170*Calculateur!AS170*VLOOKUP('Données projet'!$B$10,Paramètres!$A$1:$I$89,3,0)*0.475*44/12</f>
        <v>4.2268618403366851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9.7395347154882241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8.5459999999999976</v>
      </c>
      <c r="BD170" s="12">
        <f>IF('Données projet'!$A$88&gt;35,BD169+BC170-BL169,IF(A170&lt;'Données projet'!$A$88,$BA$205^A170,IF(A170='Données projet'!$A$88,'Données projet'!$B$88,BD169+BC170-BL169)))</f>
        <v>485.82800000000037</v>
      </c>
      <c r="BE170" s="13">
        <f>BD170*VLOOKUP('Données projet'!$B$11,Paramètres!$A$1:$I$89,3,0)*VLOOKUP('Données projet'!$B$11,Paramètres!$A$1:$I$89,5,0)</f>
        <v>439.57717440000033</v>
      </c>
      <c r="BF170" s="13">
        <f t="shared" si="167"/>
        <v>99.755743172047673</v>
      </c>
      <c r="BG170" s="20">
        <f t="shared" si="168"/>
        <v>939.33816477131688</v>
      </c>
      <c r="BH170" s="59">
        <f t="shared" si="116"/>
        <v>1232.6714981046503</v>
      </c>
      <c r="BI170" s="59">
        <f ca="1">AVERAGE(OFFSET($BH$3,0,0,'Données projet'!$E$11+1,1))-AVERAGE(OFFSET($H$3,0,0,'Données projet'!$E$11+1,1))</f>
        <v>581.88778927327667</v>
      </c>
      <c r="BJ170" s="59">
        <f t="shared" si="146"/>
        <v>269.67340993773422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69.43732758547813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69.43732758547813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-9.9316821433603781E-14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413.25558401068383</v>
      </c>
      <c r="T171" s="59">
        <f t="shared" si="142"/>
        <v>289.56516326172863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26.1891250454734</v>
      </c>
      <c r="AA171" s="21">
        <f>EXP(-LN(2)/25)*AA170+(1-EXP(-LN(2)/25))/(LN(2)/25)*Calculateur!V171*Calculateur!X171*VLOOKUP('Données projet'!$B$9,Paramètres!$A$1:$I$89,3,0)*0.475*44/12</f>
        <v>6.2917282544998416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32.480853299973241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2.2737367544323206E-13</v>
      </c>
      <c r="AJ171" s="13">
        <f>AI171*VLOOKUP('Données projet'!$B$10,Paramètres!$A$1:$I$89,3,0)*VLOOKUP('Données projet'!$B$10,Paramètres!$A$1:$I$89,5,0)</f>
        <v>1.3596945791505279E-13</v>
      </c>
      <c r="AK171" s="13">
        <f t="shared" si="164"/>
        <v>1.9708830566360721E-12</v>
      </c>
      <c r="AL171" s="20">
        <f t="shared" si="165"/>
        <v>3.669434796176543E-12</v>
      </c>
      <c r="AM171" s="59">
        <f t="shared" si="113"/>
        <v>293.33333333333701</v>
      </c>
      <c r="AN171" s="59">
        <f ca="1">AVERAGE(OFFSET($AM$3,0,0,'Données projet'!$E$10+1,1))-AVERAGE(OFFSET($H$3,0,0,'Données projet'!$E$10+1,1))</f>
        <v>287.52077437571728</v>
      </c>
      <c r="AO171" s="59">
        <f t="shared" si="144"/>
        <v>420.95891230839874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5.404572722468262</v>
      </c>
      <c r="AV171" s="21">
        <f>EXP(-LN(2)/25)*AV170+(1-EXP(-LN(2)/25))/(LN(2)/25)*Calculateur!AQ171*Calculateur!AS171*VLOOKUP('Données projet'!$B$10,Paramètres!$A$1:$I$89,3,0)*0.475*44/12</f>
        <v>4.1112780810316751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9.5158508034999372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8.5459999999999976</v>
      </c>
      <c r="BD171" s="12">
        <f>IF('Données projet'!$A$88&gt;35,BD170+BC171-BL170,IF(A171&lt;'Données projet'!$A$88,$BA$205^A171,IF(A171='Données projet'!$A$88,'Données projet'!$B$88,BD170+BC171-BL170)))</f>
        <v>494.37400000000036</v>
      </c>
      <c r="BE171" s="13">
        <f>BD171*VLOOKUP('Données projet'!$B$11,Paramètres!$A$1:$I$89,3,0)*VLOOKUP('Données projet'!$B$11,Paramètres!$A$1:$I$89,5,0)</f>
        <v>447.30959520000027</v>
      </c>
      <c r="BF171" s="13">
        <f t="shared" si="167"/>
        <v>101.30467392781068</v>
      </c>
      <c r="BG171" s="20">
        <f t="shared" si="168"/>
        <v>955.50318539760417</v>
      </c>
      <c r="BH171" s="59">
        <f t="shared" si="116"/>
        <v>1248.8365187309375</v>
      </c>
      <c r="BI171" s="59">
        <f ca="1">AVERAGE(OFFSET($BH$3,0,0,'Données projet'!$E$11+1,1))-AVERAGE(OFFSET($H$3,0,0,'Données projet'!$E$11+1,1))</f>
        <v>581.88778927327667</v>
      </c>
      <c r="BJ171" s="59">
        <f t="shared" si="146"/>
        <v>269.67340993773422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68.075703944114764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68.075703944114764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-9.9316821433603781E-14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413.25558401068383</v>
      </c>
      <c r="T172" s="59">
        <f t="shared" si="142"/>
        <v>289.56516326172863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25.675572277120665</v>
      </c>
      <c r="AA172" s="21">
        <f>EXP(-LN(2)/25)*AA171+(1-EXP(-LN(2)/25))/(LN(2)/25)*Calculateur!V172*Calculateur!X172*VLOOKUP('Données projet'!$B$9,Paramètres!$A$1:$I$89,3,0)*0.475*44/12</f>
        <v>6.1196806145129345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31.795252891633599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2.2737367544323206E-13</v>
      </c>
      <c r="AJ172" s="13">
        <f>AI172*VLOOKUP('Données projet'!$B$10,Paramètres!$A$1:$I$89,3,0)*VLOOKUP('Données projet'!$B$10,Paramètres!$A$1:$I$89,5,0)</f>
        <v>1.3596945791505279E-13</v>
      </c>
      <c r="AK172" s="13">
        <f t="shared" si="164"/>
        <v>1.9708830566360721E-12</v>
      </c>
      <c r="AL172" s="20">
        <f t="shared" si="165"/>
        <v>3.669434796176543E-12</v>
      </c>
      <c r="AM172" s="59">
        <f t="shared" si="113"/>
        <v>293.33333333333701</v>
      </c>
      <c r="AN172" s="59">
        <f ca="1">AVERAGE(OFFSET($AM$3,0,0,'Données projet'!$E$10+1,1))-AVERAGE(OFFSET($H$3,0,0,'Données projet'!$E$10+1,1))</f>
        <v>287.52077437571728</v>
      </c>
      <c r="AO172" s="59">
        <f t="shared" si="144"/>
        <v>420.95891230839874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5.2985923478445214</v>
      </c>
      <c r="AV172" s="21">
        <f>EXP(-LN(2)/25)*AV171+(1-EXP(-LN(2)/25))/(LN(2)/25)*Calculateur!AQ172*Calculateur!AS172*VLOOKUP('Données projet'!$B$10,Paramètres!$A$1:$I$89,3,0)*0.475*44/12</f>
        <v>3.998854965703146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9.2974473135476678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8.5459999999999976</v>
      </c>
      <c r="BD172" s="12">
        <f>IF('Données projet'!$A$88&gt;35,BD171+BC172-BL171,IF(A172&lt;'Données projet'!$A$88,$BA$205^A172,IF(A172='Données projet'!$A$88,'Données projet'!$B$88,BD171+BC172-BL171)))</f>
        <v>502.92000000000036</v>
      </c>
      <c r="BE172" s="13">
        <f>BD172*VLOOKUP('Données projet'!$B$11,Paramètres!$A$1:$I$89,3,0)*VLOOKUP('Données projet'!$B$11,Paramètres!$A$1:$I$89,5,0)</f>
        <v>455.04201600000027</v>
      </c>
      <c r="BF172" s="13">
        <f t="shared" si="167"/>
        <v>102.85049097288233</v>
      </c>
      <c r="BG172" s="20">
        <f t="shared" si="168"/>
        <v>971.66278297777069</v>
      </c>
      <c r="BH172" s="59">
        <f t="shared" si="116"/>
        <v>1264.9961163111041</v>
      </c>
      <c r="BI172" s="59">
        <f ca="1">AVERAGE(OFFSET($BH$3,0,0,'Données projet'!$E$11+1,1))-AVERAGE(OFFSET($H$3,0,0,'Données projet'!$E$11+1,1))</f>
        <v>581.88778927327667</v>
      </c>
      <c r="BJ172" s="59">
        <f t="shared" si="146"/>
        <v>269.67340993773422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66.740780911850109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66.740780911850109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-9.9316821433603781E-14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413.25558401068383</v>
      </c>
      <c r="T173" s="59">
        <f t="shared" si="142"/>
        <v>289.56516326172863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25.172089965319067</v>
      </c>
      <c r="AA173" s="21">
        <f>EXP(-LN(2)/25)*AA172+(1-EXP(-LN(2)/25))/(LN(2)/25)*Calculateur!V173*Calculateur!X173*VLOOKUP('Données projet'!$B$9,Paramètres!$A$1:$I$89,3,0)*0.475*44/12</f>
        <v>5.9523376262890615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31.124427591608129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2.2737367544323206E-13</v>
      </c>
      <c r="AJ173" s="13">
        <f>AI173*VLOOKUP('Données projet'!$B$10,Paramètres!$A$1:$I$89,3,0)*VLOOKUP('Données projet'!$B$10,Paramètres!$A$1:$I$89,5,0)</f>
        <v>1.3596945791505279E-13</v>
      </c>
      <c r="AK173" s="13">
        <f t="shared" si="164"/>
        <v>1.9708830566360721E-12</v>
      </c>
      <c r="AL173" s="20">
        <f t="shared" si="165"/>
        <v>3.669434796176543E-12</v>
      </c>
      <c r="AM173" s="59">
        <f t="shared" si="113"/>
        <v>293.33333333333701</v>
      </c>
      <c r="AN173" s="59">
        <f ca="1">AVERAGE(OFFSET($AM$3,0,0,'Données projet'!$E$10+1,1))-AVERAGE(OFFSET($H$3,0,0,'Données projet'!$E$10+1,1))</f>
        <v>287.52077437571728</v>
      </c>
      <c r="AO173" s="59">
        <f t="shared" si="144"/>
        <v>420.95891230839874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5.1946901837255064</v>
      </c>
      <c r="AV173" s="21">
        <f>EXP(-LN(2)/25)*AV172+(1-EXP(-LN(2)/25))/(LN(2)/25)*Calculateur!AQ173*Calculateur!AS173*VLOOKUP('Données projet'!$B$10,Paramètres!$A$1:$I$89,3,0)*0.475*44/12</f>
        <v>3.8895060663753505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9.084196250100856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8.5459999999999976</v>
      </c>
      <c r="BD173" s="12">
        <f>IF('Données projet'!$A$88&gt;35,BD172+BC173-BL172,IF(A173&lt;'Données projet'!$A$88,$BA$205^A173,IF(A173='Données projet'!$A$88,'Données projet'!$B$88,BD172+BC173-BL172)))</f>
        <v>511.46600000000035</v>
      </c>
      <c r="BE173" s="13">
        <f>BD173*VLOOKUP('Données projet'!$B$11,Paramètres!$A$1:$I$89,3,0)*VLOOKUP('Données projet'!$B$11,Paramètres!$A$1:$I$89,5,0)</f>
        <v>462.77443680000027</v>
      </c>
      <c r="BF173" s="13">
        <f t="shared" si="167"/>
        <v>104.39325332394039</v>
      </c>
      <c r="BG173" s="20">
        <f t="shared" si="168"/>
        <v>987.81706029919678</v>
      </c>
      <c r="BH173" s="59">
        <f t="shared" si="116"/>
        <v>1281.15039363253</v>
      </c>
      <c r="BI173" s="59">
        <f ca="1">AVERAGE(OFFSET($BH$3,0,0,'Données projet'!$E$11+1,1))-AVERAGE(OFFSET($H$3,0,0,'Données projet'!$E$11+1,1))</f>
        <v>581.88778927327667</v>
      </c>
      <c r="BJ173" s="59">
        <f t="shared" si="146"/>
        <v>269.67340993773422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65.432034906025521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65.432034906025521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-9.9316821433603781E-14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413.25558401068383</v>
      </c>
      <c r="T174" s="59">
        <f t="shared" si="142"/>
        <v>289.56516326172863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24.67848063455801</v>
      </c>
      <c r="AA174" s="21">
        <f>EXP(-LN(2)/25)*AA173+(1-EXP(-LN(2)/25))/(LN(2)/25)*Calculateur!V174*Calculateur!X174*VLOOKUP('Données projet'!$B$9,Paramètres!$A$1:$I$89,3,0)*0.475*44/12</f>
        <v>5.7895706408783552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30.468051275436366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2.2737367544323206E-13</v>
      </c>
      <c r="AJ174" s="13">
        <f>AI174*VLOOKUP('Données projet'!$B$10,Paramètres!$A$1:$I$89,3,0)*VLOOKUP('Données projet'!$B$10,Paramètres!$A$1:$I$89,5,0)</f>
        <v>1.3596945791505279E-13</v>
      </c>
      <c r="AK174" s="13">
        <f t="shared" si="164"/>
        <v>1.9708830566360721E-12</v>
      </c>
      <c r="AL174" s="20">
        <f t="shared" si="165"/>
        <v>3.669434796176543E-12</v>
      </c>
      <c r="AM174" s="59">
        <f t="shared" si="113"/>
        <v>293.33333333333701</v>
      </c>
      <c r="AN174" s="59">
        <f ca="1">AVERAGE(OFFSET($AM$3,0,0,'Données projet'!$E$10+1,1))-AVERAGE(OFFSET($H$3,0,0,'Données projet'!$E$10+1,1))</f>
        <v>287.52077437571728</v>
      </c>
      <c r="AO174" s="59">
        <f t="shared" si="144"/>
        <v>420.95891230839874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5.0928254776708028</v>
      </c>
      <c r="AV174" s="21">
        <f>EXP(-LN(2)/25)*AV173+(1-EXP(-LN(2)/25))/(LN(2)/25)*Calculateur!AQ174*Calculateur!AS174*VLOOKUP('Données projet'!$B$10,Paramètres!$A$1:$I$89,3,0)*0.475*44/12</f>
        <v>3.7831473184500819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8.8759727961208839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8.5459999999999976</v>
      </c>
      <c r="BD174" s="12">
        <f>IF('Données projet'!$A$88&gt;35,BD173+BC174-BL173,IF(A174&lt;'Données projet'!$A$88,$BA$205^A174,IF(A174='Données projet'!$A$88,'Données projet'!$B$88,BD173+BC174-BL173)))</f>
        <v>520.0120000000004</v>
      </c>
      <c r="BE174" s="13">
        <f>BD174*VLOOKUP('Données projet'!$B$11,Paramètres!$A$1:$I$89,3,0)*VLOOKUP('Données projet'!$B$11,Paramètres!$A$1:$I$89,5,0)</f>
        <v>470.50685760000033</v>
      </c>
      <c r="BF174" s="13">
        <f t="shared" si="167"/>
        <v>105.93301791241842</v>
      </c>
      <c r="BG174" s="20">
        <f t="shared" si="168"/>
        <v>1003.9661165174626</v>
      </c>
      <c r="BH174" s="59">
        <f t="shared" si="116"/>
        <v>1297.299449850796</v>
      </c>
      <c r="BI174" s="59">
        <f ca="1">AVERAGE(OFFSET($BH$3,0,0,'Données projet'!$E$11+1,1))-AVERAGE(OFFSET($H$3,0,0,'Données projet'!$E$11+1,1))</f>
        <v>581.88778927327667</v>
      </c>
      <c r="BJ174" s="59">
        <f t="shared" si="146"/>
        <v>269.67340993773422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64.148952611118901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64.148952611118901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-9.9316821433603781E-14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413.25558401068383</v>
      </c>
      <c r="T175" s="59">
        <f t="shared" si="142"/>
        <v>289.56516326172863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24.194550681701216</v>
      </c>
      <c r="AA175" s="21">
        <f>EXP(-LN(2)/25)*AA174+(1-EXP(-LN(2)/25))/(LN(2)/25)*Calculateur!V175*Calculateur!X175*VLOOKUP('Données projet'!$B$9,Paramètres!$A$1:$I$89,3,0)*0.475*44/12</f>
        <v>5.6312545272432484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29.825805208944466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2.2737367544323206E-13</v>
      </c>
      <c r="AJ175" s="13">
        <f>AI175*VLOOKUP('Données projet'!$B$10,Paramètres!$A$1:$I$89,3,0)*VLOOKUP('Données projet'!$B$10,Paramètres!$A$1:$I$89,5,0)</f>
        <v>1.3596945791505279E-13</v>
      </c>
      <c r="AK175" s="13">
        <f t="shared" si="164"/>
        <v>1.9708830566360721E-12</v>
      </c>
      <c r="AL175" s="20">
        <f t="shared" si="165"/>
        <v>3.669434796176543E-12</v>
      </c>
      <c r="AM175" s="59">
        <f t="shared" si="113"/>
        <v>293.33333333333701</v>
      </c>
      <c r="AN175" s="59">
        <f ca="1">AVERAGE(OFFSET($AM$3,0,0,'Données projet'!$E$10+1,1))-AVERAGE(OFFSET($H$3,0,0,'Données projet'!$E$10+1,1))</f>
        <v>287.52077437571728</v>
      </c>
      <c r="AO175" s="59">
        <f t="shared" si="144"/>
        <v>420.95891230839874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4.9929582763704961</v>
      </c>
      <c r="AV175" s="21">
        <f>EXP(-LN(2)/25)*AV174+(1-EXP(-LN(2)/25))/(LN(2)/25)*Calculateur!AQ175*Calculateur!AS175*VLOOKUP('Données projet'!$B$10,Paramètres!$A$1:$I$89,3,0)*0.475*44/12</f>
        <v>3.6796969560799933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8.6726552324504897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8.5459999999999976</v>
      </c>
      <c r="BD175" s="12">
        <f>IF('Données projet'!$A$88&gt;35,BD174+BC175-BL174,IF(A175&lt;'Données projet'!$A$88,$BA$205^A175,IF(A175='Données projet'!$A$88,'Données projet'!$B$88,BD174+BC175-BL174)))</f>
        <v>528.55800000000045</v>
      </c>
      <c r="BE175" s="13">
        <f>BD175*VLOOKUP('Données projet'!$B$11,Paramètres!$A$1:$I$89,3,0)*VLOOKUP('Données projet'!$B$11,Paramètres!$A$1:$I$89,5,0)</f>
        <v>478.23927840000039</v>
      </c>
      <c r="BF175" s="13">
        <f t="shared" si="167"/>
        <v>107.46983969122122</v>
      </c>
      <c r="BG175" s="20">
        <f t="shared" si="168"/>
        <v>1020.110047342211</v>
      </c>
      <c r="BH175" s="59">
        <f t="shared" si="116"/>
        <v>1313.4433806755444</v>
      </c>
      <c r="BI175" s="59">
        <f ca="1">AVERAGE(OFFSET($BH$3,0,0,'Données projet'!$E$11+1,1))-AVERAGE(OFFSET($H$3,0,0,'Données projet'!$E$11+1,1))</f>
        <v>581.88778927327667</v>
      </c>
      <c r="BJ175" s="59">
        <f t="shared" si="146"/>
        <v>269.67340993773422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62.891030777412482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62.891030777412482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-9.9316821433603781E-14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413.25558401068383</v>
      </c>
      <c r="T176" s="59">
        <f t="shared" si="142"/>
        <v>289.56516326172863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23.720110300051818</v>
      </c>
      <c r="AA176" s="21">
        <f>EXP(-LN(2)/25)*AA175+(1-EXP(-LN(2)/25))/(LN(2)/25)*Calculateur!V176*Calculateur!X176*VLOOKUP('Données projet'!$B$9,Paramètres!$A$1:$I$89,3,0)*0.475*44/12</f>
        <v>5.4772675760609761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29.197377876112796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2.2737367544323206E-13</v>
      </c>
      <c r="AJ176" s="13">
        <f>AI176*VLOOKUP('Données projet'!$B$10,Paramètres!$A$1:$I$89,3,0)*VLOOKUP('Données projet'!$B$10,Paramètres!$A$1:$I$89,5,0)</f>
        <v>1.3596945791505279E-13</v>
      </c>
      <c r="AK176" s="13">
        <f t="shared" si="164"/>
        <v>1.9708830566360721E-12</v>
      </c>
      <c r="AL176" s="20">
        <f t="shared" si="165"/>
        <v>3.669434796176543E-12</v>
      </c>
      <c r="AM176" s="59">
        <f t="shared" si="113"/>
        <v>293.33333333333701</v>
      </c>
      <c r="AN176" s="59">
        <f ca="1">AVERAGE(OFFSET($AM$3,0,0,'Données projet'!$E$10+1,1))-AVERAGE(OFFSET($H$3,0,0,'Données projet'!$E$10+1,1))</f>
        <v>287.52077437571728</v>
      </c>
      <c r="AO176" s="59">
        <f t="shared" si="144"/>
        <v>420.95891230839874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4.8950494099747104</v>
      </c>
      <c r="AV176" s="21">
        <f>EXP(-LN(2)/25)*AV175+(1-EXP(-LN(2)/25))/(LN(2)/25)*Calculateur!AQ176*Calculateur!AS176*VLOOKUP('Données projet'!$B$10,Paramètres!$A$1:$I$89,3,0)*0.475*44/12</f>
        <v>3.579075449309133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8.4741248592838438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8.5459999999999976</v>
      </c>
      <c r="BD176" s="12">
        <f>IF('Données projet'!$A$88&gt;35,BD175+BC176-BL175,IF(A176&lt;'Données projet'!$A$88,$BA$205^A176,IF(A176='Données projet'!$A$88,'Données projet'!$B$88,BD175+BC176-BL175)))</f>
        <v>537.1040000000005</v>
      </c>
      <c r="BE176" s="13">
        <f>BD176*VLOOKUP('Données projet'!$B$11,Paramètres!$A$1:$I$89,3,0)*VLOOKUP('Données projet'!$B$11,Paramètres!$A$1:$I$89,5,0)</f>
        <v>485.97169920000039</v>
      </c>
      <c r="BF176" s="13">
        <f t="shared" si="167"/>
        <v>109.00377173434057</v>
      </c>
      <c r="BG176" s="20">
        <f t="shared" si="168"/>
        <v>1036.2489452106438</v>
      </c>
      <c r="BH176" s="59">
        <f t="shared" si="116"/>
        <v>1329.5822785439771</v>
      </c>
      <c r="BI176" s="59">
        <f ca="1">AVERAGE(OFFSET($BH$3,0,0,'Données projet'!$E$11+1,1))-AVERAGE(OFFSET($H$3,0,0,'Données projet'!$E$11+1,1))</f>
        <v>581.88778927327667</v>
      </c>
      <c r="BJ176" s="59">
        <f t="shared" si="146"/>
        <v>269.67340993773422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61.657776023608484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61.657776023608484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-9.9316821433603781E-14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413.25558401068383</v>
      </c>
      <c r="T177" s="59">
        <f t="shared" si="142"/>
        <v>289.56516326172863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23.254973404906504</v>
      </c>
      <c r="AA177" s="21">
        <f>EXP(-LN(2)/25)*AA176+(1-EXP(-LN(2)/25))/(LN(2)/25)*Calculateur!V177*Calculateur!X177*VLOOKUP('Données projet'!$B$9,Paramètres!$A$1:$I$89,3,0)*0.475*44/12</f>
        <v>5.3274914061566054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28.582464811063112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2.2737367544323206E-13</v>
      </c>
      <c r="AJ177" s="13">
        <f>AI177*VLOOKUP('Données projet'!$B$10,Paramètres!$A$1:$I$89,3,0)*VLOOKUP('Données projet'!$B$10,Paramètres!$A$1:$I$89,5,0)</f>
        <v>1.3596945791505279E-13</v>
      </c>
      <c r="AK177" s="13">
        <f t="shared" si="164"/>
        <v>1.9708830566360721E-12</v>
      </c>
      <c r="AL177" s="20">
        <f t="shared" si="165"/>
        <v>3.669434796176543E-12</v>
      </c>
      <c r="AM177" s="59">
        <f t="shared" si="113"/>
        <v>293.33333333333701</v>
      </c>
      <c r="AN177" s="59">
        <f ca="1">AVERAGE(OFFSET($AM$3,0,0,'Données projet'!$E$10+1,1))-AVERAGE(OFFSET($H$3,0,0,'Données projet'!$E$10+1,1))</f>
        <v>287.52077437571728</v>
      </c>
      <c r="AO177" s="59">
        <f t="shared" si="144"/>
        <v>420.95891230839874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4.7990604767304346</v>
      </c>
      <c r="AV177" s="21">
        <f>EXP(-LN(2)/25)*AV176+(1-EXP(-LN(2)/25))/(LN(2)/25)*Calculateur!AQ177*Calculateur!AS177*VLOOKUP('Données projet'!$B$10,Paramètres!$A$1:$I$89,3,0)*0.475*44/12</f>
        <v>3.4812054429323771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8.2802659196628117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545.65</v>
      </c>
      <c r="BB177" s="12">
        <f>VLOOKUP(A177,'Données projet'!$A$87:$I$107,9,0)</f>
        <v>8.5459999999999976</v>
      </c>
      <c r="BC177" s="12">
        <f t="array" ref="BC177">INDEX(BB:BB,MIN(IF(ISNUMBER(BB177:BB373),ROW(BB177:BB373),"")))</f>
        <v>8.5459999999999976</v>
      </c>
      <c r="BD177" s="12">
        <f>IF('Données projet'!$A$88&gt;35,BD176+BC177-BL176,IF(A177&lt;'Données projet'!$A$88,$BA$205^A177,IF(A177='Données projet'!$A$88,'Données projet'!$B$88,BD176+BC177-BL176)))</f>
        <v>545.65000000000055</v>
      </c>
      <c r="BE177" s="13">
        <f>BD177*VLOOKUP('Données projet'!$B$11,Paramètres!$A$1:$I$89,3,0)*VLOOKUP('Données projet'!$B$11,Paramètres!$A$1:$I$89,5,0)</f>
        <v>493.7041200000005</v>
      </c>
      <c r="BF177" s="13">
        <f t="shared" si="167"/>
        <v>110.53486532995269</v>
      </c>
      <c r="BG177" s="20">
        <f t="shared" si="168"/>
        <v>1052.3828994496685</v>
      </c>
      <c r="BH177" s="59">
        <f t="shared" si="116"/>
        <v>1345.7162327830017</v>
      </c>
      <c r="BI177" s="59">
        <f ca="1">AVERAGE(OFFSET($BH$3,0,0,'Données projet'!$E$11+1,1))-AVERAGE(OFFSET($H$3,0,0,'Données projet'!$E$11+1,1))</f>
        <v>581.88778927327667</v>
      </c>
      <c r="BJ177" s="59">
        <f t="shared" si="146"/>
        <v>269.67340993773422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214.77</v>
      </c>
      <c r="BM177" s="16">
        <f>IF(ISNA(VLOOKUP(A177,'Données projet'!$A$87:$I$107,5,0)),0%,VLOOKUP(A177,'Données projet'!$A$87:$I$107,5,0)*VLOOKUP('Données projet'!$B$11,Paramètres!$A$1:$I$89,7,0))</f>
        <v>0.25800000000000001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115.87208689768337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115.87208689768337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-9.9316821433603781E-14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413.25558401068383</v>
      </c>
      <c r="T178" s="59">
        <f t="shared" si="142"/>
        <v>289.56516326172863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22.798957560569498</v>
      </c>
      <c r="AA178" s="21">
        <f>EXP(-LN(2)/25)*AA177+(1-EXP(-LN(2)/25))/(LN(2)/25)*Calculateur!V178*Calculateur!X178*VLOOKUP('Données projet'!$B$9,Paramètres!$A$1:$I$89,3,0)*0.475*44/12</f>
        <v>5.1818108734946557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27.980768434064153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2.2737367544323206E-13</v>
      </c>
      <c r="AJ178" s="13">
        <f>AI178*VLOOKUP('Données projet'!$B$10,Paramètres!$A$1:$I$89,3,0)*VLOOKUP('Données projet'!$B$10,Paramètres!$A$1:$I$89,5,0)</f>
        <v>1.3596945791505279E-13</v>
      </c>
      <c r="AK178" s="13">
        <f t="shared" si="164"/>
        <v>1.9708830566360721E-12</v>
      </c>
      <c r="AL178" s="20">
        <f t="shared" si="165"/>
        <v>3.669434796176543E-12</v>
      </c>
      <c r="AM178" s="59">
        <f t="shared" si="113"/>
        <v>293.33333333333701</v>
      </c>
      <c r="AN178" s="59">
        <f ca="1">AVERAGE(OFFSET($AM$3,0,0,'Données projet'!$E$10+1,1))-AVERAGE(OFFSET($H$3,0,0,'Données projet'!$E$10+1,1))</f>
        <v>287.52077437571728</v>
      </c>
      <c r="AO178" s="59">
        <f t="shared" si="144"/>
        <v>420.95891230839874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4.7049538279196108</v>
      </c>
      <c r="AV178" s="21">
        <f>EXP(-LN(2)/25)*AV177+(1-EXP(-LN(2)/25))/(LN(2)/25)*Calculateur!AQ178*Calculateur!AS178*VLOOKUP('Données projet'!$B$10,Paramètres!$A$1:$I$89,3,0)*0.475*44/12</f>
        <v>3.3860116970267535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8.0909655249463643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5.3866666666666747</v>
      </c>
      <c r="BD178" s="12">
        <f>IF('Données projet'!$A$88&gt;35,BD177+BC178-BL177,IF(A178&lt;'Données projet'!$A$88,$BA$205^A178,IF(A178='Données projet'!$A$88,'Données projet'!$B$88,BD177+BC178-BL177)))</f>
        <v>336.26666666666722</v>
      </c>
      <c r="BE178" s="13">
        <f>BD178*VLOOKUP('Données projet'!$B$11,Paramètres!$A$1:$I$89,3,0)*VLOOKUP('Données projet'!$B$11,Paramètres!$A$1:$I$89,5,0)</f>
        <v>304.2540800000005</v>
      </c>
      <c r="BF178" s="13">
        <f t="shared" si="167"/>
        <v>72.067549889405967</v>
      </c>
      <c r="BG178" s="20">
        <f t="shared" si="168"/>
        <v>655.42683872404962</v>
      </c>
      <c r="BH178" s="59">
        <f t="shared" si="116"/>
        <v>948.76017205738299</v>
      </c>
      <c r="BI178" s="59">
        <f ca="1">AVERAGE(OFFSET($BH$3,0,0,'Données projet'!$E$11+1,1))-AVERAGE(OFFSET($H$3,0,0,'Données projet'!$E$11+1,1))</f>
        <v>581.88778927327667</v>
      </c>
      <c r="BJ178" s="59">
        <f t="shared" si="146"/>
        <v>269.67340993773422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113.59990594861424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113.59990594861424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-9.9316821433603781E-14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413.25558401068383</v>
      </c>
      <c r="T179" s="59">
        <f t="shared" si="142"/>
        <v>289.56516326172863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22.351883908797738</v>
      </c>
      <c r="AA179" s="21">
        <f>EXP(-LN(2)/25)*AA178+(1-EXP(-LN(2)/25))/(LN(2)/25)*Calculateur!V179*Calculateur!X179*VLOOKUP('Données projet'!$B$9,Paramètres!$A$1:$I$89,3,0)*0.475*44/12</f>
        <v>5.0401139826593537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27.391997891457091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2.2737367544323206E-13</v>
      </c>
      <c r="AJ179" s="13">
        <f>AI179*VLOOKUP('Données projet'!$B$10,Paramètres!$A$1:$I$89,3,0)*VLOOKUP('Données projet'!$B$10,Paramètres!$A$1:$I$89,5,0)</f>
        <v>1.3596945791505279E-13</v>
      </c>
      <c r="AK179" s="13">
        <f t="shared" si="164"/>
        <v>1.9708830566360721E-12</v>
      </c>
      <c r="AL179" s="20">
        <f t="shared" si="165"/>
        <v>3.669434796176543E-12</v>
      </c>
      <c r="AM179" s="59">
        <f t="shared" si="113"/>
        <v>293.33333333333701</v>
      </c>
      <c r="AN179" s="59">
        <f ca="1">AVERAGE(OFFSET($AM$3,0,0,'Données projet'!$E$10+1,1))-AVERAGE(OFFSET($H$3,0,0,'Données projet'!$E$10+1,1))</f>
        <v>287.52077437571728</v>
      </c>
      <c r="AO179" s="59">
        <f t="shared" si="144"/>
        <v>420.95891230839874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4.6126925530925789</v>
      </c>
      <c r="AV179" s="21">
        <f>EXP(-LN(2)/25)*AV178+(1-EXP(-LN(2)/25))/(LN(2)/25)*Calculateur!AQ179*Calculateur!AS179*VLOOKUP('Données projet'!$B$10,Paramètres!$A$1:$I$89,3,0)*0.475*44/12</f>
        <v>3.2934210291089405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7.9061135822015194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5.3866666666666747</v>
      </c>
      <c r="BD179" s="12">
        <f>IF('Données projet'!$A$88&gt;35,BD178+BC179-BL178,IF(A179&lt;'Données projet'!$A$88,$BA$205^A179,IF(A179='Données projet'!$A$88,'Données projet'!$B$88,BD178+BC179-BL178)))</f>
        <v>341.65333333333388</v>
      </c>
      <c r="BE179" s="13">
        <f>BD179*VLOOKUP('Données projet'!$B$11,Paramètres!$A$1:$I$89,3,0)*VLOOKUP('Données projet'!$B$11,Paramètres!$A$1:$I$89,5,0)</f>
        <v>309.12793600000049</v>
      </c>
      <c r="BF179" s="13">
        <f t="shared" si="167"/>
        <v>73.086678650713282</v>
      </c>
      <c r="BG179" s="20">
        <f t="shared" si="168"/>
        <v>665.6904538499931</v>
      </c>
      <c r="BH179" s="59">
        <f t="shared" si="116"/>
        <v>959.02378718332648</v>
      </c>
      <c r="BI179" s="59">
        <f ca="1">AVERAGE(OFFSET($BH$3,0,0,'Données projet'!$E$11+1,1))-AVERAGE(OFFSET($H$3,0,0,'Données projet'!$E$11+1,1))</f>
        <v>581.88778927327667</v>
      </c>
      <c r="BJ179" s="59">
        <f t="shared" si="146"/>
        <v>269.67340993773422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111.37228108206281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111.37228108206281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-9.9316821433603781E-14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413.25558401068383</v>
      </c>
      <c r="T180" s="59">
        <f t="shared" si="142"/>
        <v>289.56516326172863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21.91357709864922</v>
      </c>
      <c r="AA180" s="21">
        <f>EXP(-LN(2)/25)*AA179+(1-EXP(-LN(2)/25))/(LN(2)/25)*Calculateur!V180*Calculateur!X180*VLOOKUP('Données projet'!$B$9,Paramètres!$A$1:$I$89,3,0)*0.475*44/12</f>
        <v>4.9022918007554583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26.815868899404677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2.2737367544323206E-13</v>
      </c>
      <c r="AJ180" s="13">
        <f>AI180*VLOOKUP('Données projet'!$B$10,Paramètres!$A$1:$I$89,3,0)*VLOOKUP('Données projet'!$B$10,Paramètres!$A$1:$I$89,5,0)</f>
        <v>1.3596945791505279E-13</v>
      </c>
      <c r="AK180" s="13">
        <f t="shared" si="164"/>
        <v>1.9708830566360721E-12</v>
      </c>
      <c r="AL180" s="20">
        <f t="shared" si="165"/>
        <v>3.669434796176543E-12</v>
      </c>
      <c r="AM180" s="59">
        <f t="shared" si="113"/>
        <v>293.33333333333701</v>
      </c>
      <c r="AN180" s="59">
        <f ca="1">AVERAGE(OFFSET($AM$3,0,0,'Données projet'!$E$10+1,1))-AVERAGE(OFFSET($H$3,0,0,'Données projet'!$E$10+1,1))</f>
        <v>287.52077437571728</v>
      </c>
      <c r="AO180" s="59">
        <f t="shared" si="144"/>
        <v>420.95891230839874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4.5222404655910839</v>
      </c>
      <c r="AV180" s="21">
        <f>EXP(-LN(2)/25)*AV179+(1-EXP(-LN(2)/25))/(LN(2)/25)*Calculateur!AQ180*Calculateur!AS180*VLOOKUP('Données projet'!$B$10,Paramètres!$A$1:$I$89,3,0)*0.475*44/12</f>
        <v>3.2033622578744718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7.7256027234655562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347.04</v>
      </c>
      <c r="BB180" s="12">
        <f>VLOOKUP(A180,'Données projet'!$A$87:$I$107,9,0)</f>
        <v>5.3866666666666747</v>
      </c>
      <c r="BC180" s="12">
        <f t="array" ref="BC180">INDEX(BB:BB,MIN(IF(ISNUMBER(BB180:BB376),ROW(BB180:BB376),"")))</f>
        <v>5.3866666666666747</v>
      </c>
      <c r="BD180" s="12">
        <f>IF('Données projet'!$A$88&gt;35,BD179+BC180-BL179,IF(A180&lt;'Données projet'!$A$88,$BA$205^A180,IF(A180='Données projet'!$A$88,'Données projet'!$B$88,BD179+BC180-BL179)))</f>
        <v>347.04000000000053</v>
      </c>
      <c r="BE180" s="13">
        <f>BD180*VLOOKUP('Données projet'!$B$11,Paramètres!$A$1:$I$89,3,0)*VLOOKUP('Données projet'!$B$11,Paramètres!$A$1:$I$89,5,0)</f>
        <v>314.00179200000048</v>
      </c>
      <c r="BF180" s="13">
        <f t="shared" si="167"/>
        <v>74.103938722927282</v>
      </c>
      <c r="BG180" s="20">
        <f t="shared" si="168"/>
        <v>675.95081434243241</v>
      </c>
      <c r="BH180" s="59">
        <f t="shared" si="116"/>
        <v>969.28414767576578</v>
      </c>
      <c r="BI180" s="59">
        <f ca="1">AVERAGE(OFFSET($BH$3,0,0,'Données projet'!$E$11+1,1))-AVERAGE(OFFSET($H$3,0,0,'Données projet'!$E$11+1,1))</f>
        <v>581.88778927327667</v>
      </c>
      <c r="BJ180" s="59">
        <f t="shared" si="146"/>
        <v>269.67340993773422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115.19</v>
      </c>
      <c r="BM180" s="16">
        <f>IF(ISNA(VLOOKUP(A180,'Données projet'!$A$87:$I$107,5,0)),0%,VLOOKUP(A180,'Données projet'!$A$87:$I$107,5,0)*VLOOKUP('Données projet'!$B$11,Paramètres!$A$1:$I$89,7,0))</f>
        <v>0.25800000000000001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138.91418204963006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138.91418204963006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-9.9316821433603781E-14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413.25558401068383</v>
      </c>
      <c r="T181" s="59">
        <f t="shared" si="142"/>
        <v>289.56516326172863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21.48386521770696</v>
      </c>
      <c r="AA181" s="21">
        <f>EXP(-LN(2)/25)*AA180+(1-EXP(-LN(2)/25))/(LN(2)/25)*Calculateur!V181*Calculateur!X181*VLOOKUP('Données projet'!$B$9,Paramètres!$A$1:$I$89,3,0)*0.475*44/12</f>
        <v>4.768238373663479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26.252103591370439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2.2737367544323206E-13</v>
      </c>
      <c r="AJ181" s="13">
        <f>AI181*VLOOKUP('Données projet'!$B$10,Paramètres!$A$1:$I$89,3,0)*VLOOKUP('Données projet'!$B$10,Paramètres!$A$1:$I$89,5,0)</f>
        <v>1.3596945791505279E-13</v>
      </c>
      <c r="AK181" s="13">
        <f t="shared" si="164"/>
        <v>1.9708830566360721E-12</v>
      </c>
      <c r="AL181" s="20">
        <f t="shared" si="165"/>
        <v>3.669434796176543E-12</v>
      </c>
      <c r="AM181" s="59">
        <f t="shared" si="113"/>
        <v>293.33333333333701</v>
      </c>
      <c r="AN181" s="59">
        <f ca="1">AVERAGE(OFFSET($AM$3,0,0,'Données projet'!$E$10+1,1))-AVERAGE(OFFSET($H$3,0,0,'Données projet'!$E$10+1,1))</f>
        <v>287.52077437571728</v>
      </c>
      <c r="AO181" s="59">
        <f t="shared" si="144"/>
        <v>420.95891230839874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4.4335620883551679</v>
      </c>
      <c r="AV181" s="21">
        <f>EXP(-LN(2)/25)*AV180+(1-EXP(-LN(2)/25))/(LN(2)/25)*Calculateur!AQ181*Calculateur!AS181*VLOOKUP('Données projet'!$B$10,Paramètres!$A$1:$I$89,3,0)*0.475*44/12</f>
        <v>3.1157661484753945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7.5493282368305623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3.2566666666666606</v>
      </c>
      <c r="BD181" s="12">
        <f>IF('Données projet'!$A$88&gt;35,BD180+BC181-BL180,IF(A181&lt;'Données projet'!$A$88,$BA$205^A181,IF(A181='Données projet'!$A$88,'Données projet'!$B$88,BD180+BC181-BL180)))</f>
        <v>235.10666666666719</v>
      </c>
      <c r="BE181" s="13">
        <f>BD181*VLOOKUP('Données projet'!$B$11,Paramètres!$A$1:$I$89,3,0)*VLOOKUP('Données projet'!$B$11,Paramètres!$A$1:$I$89,5,0)</f>
        <v>212.72451200000049</v>
      </c>
      <c r="BF181" s="13">
        <f t="shared" si="167"/>
        <v>52.530512718953382</v>
      </c>
      <c r="BG181" s="20">
        <f t="shared" si="168"/>
        <v>461.98583471884461</v>
      </c>
      <c r="BH181" s="59">
        <f t="shared" si="116"/>
        <v>755.31916805217793</v>
      </c>
      <c r="BI181" s="59">
        <f ca="1">AVERAGE(OFFSET($BH$3,0,0,'Données projet'!$E$11+1,1))-AVERAGE(OFFSET($H$3,0,0,'Données projet'!$E$11+1,1))</f>
        <v>581.88778927327667</v>
      </c>
      <c r="BJ181" s="59">
        <f t="shared" si="146"/>
        <v>269.67340993773422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136.19015966892155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136.19015966892155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-9.9316821433603781E-14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413.25558401068383</v>
      </c>
      <c r="T182" s="59">
        <f t="shared" si="142"/>
        <v>289.56516326172863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21.062579724651609</v>
      </c>
      <c r="AA182" s="21">
        <f>EXP(-LN(2)/25)*AA181+(1-EXP(-LN(2)/25))/(LN(2)/25)*Calculateur!V182*Calculateur!X182*VLOOKUP('Données projet'!$B$9,Paramètres!$A$1:$I$89,3,0)*0.475*44/12</f>
        <v>4.6378506445848933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25.700430369236503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2.2737367544323206E-13</v>
      </c>
      <c r="AJ182" s="13">
        <f>AI182*VLOOKUP('Données projet'!$B$10,Paramètres!$A$1:$I$89,3,0)*VLOOKUP('Données projet'!$B$10,Paramètres!$A$1:$I$89,5,0)</f>
        <v>1.3596945791505279E-13</v>
      </c>
      <c r="AK182" s="13">
        <f t="shared" si="164"/>
        <v>1.9708830566360721E-12</v>
      </c>
      <c r="AL182" s="20">
        <f t="shared" si="165"/>
        <v>3.669434796176543E-12</v>
      </c>
      <c r="AM182" s="59">
        <f t="shared" si="113"/>
        <v>293.33333333333701</v>
      </c>
      <c r="AN182" s="59">
        <f ca="1">AVERAGE(OFFSET($AM$3,0,0,'Données projet'!$E$10+1,1))-AVERAGE(OFFSET($H$3,0,0,'Données projet'!$E$10+1,1))</f>
        <v>287.52077437571728</v>
      </c>
      <c r="AO182" s="59">
        <f t="shared" si="144"/>
        <v>420.95891230839874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4.3466226400083787</v>
      </c>
      <c r="AV182" s="21">
        <f>EXP(-LN(2)/25)*AV181+(1-EXP(-LN(2)/25))/(LN(2)/25)*Calculateur!AQ182*Calculateur!AS182*VLOOKUP('Données projet'!$B$10,Paramètres!$A$1:$I$89,3,0)*0.475*44/12</f>
        <v>3.030565359294314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7.3771879993026932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3.2566666666666606</v>
      </c>
      <c r="BD182" s="12">
        <f>IF('Données projet'!$A$88&gt;35,BD181+BC182-BL181,IF(A182&lt;'Données projet'!$A$88,$BA$205^A182,IF(A182='Données projet'!$A$88,'Données projet'!$B$88,BD181+BC182-BL181)))</f>
        <v>238.36333333333386</v>
      </c>
      <c r="BE182" s="13">
        <f>BD182*VLOOKUP('Données projet'!$B$11,Paramètres!$A$1:$I$89,3,0)*VLOOKUP('Données projet'!$B$11,Paramètres!$A$1:$I$89,5,0)</f>
        <v>215.67114400000045</v>
      </c>
      <c r="BF182" s="13">
        <f t="shared" si="167"/>
        <v>53.172944836363733</v>
      </c>
      <c r="BG182" s="20">
        <f t="shared" si="168"/>
        <v>468.23678805666754</v>
      </c>
      <c r="BH182" s="59">
        <f t="shared" si="116"/>
        <v>761.57012139000085</v>
      </c>
      <c r="BI182" s="59">
        <f ca="1">AVERAGE(OFFSET($BH$3,0,0,'Données projet'!$E$11+1,1))-AVERAGE(OFFSET($H$3,0,0,'Données projet'!$E$11+1,1))</f>
        <v>581.88778927327667</v>
      </c>
      <c r="BJ182" s="59">
        <f t="shared" si="146"/>
        <v>269.67340993773422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133.51955370560913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133.51955370560913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-9.9316821433603781E-14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413.25558401068383</v>
      </c>
      <c r="T183" s="59">
        <f t="shared" si="142"/>
        <v>289.56516326172863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20.649555383156297</v>
      </c>
      <c r="AA183" s="21">
        <f>EXP(-LN(2)/25)*AA182+(1-EXP(-LN(2)/25))/(LN(2)/25)*Calculateur!V183*Calculateur!X183*VLOOKUP('Données projet'!$B$9,Paramètres!$A$1:$I$89,3,0)*0.475*44/12</f>
        <v>4.5110283748147539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25.16058375797105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2.2737367544323206E-13</v>
      </c>
      <c r="AJ183" s="13">
        <f>AI183*VLOOKUP('Données projet'!$B$10,Paramètres!$A$1:$I$89,3,0)*VLOOKUP('Données projet'!$B$10,Paramètres!$A$1:$I$89,5,0)</f>
        <v>1.3596945791505279E-13</v>
      </c>
      <c r="AK183" s="13">
        <f t="shared" si="164"/>
        <v>1.9708830566360721E-12</v>
      </c>
      <c r="AL183" s="20">
        <f t="shared" si="165"/>
        <v>3.669434796176543E-12</v>
      </c>
      <c r="AM183" s="59">
        <f t="shared" si="113"/>
        <v>293.33333333333701</v>
      </c>
      <c r="AN183" s="59">
        <f ca="1">AVERAGE(OFFSET($AM$3,0,0,'Données projet'!$E$10+1,1))-AVERAGE(OFFSET($H$3,0,0,'Données projet'!$E$10+1,1))</f>
        <v>287.52077437571728</v>
      </c>
      <c r="AO183" s="59">
        <f t="shared" si="144"/>
        <v>420.95891230839874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4.2613880212158426</v>
      </c>
      <c r="AV183" s="21">
        <f>EXP(-LN(2)/25)*AV182+(1-EXP(-LN(2)/25))/(LN(2)/25)*Calculateur!AQ183*Calculateur!AS183*VLOOKUP('Données projet'!$B$10,Paramètres!$A$1:$I$89,3,0)*0.475*44/12</f>
        <v>2.947694390173905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7.2090824113897476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241.62</v>
      </c>
      <c r="BB183" s="12">
        <f>VLOOKUP(A183,'Données projet'!$A$87:$I$107,9,0)</f>
        <v>3.2566666666666606</v>
      </c>
      <c r="BC183" s="12">
        <f t="array" ref="BC183">INDEX(BB:BB,MIN(IF(ISNUMBER(BB183:BB379),ROW(BB183:BB379),"")))</f>
        <v>3.2566666666666606</v>
      </c>
      <c r="BD183" s="12">
        <f>IF('Données projet'!$A$88&gt;35,BD182+BC183-BL182,IF(A183&lt;'Données projet'!$A$88,$BA$205^A183,IF(A183='Données projet'!$A$88,'Données projet'!$B$88,BD182+BC183-BL182)))</f>
        <v>241.62000000000052</v>
      </c>
      <c r="BE183" s="13">
        <f>BD183*VLOOKUP('Données projet'!$B$11,Paramètres!$A$1:$I$89,3,0)*VLOOKUP('Données projet'!$B$11,Paramètres!$A$1:$I$89,5,0)</f>
        <v>218.61777600000045</v>
      </c>
      <c r="BF183" s="13">
        <f t="shared" si="167"/>
        <v>53.814356054061541</v>
      </c>
      <c r="BG183" s="20">
        <f t="shared" si="168"/>
        <v>474.48596332749122</v>
      </c>
      <c r="BH183" s="59">
        <f t="shared" si="116"/>
        <v>767.81929666082453</v>
      </c>
      <c r="BI183" s="59">
        <f ca="1">AVERAGE(OFFSET($BH$3,0,0,'Données projet'!$E$11+1,1))-AVERAGE(OFFSET($H$3,0,0,'Données projet'!$E$11+1,1))</f>
        <v>581.88778927327667</v>
      </c>
      <c r="BJ183" s="59">
        <f t="shared" si="146"/>
        <v>269.67340993773422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77.72</v>
      </c>
      <c r="BM183" s="16">
        <f>IF(ISNA(VLOOKUP(A183,'Données projet'!$A$87:$I$107,5,0)),0%,VLOOKUP(A183,'Données projet'!$A$87:$I$107,5,0)*VLOOKUP('Données projet'!$B$11,Paramètres!$A$1:$I$89,7,0))</f>
        <v>0.25800000000000001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150.95768056842175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150.95768056842175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-9.9316821433603781E-14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413.25558401068383</v>
      </c>
      <c r="T184" s="59">
        <f t="shared" si="142"/>
        <v>289.56516326172863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20.244630197077736</v>
      </c>
      <c r="AA184" s="21">
        <f>EXP(-LN(2)/25)*AA183+(1-EXP(-LN(2)/25))/(LN(2)/25)*Calculateur!V184*Calculateur!X184*VLOOKUP('Données projet'!$B$9,Paramètres!$A$1:$I$89,3,0)*0.475*44/12</f>
        <v>4.3876740666807725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24.63230426375851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2.2737367544323206E-13</v>
      </c>
      <c r="AJ184" s="13">
        <f>AI184*VLOOKUP('Données projet'!$B$10,Paramètres!$A$1:$I$89,3,0)*VLOOKUP('Données projet'!$B$10,Paramètres!$A$1:$I$89,5,0)</f>
        <v>1.3596945791505279E-13</v>
      </c>
      <c r="AK184" s="13">
        <f t="shared" si="164"/>
        <v>1.9708830566360721E-12</v>
      </c>
      <c r="AL184" s="20">
        <f t="shared" si="165"/>
        <v>3.669434796176543E-12</v>
      </c>
      <c r="AM184" s="59">
        <f t="shared" si="113"/>
        <v>293.33333333333701</v>
      </c>
      <c r="AN184" s="59">
        <f ca="1">AVERAGE(OFFSET($AM$3,0,0,'Données projet'!$E$10+1,1))-AVERAGE(OFFSET($H$3,0,0,'Données projet'!$E$10+1,1))</f>
        <v>287.52077437571728</v>
      </c>
      <c r="AO184" s="59">
        <f t="shared" si="144"/>
        <v>420.95891230839874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4.1778248013098445</v>
      </c>
      <c r="AV184" s="21">
        <f>EXP(-LN(2)/25)*AV183+(1-EXP(-LN(2)/25))/(LN(2)/25)*Calculateur!AQ184*Calculateur!AS184*VLOOKUP('Données projet'!$B$10,Paramètres!$A$1:$I$89,3,0)*0.475*44/12</f>
        <v>2.8670895320620886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7.0449143333719331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1.9533333333333285</v>
      </c>
      <c r="BD184" s="12">
        <f>IF('Données projet'!$A$88&gt;35,BD183+BC184-BL183,IF(A184&lt;'Données projet'!$A$88,$BA$205^A184,IF(A184='Données projet'!$A$88,'Données projet'!$B$88,BD183+BC184-BL183)))</f>
        <v>165.85333333333384</v>
      </c>
      <c r="BE184" s="13">
        <f>BD184*VLOOKUP('Données projet'!$B$11,Paramètres!$A$1:$I$89,3,0)*VLOOKUP('Données projet'!$B$11,Paramètres!$A$1:$I$89,5,0)</f>
        <v>150.06409600000046</v>
      </c>
      <c r="BF184" s="13">
        <f t="shared" si="167"/>
        <v>38.593151304664545</v>
      </c>
      <c r="BG184" s="20">
        <f t="shared" si="168"/>
        <v>328.57803905562486</v>
      </c>
      <c r="BH184" s="59">
        <f t="shared" si="116"/>
        <v>621.91137238895817</v>
      </c>
      <c r="BI184" s="59">
        <f ca="1">AVERAGE(OFFSET($BH$3,0,0,'Données projet'!$E$11+1,1))-AVERAGE(OFFSET($H$3,0,0,'Données projet'!$E$11+1,1))</f>
        <v>581.88778927327667</v>
      </c>
      <c r="BJ184" s="59">
        <f t="shared" si="146"/>
        <v>269.67340993773422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147.99749252756848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147.99749252756848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-9.9316821433603781E-14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413.25558401068383</v>
      </c>
      <c r="T185" s="59">
        <f t="shared" si="142"/>
        <v>289.56516326172863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19.847645346918199</v>
      </c>
      <c r="AA185" s="21">
        <f>EXP(-LN(2)/25)*AA184+(1-EXP(-LN(2)/25))/(LN(2)/25)*Calculateur!V185*Calculateur!X185*VLOOKUP('Données projet'!$B$9,Paramètres!$A$1:$I$89,3,0)*0.475*44/12</f>
        <v>4.2676928885896359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24.115338235507835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2.2737367544323206E-13</v>
      </c>
      <c r="AJ185" s="13">
        <f>AI185*VLOOKUP('Données projet'!$B$10,Paramètres!$A$1:$I$89,3,0)*VLOOKUP('Données projet'!$B$10,Paramètres!$A$1:$I$89,5,0)</f>
        <v>1.3596945791505279E-13</v>
      </c>
      <c r="AK185" s="13">
        <f t="shared" si="164"/>
        <v>1.9708830566360721E-12</v>
      </c>
      <c r="AL185" s="20">
        <f t="shared" si="165"/>
        <v>3.669434796176543E-12</v>
      </c>
      <c r="AM185" s="59">
        <f t="shared" si="113"/>
        <v>293.33333333333701</v>
      </c>
      <c r="AN185" s="59">
        <f ca="1">AVERAGE(OFFSET($AM$3,0,0,'Données projet'!$E$10+1,1))-AVERAGE(OFFSET($H$3,0,0,'Données projet'!$E$10+1,1))</f>
        <v>287.52077437571728</v>
      </c>
      <c r="AO185" s="59">
        <f t="shared" si="144"/>
        <v>420.95891230839874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4.0959002051776716</v>
      </c>
      <c r="AV185" s="21">
        <f>EXP(-LN(2)/25)*AV184+(1-EXP(-LN(2)/25))/(LN(2)/25)*Calculateur!AQ185*Calculateur!AS185*VLOOKUP('Données projet'!$B$10,Paramètres!$A$1:$I$89,3,0)*0.475*44/12</f>
        <v>2.7886888180341649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6.8845890232118361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1.9533333333333285</v>
      </c>
      <c r="BD185" s="12">
        <f>IF('Données projet'!$A$88&gt;35,BD184+BC185-BL184,IF(A185&lt;'Données projet'!$A$88,$BA$205^A185,IF(A185='Données projet'!$A$88,'Données projet'!$B$88,BD184+BC185-BL184)))</f>
        <v>167.80666666666716</v>
      </c>
      <c r="BE185" s="13">
        <f>BD185*VLOOKUP('Données projet'!$B$11,Paramètres!$A$1:$I$89,3,0)*VLOOKUP('Données projet'!$B$11,Paramètres!$A$1:$I$89,5,0)</f>
        <v>151.83147200000045</v>
      </c>
      <c r="BF185" s="13">
        <f t="shared" si="167"/>
        <v>38.994499777620597</v>
      </c>
      <c r="BG185" s="20">
        <f t="shared" si="168"/>
        <v>332.35523417935661</v>
      </c>
      <c r="BH185" s="59">
        <f t="shared" si="116"/>
        <v>625.68856751268993</v>
      </c>
      <c r="BI185" s="59">
        <f ca="1">AVERAGE(OFFSET($BH$3,0,0,'Données projet'!$E$11+1,1))-AVERAGE(OFFSET($H$3,0,0,'Données projet'!$E$11+1,1))</f>
        <v>581.88778927327667</v>
      </c>
      <c r="BJ185" s="59">
        <f t="shared" si="146"/>
        <v>269.67340993773422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145.09535196865994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145.09535196865994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-9.9316821433603781E-14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413.25558401068383</v>
      </c>
      <c r="T186" s="59">
        <f t="shared" si="142"/>
        <v>289.56516326172863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19.458445127533441</v>
      </c>
      <c r="AA186" s="21">
        <f>EXP(-LN(2)/25)*AA185+(1-EXP(-LN(2)/25))/(LN(2)/25)*Calculateur!V186*Calculateur!X186*VLOOKUP('Données projet'!$B$9,Paramètres!$A$1:$I$89,3,0)*0.475*44/12</f>
        <v>4.1509926021229369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23.609437729656378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2.2737367544323206E-13</v>
      </c>
      <c r="AJ186" s="13">
        <f>AI186*VLOOKUP('Données projet'!$B$10,Paramètres!$A$1:$I$89,3,0)*VLOOKUP('Données projet'!$B$10,Paramètres!$A$1:$I$89,5,0)</f>
        <v>1.3596945791505279E-13</v>
      </c>
      <c r="AK186" s="13">
        <f t="shared" si="164"/>
        <v>1.9708830566360721E-12</v>
      </c>
      <c r="AL186" s="20">
        <f t="shared" si="165"/>
        <v>3.669434796176543E-12</v>
      </c>
      <c r="AM186" s="59">
        <f t="shared" si="113"/>
        <v>293.33333333333701</v>
      </c>
      <c r="AN186" s="59">
        <f ca="1">AVERAGE(OFFSET($AM$3,0,0,'Données projet'!$E$10+1,1))-AVERAGE(OFFSET($H$3,0,0,'Données projet'!$E$10+1,1))</f>
        <v>287.52077437571728</v>
      </c>
      <c r="AO186" s="59">
        <f t="shared" si="144"/>
        <v>420.95891230839874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4.015582100406581</v>
      </c>
      <c r="AV186" s="21">
        <f>EXP(-LN(2)/25)*AV185+(1-EXP(-LN(2)/25))/(LN(2)/25)*Calculateur!AQ186*Calculateur!AS186*VLOOKUP('Données projet'!$B$10,Paramètres!$A$1:$I$89,3,0)*0.475*44/12</f>
        <v>2.7124319756542494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6.7280140760608305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169.76</v>
      </c>
      <c r="BB186" s="12">
        <f>VLOOKUP(A186,'Données projet'!$A$87:$I$107,9,0)</f>
        <v>1.9533333333333285</v>
      </c>
      <c r="BC186" s="12">
        <f t="array" ref="BC186">INDEX(BB:BB,MIN(IF(ISNUMBER(BB186:BB382),ROW(BB186:BB382),"")))</f>
        <v>1.9533333333333285</v>
      </c>
      <c r="BD186" s="12">
        <f>IF('Données projet'!$A$88&gt;35,BD185+BC186-BL185,IF(A186&lt;'Données projet'!$A$88,$BA$205^A186,IF(A186='Données projet'!$A$88,'Données projet'!$B$88,BD185+BC186-BL185)))</f>
        <v>169.76000000000047</v>
      </c>
      <c r="BE186" s="13">
        <f>BD186*VLOOKUP('Données projet'!$B$11,Paramètres!$A$1:$I$89,3,0)*VLOOKUP('Données projet'!$B$11,Paramètres!$A$1:$I$89,5,0)</f>
        <v>153.5988480000004</v>
      </c>
      <c r="BF186" s="13">
        <f t="shared" si="167"/>
        <v>39.395304802658316</v>
      </c>
      <c r="BG186" s="20">
        <f t="shared" si="168"/>
        <v>336.13148279796388</v>
      </c>
      <c r="BH186" s="59">
        <f t="shared" si="116"/>
        <v>629.4648161312972</v>
      </c>
      <c r="BI186" s="59">
        <f ca="1">AVERAGE(OFFSET($BH$3,0,0,'Données projet'!$E$11+1,1))-AVERAGE(OFFSET($H$3,0,0,'Données projet'!$E$11+1,1))</f>
        <v>581.88778927327667</v>
      </c>
      <c r="BJ186" s="59">
        <f t="shared" si="146"/>
        <v>269.67340993773422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169.76</v>
      </c>
      <c r="BM186" s="16">
        <f>IF(ISNA(VLOOKUP(A186,'Données projet'!$A$87:$I$107,5,0)),0%,VLOOKUP(A186,'Données projet'!$A$87:$I$107,5,0)*VLOOKUP('Données projet'!$B$11,Paramètres!$A$1:$I$89,7,0))</f>
        <v>0.25800000000000001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186.05825662893167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186.05825662893167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-9.9316821433603781E-14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413.25558401068383</v>
      </c>
      <c r="T187" s="59">
        <f t="shared" si="142"/>
        <v>289.56516326172863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19.076876887062124</v>
      </c>
      <c r="AA187" s="21">
        <f>EXP(-LN(2)/25)*AA186+(1-EXP(-LN(2)/25))/(LN(2)/25)*Calculateur!V187*Calculateur!X187*VLOOKUP('Données projet'!$B$9,Paramètres!$A$1:$I$89,3,0)*0.475*44/12</f>
        <v>4.0374834911266717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23.114360378188795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2.2737367544323206E-13</v>
      </c>
      <c r="AJ187" s="13">
        <f>AI187*VLOOKUP('Données projet'!$B$10,Paramètres!$A$1:$I$89,3,0)*VLOOKUP('Données projet'!$B$10,Paramètres!$A$1:$I$89,5,0)</f>
        <v>1.3596945791505279E-13</v>
      </c>
      <c r="AK187" s="13">
        <f t="shared" si="164"/>
        <v>1.9708830566360721E-12</v>
      </c>
      <c r="AL187" s="20">
        <f t="shared" si="165"/>
        <v>3.669434796176543E-12</v>
      </c>
      <c r="AM187" s="59">
        <f t="shared" si="113"/>
        <v>293.33333333333701</v>
      </c>
      <c r="AN187" s="59">
        <f ca="1">AVERAGE(OFFSET($AM$3,0,0,'Données projet'!$E$10+1,1))-AVERAGE(OFFSET($H$3,0,0,'Données projet'!$E$10+1,1))</f>
        <v>287.52077437571728</v>
      </c>
      <c r="AO187" s="59">
        <f t="shared" si="144"/>
        <v>420.95891230839874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3.9368389846808447</v>
      </c>
      <c r="AV187" s="21">
        <f>EXP(-LN(2)/25)*AV186+(1-EXP(-LN(2)/25))/(LN(2)/25)*Calculateur!AQ187*Calculateur!AS187*VLOOKUP('Données projet'!$B$10,Paramètres!$A$1:$I$89,3,0)*0.475*44/12</f>
        <v>2.6382603806393856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6.5750993653202308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4.8316906031686813E-13</v>
      </c>
      <c r="BE187" s="13">
        <f>BD187*VLOOKUP('Données projet'!$B$11,Paramètres!$A$1:$I$89,3,0)*VLOOKUP('Données projet'!$B$11,Paramètres!$A$1:$I$89,5,0)</f>
        <v>4.3717136577470225E-13</v>
      </c>
      <c r="BF187" s="13">
        <f t="shared" si="167"/>
        <v>5.5313598682231701E-12</v>
      </c>
      <c r="BG187" s="20">
        <f t="shared" si="168"/>
        <v>1.039519189921296E-11</v>
      </c>
      <c r="BH187" s="59">
        <f t="shared" si="116"/>
        <v>293.33333333334372</v>
      </c>
      <c r="BI187" s="59">
        <f ca="1">AVERAGE(OFFSET($BH$3,0,0,'Données projet'!$E$11+1,1))-AVERAGE(OFFSET($H$3,0,0,'Données projet'!$E$11+1,1))</f>
        <v>581.88778927327667</v>
      </c>
      <c r="BJ187" s="59">
        <f t="shared" si="146"/>
        <v>269.67340993773422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182.40976770076921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182.40976770076921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-9.9316821433603781E-14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413.25558401068383</v>
      </c>
      <c r="T188" s="59">
        <f t="shared" si="142"/>
        <v>289.56516326172863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18.702790967052803</v>
      </c>
      <c r="AA188" s="21">
        <f>EXP(-LN(2)/25)*AA187+(1-EXP(-LN(2)/25))/(LN(2)/25)*Calculateur!V188*Calculateur!X188*VLOOKUP('Données projet'!$B$9,Paramètres!$A$1:$I$89,3,0)*0.475*44/12</f>
        <v>3.9270782927397838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22.629869259792585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2.2737367544323206E-13</v>
      </c>
      <c r="AJ188" s="13">
        <f>AI188*VLOOKUP('Données projet'!$B$10,Paramètres!$A$1:$I$89,3,0)*VLOOKUP('Données projet'!$B$10,Paramètres!$A$1:$I$89,5,0)</f>
        <v>1.3596945791505279E-13</v>
      </c>
      <c r="AK188" s="13">
        <f t="shared" si="164"/>
        <v>1.9708830566360721E-12</v>
      </c>
      <c r="AL188" s="20">
        <f t="shared" si="165"/>
        <v>3.669434796176543E-12</v>
      </c>
      <c r="AM188" s="59">
        <f t="shared" si="113"/>
        <v>293.33333333333701</v>
      </c>
      <c r="AN188" s="59">
        <f ca="1">AVERAGE(OFFSET($AM$3,0,0,'Données projet'!$E$10+1,1))-AVERAGE(OFFSET($H$3,0,0,'Données projet'!$E$10+1,1))</f>
        <v>287.52077437571728</v>
      </c>
      <c r="AO188" s="59">
        <f t="shared" si="144"/>
        <v>420.95891230839874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3.8596399734259319</v>
      </c>
      <c r="AV188" s="21">
        <f>EXP(-LN(2)/25)*AV187+(1-EXP(-LN(2)/25))/(LN(2)/25)*Calculateur!AQ188*Calculateur!AS188*VLOOKUP('Données projet'!$B$10,Paramètres!$A$1:$I$89,3,0)*0.475*44/12</f>
        <v>2.5661170117907179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6.4257569852166494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4.8316906031686813E-13</v>
      </c>
      <c r="BE188" s="13">
        <f>BD188*VLOOKUP('Données projet'!$B$11,Paramètres!$A$1:$I$89,3,0)*VLOOKUP('Données projet'!$B$11,Paramètres!$A$1:$I$89,5,0)</f>
        <v>4.3717136577470225E-13</v>
      </c>
      <c r="BF188" s="13">
        <f t="shared" si="167"/>
        <v>5.5313598682231701E-12</v>
      </c>
      <c r="BG188" s="20">
        <f t="shared" si="168"/>
        <v>1.039519189921296E-11</v>
      </c>
      <c r="BH188" s="59">
        <f t="shared" si="116"/>
        <v>293.33333333334372</v>
      </c>
      <c r="BI188" s="59">
        <f ca="1">AVERAGE(OFFSET($BH$3,0,0,'Données projet'!$E$11+1,1))-AVERAGE(OFFSET($H$3,0,0,'Données projet'!$E$11+1,1))</f>
        <v>581.88778927327667</v>
      </c>
      <c r="BJ188" s="59">
        <f t="shared" si="146"/>
        <v>269.67340993773422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178.83282341512952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178.83282341512952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-9.9316821433603781E-14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413.25558401068383</v>
      </c>
      <c r="T189" s="59">
        <f t="shared" si="142"/>
        <v>289.56516326172863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18.336040643764981</v>
      </c>
      <c r="AA189" s="21">
        <f>EXP(-LN(2)/25)*AA188+(1-EXP(-LN(2)/25))/(LN(2)/25)*Calculateur!V189*Calculateur!X189*VLOOKUP('Données projet'!$B$9,Paramètres!$A$1:$I$89,3,0)*0.475*44/12</f>
        <v>3.8196921303087423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22.155732774073723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2.2737367544323206E-13</v>
      </c>
      <c r="AJ189" s="13">
        <f>AI189*VLOOKUP('Données projet'!$B$10,Paramètres!$A$1:$I$89,3,0)*VLOOKUP('Données projet'!$B$10,Paramètres!$A$1:$I$89,5,0)</f>
        <v>1.3596945791505279E-13</v>
      </c>
      <c r="AK189" s="13">
        <f t="shared" si="164"/>
        <v>1.9708830566360721E-12</v>
      </c>
      <c r="AL189" s="20">
        <f t="shared" si="165"/>
        <v>3.669434796176543E-12</v>
      </c>
      <c r="AM189" s="59">
        <f t="shared" si="113"/>
        <v>293.33333333333701</v>
      </c>
      <c r="AN189" s="59">
        <f ca="1">AVERAGE(OFFSET($AM$3,0,0,'Données projet'!$E$10+1,1))-AVERAGE(OFFSET($H$3,0,0,'Données projet'!$E$10+1,1))</f>
        <v>287.52077437571728</v>
      </c>
      <c r="AO189" s="59">
        <f t="shared" si="144"/>
        <v>420.95891230839874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3.7839547876949804</v>
      </c>
      <c r="AV189" s="21">
        <f>EXP(-LN(2)/25)*AV188+(1-EXP(-LN(2)/25))/(LN(2)/25)*Calculateur!AQ189*Calculateur!AS189*VLOOKUP('Données projet'!$B$10,Paramètres!$A$1:$I$89,3,0)*0.475*44/12</f>
        <v>2.4959464071570721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6.2799011948520524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4.8316906031686813E-13</v>
      </c>
      <c r="BE189" s="13">
        <f>BD189*VLOOKUP('Données projet'!$B$11,Paramètres!$A$1:$I$89,3,0)*VLOOKUP('Données projet'!$B$11,Paramètres!$A$1:$I$89,5,0)</f>
        <v>4.3717136577470225E-13</v>
      </c>
      <c r="BF189" s="13">
        <f t="shared" si="167"/>
        <v>5.5313598682231701E-12</v>
      </c>
      <c r="BG189" s="20">
        <f t="shared" si="168"/>
        <v>1.039519189921296E-11</v>
      </c>
      <c r="BH189" s="59">
        <f t="shared" si="116"/>
        <v>293.33333333334372</v>
      </c>
      <c r="BI189" s="59">
        <f ca="1">AVERAGE(OFFSET($BH$3,0,0,'Données projet'!$E$11+1,1))-AVERAGE(OFFSET($H$3,0,0,'Données projet'!$E$11+1,1))</f>
        <v>581.88778927327667</v>
      </c>
      <c r="BJ189" s="59">
        <f t="shared" si="146"/>
        <v>269.67340993773422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175.32602082521063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175.32602082521063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-9.9316821433603781E-14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413.25558401068383</v>
      </c>
      <c r="T190" s="59">
        <f t="shared" si="142"/>
        <v>289.56516326172863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17.976482070621227</v>
      </c>
      <c r="AA190" s="21">
        <f>EXP(-LN(2)/25)*AA189+(1-EXP(-LN(2)/25))/(LN(2)/25)*Calculateur!V190*Calculateur!X190*VLOOKUP('Données projet'!$B$9,Paramètres!$A$1:$I$89,3,0)*0.475*44/12</f>
        <v>3.7152424481365705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21.691724518757798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2.2737367544323206E-13</v>
      </c>
      <c r="AJ190" s="13">
        <f>AI190*VLOOKUP('Données projet'!$B$10,Paramètres!$A$1:$I$89,3,0)*VLOOKUP('Données projet'!$B$10,Paramètres!$A$1:$I$89,5,0)</f>
        <v>1.3596945791505279E-13</v>
      </c>
      <c r="AK190" s="13">
        <f t="shared" si="164"/>
        <v>1.9708830566360721E-12</v>
      </c>
      <c r="AL190" s="20">
        <f t="shared" si="165"/>
        <v>3.669434796176543E-12</v>
      </c>
      <c r="AM190" s="59">
        <f t="shared" si="113"/>
        <v>293.33333333333701</v>
      </c>
      <c r="AN190" s="59">
        <f ca="1">AVERAGE(OFFSET($AM$3,0,0,'Données projet'!$E$10+1,1))-AVERAGE(OFFSET($H$3,0,0,'Données projet'!$E$10+1,1))</f>
        <v>287.52077437571728</v>
      </c>
      <c r="AO190" s="59">
        <f t="shared" si="144"/>
        <v>420.95891230839874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3.7097537422928077</v>
      </c>
      <c r="AV190" s="21">
        <f>EXP(-LN(2)/25)*AV189+(1-EXP(-LN(2)/25))/(LN(2)/25)*Calculateur!AQ190*Calculateur!AS190*VLOOKUP('Données projet'!$B$10,Paramètres!$A$1:$I$89,3,0)*0.475*44/12</f>
        <v>2.427694621397245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6.1374483636900532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4.8316906031686813E-13</v>
      </c>
      <c r="BE190" s="13">
        <f>BD190*VLOOKUP('Données projet'!$B$11,Paramètres!$A$1:$I$89,3,0)*VLOOKUP('Données projet'!$B$11,Paramètres!$A$1:$I$89,5,0)</f>
        <v>4.3717136577470225E-13</v>
      </c>
      <c r="BF190" s="13">
        <f t="shared" si="167"/>
        <v>5.5313598682231701E-12</v>
      </c>
      <c r="BG190" s="20">
        <f t="shared" si="168"/>
        <v>1.039519189921296E-11</v>
      </c>
      <c r="BH190" s="59">
        <f t="shared" si="116"/>
        <v>293.33333333334372</v>
      </c>
      <c r="BI190" s="59">
        <f ca="1">AVERAGE(OFFSET($BH$3,0,0,'Données projet'!$E$11+1,1))-AVERAGE(OFFSET($H$3,0,0,'Données projet'!$E$11+1,1))</f>
        <v>581.88778927327667</v>
      </c>
      <c r="BJ190" s="59">
        <f t="shared" si="146"/>
        <v>269.67340993773422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171.88798449514167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171.88798449514167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-9.9316821433603781E-14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413.25558401068383</v>
      </c>
      <c r="T191" s="59">
        <f t="shared" si="142"/>
        <v>289.56516326172863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17.623974221787748</v>
      </c>
      <c r="AA191" s="21">
        <f>EXP(-LN(2)/25)*AA190+(1-EXP(-LN(2)/25))/(LN(2)/25)*Calculateur!V191*Calculateur!X191*VLOOKUP('Données projet'!$B$9,Paramètres!$A$1:$I$89,3,0)*0.475*44/12</f>
        <v>3.6136489480161669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21.237623169803914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2.2737367544323206E-13</v>
      </c>
      <c r="AJ191" s="13">
        <f>AI191*VLOOKUP('Données projet'!$B$10,Paramètres!$A$1:$I$89,3,0)*VLOOKUP('Données projet'!$B$10,Paramètres!$A$1:$I$89,5,0)</f>
        <v>1.3596945791505279E-13</v>
      </c>
      <c r="AK191" s="13">
        <f t="shared" si="164"/>
        <v>1.9708830566360721E-12</v>
      </c>
      <c r="AL191" s="20">
        <f t="shared" si="165"/>
        <v>3.669434796176543E-12</v>
      </c>
      <c r="AM191" s="59">
        <f t="shared" si="113"/>
        <v>293.33333333333701</v>
      </c>
      <c r="AN191" s="59">
        <f ca="1">AVERAGE(OFFSET($AM$3,0,0,'Données projet'!$E$10+1,1))-AVERAGE(OFFSET($H$3,0,0,'Données projet'!$E$10+1,1))</f>
        <v>287.52077437571728</v>
      </c>
      <c r="AO191" s="59">
        <f t="shared" si="144"/>
        <v>420.95891230839874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3.6370077341328031</v>
      </c>
      <c r="AV191" s="21">
        <f>EXP(-LN(2)/25)*AV190+(1-EXP(-LN(2)/25))/(LN(2)/25)*Calculateur!AQ191*Calculateur!AS191*VLOOKUP('Données projet'!$B$10,Paramètres!$A$1:$I$89,3,0)*0.475*44/12</f>
        <v>2.3613091843082259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5.998316918441029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4.8316906031686813E-13</v>
      </c>
      <c r="BE191" s="13">
        <f>BD191*VLOOKUP('Données projet'!$B$11,Paramètres!$A$1:$I$89,3,0)*VLOOKUP('Données projet'!$B$11,Paramètres!$A$1:$I$89,5,0)</f>
        <v>4.3717136577470225E-13</v>
      </c>
      <c r="BF191" s="13">
        <f t="shared" si="167"/>
        <v>5.5313598682231701E-12</v>
      </c>
      <c r="BG191" s="20">
        <f t="shared" si="168"/>
        <v>1.039519189921296E-11</v>
      </c>
      <c r="BH191" s="59">
        <f t="shared" si="116"/>
        <v>293.33333333334372</v>
      </c>
      <c r="BI191" s="59">
        <f ca="1">AVERAGE(OFFSET($BH$3,0,0,'Données projet'!$E$11+1,1))-AVERAGE(OFFSET($H$3,0,0,'Données projet'!$E$11+1,1))</f>
        <v>581.88778927327667</v>
      </c>
      <c r="BJ191" s="59">
        <f t="shared" si="146"/>
        <v>269.67340993773422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168.51736596051026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168.51736596051026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-9.9316821433603781E-14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413.25558401068383</v>
      </c>
      <c r="T192" s="59">
        <f t="shared" si="142"/>
        <v>289.56516326172863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17.278378836861336</v>
      </c>
      <c r="AA192" s="21">
        <f>EXP(-LN(2)/25)*AA191+(1-EXP(-LN(2)/25))/(LN(2)/25)*Calculateur!V192*Calculateur!X192*VLOOKUP('Données projet'!$B$9,Paramètres!$A$1:$I$89,3,0)*0.475*44/12</f>
        <v>3.5148335274991256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20.79321236436046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2.2737367544323206E-13</v>
      </c>
      <c r="AJ192" s="13">
        <f>AI192*VLOOKUP('Données projet'!$B$10,Paramètres!$A$1:$I$89,3,0)*VLOOKUP('Données projet'!$B$10,Paramètres!$A$1:$I$89,5,0)</f>
        <v>1.3596945791505279E-13</v>
      </c>
      <c r="AK192" s="13">
        <f t="shared" si="164"/>
        <v>1.9708830566360721E-12</v>
      </c>
      <c r="AL192" s="20">
        <f t="shared" si="165"/>
        <v>3.669434796176543E-12</v>
      </c>
      <c r="AM192" s="59">
        <f t="shared" si="113"/>
        <v>293.33333333333701</v>
      </c>
      <c r="AN192" s="59">
        <f ca="1">AVERAGE(OFFSET($AM$3,0,0,'Données projet'!$E$10+1,1))-AVERAGE(OFFSET($H$3,0,0,'Données projet'!$E$10+1,1))</f>
        <v>287.52077437571728</v>
      </c>
      <c r="AO192" s="59">
        <f t="shared" si="144"/>
        <v>420.95891230839874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3.5656882308221323</v>
      </c>
      <c r="AV192" s="21">
        <f>EXP(-LN(2)/25)*AV191+(1-EXP(-LN(2)/25))/(LN(2)/25)*Calculateur!AQ192*Calculateur!AS192*VLOOKUP('Données projet'!$B$10,Paramètres!$A$1:$I$89,3,0)*0.475*44/12</f>
        <v>2.2967390604874645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5.8624272913095972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4.8316906031686813E-13</v>
      </c>
      <c r="BE192" s="13">
        <f>BD192*VLOOKUP('Données projet'!$B$11,Paramètres!$A$1:$I$89,3,0)*VLOOKUP('Données projet'!$B$11,Paramètres!$A$1:$I$89,5,0)</f>
        <v>4.3717136577470225E-13</v>
      </c>
      <c r="BF192" s="13">
        <f t="shared" si="167"/>
        <v>5.5313598682231701E-12</v>
      </c>
      <c r="BG192" s="20">
        <f t="shared" si="168"/>
        <v>1.039519189921296E-11</v>
      </c>
      <c r="BH192" s="59">
        <f t="shared" si="116"/>
        <v>293.33333333334372</v>
      </c>
      <c r="BI192" s="59">
        <f ca="1">AVERAGE(OFFSET($BH$3,0,0,'Données projet'!$E$11+1,1))-AVERAGE(OFFSET($H$3,0,0,'Données projet'!$E$11+1,1))</f>
        <v>581.88778927327667</v>
      </c>
      <c r="BJ192" s="59">
        <f t="shared" si="146"/>
        <v>269.67340993773422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165.21284319946867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165.21284319946867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-9.9316821433603781E-14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413.25558401068383</v>
      </c>
      <c r="T193" s="59">
        <f t="shared" si="142"/>
        <v>289.56516326172863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16.939560366640958</v>
      </c>
      <c r="AA193" s="21">
        <f>EXP(-LN(2)/25)*AA192+(1-EXP(-LN(2)/25))/(LN(2)/25)*Calculateur!V193*Calculateur!X193*VLOOKUP('Données projet'!$B$9,Paramètres!$A$1:$I$89,3,0)*0.475*44/12</f>
        <v>3.4187202198526001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20.358280586493557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2.2737367544323206E-13</v>
      </c>
      <c r="AJ193" s="13">
        <f>AI193*VLOOKUP('Données projet'!$B$10,Paramètres!$A$1:$I$89,3,0)*VLOOKUP('Données projet'!$B$10,Paramètres!$A$1:$I$89,5,0)</f>
        <v>1.3596945791505279E-13</v>
      </c>
      <c r="AK193" s="13">
        <f t="shared" si="164"/>
        <v>1.9708830566360721E-12</v>
      </c>
      <c r="AL193" s="20">
        <f t="shared" si="165"/>
        <v>3.669434796176543E-12</v>
      </c>
      <c r="AM193" s="59">
        <f t="shared" si="113"/>
        <v>293.33333333333701</v>
      </c>
      <c r="AN193" s="59">
        <f ca="1">AVERAGE(OFFSET($AM$3,0,0,'Données projet'!$E$10+1,1))-AVERAGE(OFFSET($H$3,0,0,'Données projet'!$E$10+1,1))</f>
        <v>287.52077437571728</v>
      </c>
      <c r="AO193" s="59">
        <f t="shared" si="144"/>
        <v>420.95891230839874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3.495767259470782</v>
      </c>
      <c r="AV193" s="21">
        <f>EXP(-LN(2)/25)*AV192+(1-EXP(-LN(2)/25))/(LN(2)/25)*Calculateur!AQ193*Calculateur!AS193*VLOOKUP('Données projet'!$B$10,Paramètres!$A$1:$I$89,3,0)*0.475*44/12</f>
        <v>2.233934610098177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5.7297018695689594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4.8316906031686813E-13</v>
      </c>
      <c r="BE193" s="13">
        <f>BD193*VLOOKUP('Données projet'!$B$11,Paramètres!$A$1:$I$89,3,0)*VLOOKUP('Données projet'!$B$11,Paramètres!$A$1:$I$89,5,0)</f>
        <v>4.3717136577470225E-13</v>
      </c>
      <c r="BF193" s="13">
        <f t="shared" si="167"/>
        <v>5.5313598682231701E-12</v>
      </c>
      <c r="BG193" s="20">
        <f t="shared" si="168"/>
        <v>1.039519189921296E-11</v>
      </c>
      <c r="BH193" s="59">
        <f t="shared" si="116"/>
        <v>293.33333333334372</v>
      </c>
      <c r="BI193" s="59">
        <f ca="1">AVERAGE(OFFSET($BH$3,0,0,'Données projet'!$E$11+1,1))-AVERAGE(OFFSET($H$3,0,0,'Données projet'!$E$11+1,1))</f>
        <v>581.88778927327667</v>
      </c>
      <c r="BJ193" s="59">
        <f t="shared" si="146"/>
        <v>269.67340993773422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161.97312011421124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161.97312011421124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-9.9316821433603781E-14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413.25558401068383</v>
      </c>
      <c r="T194" s="59">
        <f t="shared" si="142"/>
        <v>289.56516326172863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16.607385919962741</v>
      </c>
      <c r="AA194" s="21">
        <f>EXP(-LN(2)/25)*AA193+(1-EXP(-LN(2)/25))/(LN(2)/25)*Calculateur!V194*Calculateur!X194*VLOOKUP('Données projet'!$B$9,Paramètres!$A$1:$I$89,3,0)*0.475*44/12</f>
        <v>3.3252351356580481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19.932621055620789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2.2737367544323206E-13</v>
      </c>
      <c r="AJ194" s="13">
        <f>AI194*VLOOKUP('Données projet'!$B$10,Paramètres!$A$1:$I$89,3,0)*VLOOKUP('Données projet'!$B$10,Paramètres!$A$1:$I$89,5,0)</f>
        <v>1.3596945791505279E-13</v>
      </c>
      <c r="AK194" s="13">
        <f t="shared" si="164"/>
        <v>1.9708830566360721E-12</v>
      </c>
      <c r="AL194" s="20">
        <f t="shared" si="165"/>
        <v>3.669434796176543E-12</v>
      </c>
      <c r="AM194" s="59">
        <f t="shared" si="113"/>
        <v>293.33333333333701</v>
      </c>
      <c r="AN194" s="59">
        <f ca="1">AVERAGE(OFFSET($AM$3,0,0,'Données projet'!$E$10+1,1))-AVERAGE(OFFSET($H$3,0,0,'Données projet'!$E$10+1,1))</f>
        <v>287.52077437571728</v>
      </c>
      <c r="AO194" s="59">
        <f t="shared" si="144"/>
        <v>420.95891230839874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3.4272173957200502</v>
      </c>
      <c r="AV194" s="21">
        <f>EXP(-LN(2)/25)*AV193+(1-EXP(-LN(2)/25))/(LN(2)/25)*Calculateur!AQ194*Calculateur!AS194*VLOOKUP('Données projet'!$B$10,Paramètres!$A$1:$I$89,3,0)*0.475*44/12</f>
        <v>2.1728475507075267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5.6000649464275769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4.8316906031686813E-13</v>
      </c>
      <c r="BE194" s="13">
        <f>BD194*VLOOKUP('Données projet'!$B$11,Paramètres!$A$1:$I$89,3,0)*VLOOKUP('Données projet'!$B$11,Paramètres!$A$1:$I$89,5,0)</f>
        <v>4.3717136577470225E-13</v>
      </c>
      <c r="BF194" s="13">
        <f t="shared" si="167"/>
        <v>5.5313598682231701E-12</v>
      </c>
      <c r="BG194" s="20">
        <f t="shared" si="168"/>
        <v>1.039519189921296E-11</v>
      </c>
      <c r="BH194" s="59">
        <f t="shared" si="116"/>
        <v>293.33333333334372</v>
      </c>
      <c r="BI194" s="59">
        <f ca="1">AVERAGE(OFFSET($BH$3,0,0,'Données projet'!$E$11+1,1))-AVERAGE(OFFSET($H$3,0,0,'Données projet'!$E$11+1,1))</f>
        <v>581.88778927327667</v>
      </c>
      <c r="BJ194" s="59">
        <f t="shared" si="146"/>
        <v>269.67340993773422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158.79692602261974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158.79692602261974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-9.9316821433603781E-14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413.25558401068383</v>
      </c>
      <c r="T195" s="59">
        <f t="shared" si="142"/>
        <v>289.56516326172863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16.281725211577477</v>
      </c>
      <c r="AA195" s="21">
        <f>EXP(-LN(2)/25)*AA194+(1-EXP(-LN(2)/25))/(LN(2)/25)*Calculateur!V195*Calculateur!X195*VLOOKUP('Données projet'!$B$9,Paramètres!$A$1:$I$89,3,0)*0.475*44/12</f>
        <v>3.2343064060069628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19.516031617584439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2.2737367544323206E-13</v>
      </c>
      <c r="AJ195" s="13">
        <f>AI195*VLOOKUP('Données projet'!$B$10,Paramètres!$A$1:$I$89,3,0)*VLOOKUP('Données projet'!$B$10,Paramètres!$A$1:$I$89,5,0)</f>
        <v>1.3596945791505279E-13</v>
      </c>
      <c r="AK195" s="13">
        <f t="shared" si="164"/>
        <v>1.9708830566360721E-12</v>
      </c>
      <c r="AL195" s="20">
        <f t="shared" si="165"/>
        <v>3.669434796176543E-12</v>
      </c>
      <c r="AM195" s="59">
        <f t="shared" si="113"/>
        <v>293.33333333333701</v>
      </c>
      <c r="AN195" s="59">
        <f ca="1">AVERAGE(OFFSET($AM$3,0,0,'Données projet'!$E$10+1,1))-AVERAGE(OFFSET($H$3,0,0,'Données projet'!$E$10+1,1))</f>
        <v>287.52077437571728</v>
      </c>
      <c r="AO195" s="59">
        <f t="shared" si="144"/>
        <v>420.95891230839874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3.3600117529861819</v>
      </c>
      <c r="AV195" s="21">
        <f>EXP(-LN(2)/25)*AV194+(1-EXP(-LN(2)/25))/(LN(2)/25)*Calculateur!AQ195*Calculateur!AS195*VLOOKUP('Données projet'!$B$10,Paramètres!$A$1:$I$89,3,0)*0.475*44/12</f>
        <v>2.1134309201683426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5.4734426731545245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4.8316906031686813E-13</v>
      </c>
      <c r="BE195" s="13">
        <f>BD195*VLOOKUP('Données projet'!$B$11,Paramètres!$A$1:$I$89,3,0)*VLOOKUP('Données projet'!$B$11,Paramètres!$A$1:$I$89,5,0)</f>
        <v>4.3717136577470225E-13</v>
      </c>
      <c r="BF195" s="13">
        <f t="shared" si="167"/>
        <v>5.5313598682231701E-12</v>
      </c>
      <c r="BG195" s="20">
        <f t="shared" si="168"/>
        <v>1.039519189921296E-11</v>
      </c>
      <c r="BH195" s="59">
        <f t="shared" si="116"/>
        <v>293.33333333334372</v>
      </c>
      <c r="BI195" s="59">
        <f ca="1">AVERAGE(OFFSET($BH$3,0,0,'Données projet'!$E$11+1,1))-AVERAGE(OFFSET($H$3,0,0,'Données projet'!$E$11+1,1))</f>
        <v>581.88778927327667</v>
      </c>
      <c r="BJ195" s="59">
        <f t="shared" si="146"/>
        <v>269.67340993773422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155.68301515987724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155.68301515987724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-9.9316821433603781E-14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413.25558401068383</v>
      </c>
      <c r="T196" s="59">
        <f t="shared" si="142"/>
        <v>289.56516326172863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15.96245051105023</v>
      </c>
      <c r="AA196" s="21">
        <f>EXP(-LN(2)/25)*AA195+(1-EXP(-LN(2)/25))/(LN(2)/25)*Calculateur!V196*Calculateur!X196*VLOOKUP('Données projet'!$B$9,Paramètres!$A$1:$I$89,3,0)*0.475*44/12</f>
        <v>3.1458641272499208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19.108314638300151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2.2737367544323206E-13</v>
      </c>
      <c r="AJ196" s="13">
        <f>AI196*VLOOKUP('Données projet'!$B$10,Paramètres!$A$1:$I$89,3,0)*VLOOKUP('Données projet'!$B$10,Paramètres!$A$1:$I$89,5,0)</f>
        <v>1.3596945791505279E-13</v>
      </c>
      <c r="AK196" s="13">
        <f t="shared" si="164"/>
        <v>1.9708830566360721E-12</v>
      </c>
      <c r="AL196" s="20">
        <f t="shared" si="165"/>
        <v>3.669434796176543E-12</v>
      </c>
      <c r="AM196" s="59">
        <f t="shared" ref="AM196:AM203" si="193">AL196+(AD196+AE196)*44/12</f>
        <v>293.33333333333701</v>
      </c>
      <c r="AN196" s="59">
        <f ca="1">AVERAGE(OFFSET($AM$3,0,0,'Données projet'!$E$10+1,1))-AVERAGE(OFFSET($H$3,0,0,'Données projet'!$E$10+1,1))</f>
        <v>287.52077437571728</v>
      </c>
      <c r="AO196" s="59">
        <f t="shared" si="144"/>
        <v>420.95891230839874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3.2941239719149302</v>
      </c>
      <c r="AV196" s="21">
        <f>EXP(-LN(2)/25)*AV195+(1-EXP(-LN(2)/25))/(LN(2)/25)*Calculateur!AQ196*Calculateur!AS196*VLOOKUP('Données projet'!$B$10,Paramètres!$A$1:$I$89,3,0)*0.475*44/12</f>
        <v>2.0556390405158376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5.3497630124307678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4.8316906031686813E-13</v>
      </c>
      <c r="BE196" s="13">
        <f>BD196*VLOOKUP('Données projet'!$B$11,Paramètres!$A$1:$I$89,3,0)*VLOOKUP('Données projet'!$B$11,Paramètres!$A$1:$I$89,5,0)</f>
        <v>4.3717136577470225E-13</v>
      </c>
      <c r="BF196" s="13">
        <f t="shared" si="167"/>
        <v>5.5313598682231701E-12</v>
      </c>
      <c r="BG196" s="20">
        <f t="shared" si="168"/>
        <v>1.039519189921296E-11</v>
      </c>
      <c r="BH196" s="59">
        <f t="shared" ref="BH196:BH203" si="194">BG196+(AY196+AZ196)*44/12</f>
        <v>293.33333333334372</v>
      </c>
      <c r="BI196" s="59">
        <f ca="1">AVERAGE(OFFSET($BH$3,0,0,'Données projet'!$E$11+1,1))-AVERAGE(OFFSET($H$3,0,0,'Données projet'!$E$11+1,1))</f>
        <v>581.88778927327667</v>
      </c>
      <c r="BJ196" s="59">
        <f t="shared" si="146"/>
        <v>269.67340993773422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152.63016618985506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152.63016618985506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-9.9316821433603781E-14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413.25558401068383</v>
      </c>
      <c r="T197" s="59">
        <f t="shared" ref="T197:T203" si="204">$T$3</f>
        <v>289.56516326172863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15.649436592661983</v>
      </c>
      <c r="AA197" s="21">
        <f>EXP(-LN(2)/25)*AA196+(1-EXP(-LN(2)/25))/(LN(2)/25)*Calculateur!V197*Calculateur!X197*VLOOKUP('Données projet'!$B$9,Paramètres!$A$1:$I$89,3,0)*0.475*44/12</f>
        <v>3.0598403072564673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18.70927689991845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2.2737367544323206E-13</v>
      </c>
      <c r="AJ197" s="13">
        <f>AI197*VLOOKUP('Données projet'!$B$10,Paramètres!$A$1:$I$89,3,0)*VLOOKUP('Données projet'!$B$10,Paramètres!$A$1:$I$89,5,0)</f>
        <v>1.3596945791505279E-13</v>
      </c>
      <c r="AK197" s="13">
        <f t="shared" si="164"/>
        <v>1.9708830566360721E-12</v>
      </c>
      <c r="AL197" s="20">
        <f t="shared" si="165"/>
        <v>3.669434796176543E-12</v>
      </c>
      <c r="AM197" s="59">
        <f t="shared" si="193"/>
        <v>293.33333333333701</v>
      </c>
      <c r="AN197" s="59">
        <f ca="1">AVERAGE(OFFSET($AM$3,0,0,'Données projet'!$E$10+1,1))-AVERAGE(OFFSET($H$3,0,0,'Données projet'!$E$10+1,1))</f>
        <v>287.52077437571728</v>
      </c>
      <c r="AO197" s="59">
        <f t="shared" ref="AO197:AO203" si="205">$AO$3</f>
        <v>420.95891230839874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3.2295282100429077</v>
      </c>
      <c r="AV197" s="21">
        <f>EXP(-LN(2)/25)*AV196+(1-EXP(-LN(2)/25))/(LN(2)/25)*Calculateur!AQ197*Calculateur!AS197*VLOOKUP('Données projet'!$B$10,Paramètres!$A$1:$I$89,3,0)*0.475*44/12</f>
        <v>1.999427482851573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5.2289556928944805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4.8316906031686813E-13</v>
      </c>
      <c r="BE197" s="13">
        <f>BD197*VLOOKUP('Données projet'!$B$11,Paramètres!$A$1:$I$89,3,0)*VLOOKUP('Données projet'!$B$11,Paramètres!$A$1:$I$89,5,0)</f>
        <v>4.3717136577470225E-13</v>
      </c>
      <c r="BF197" s="13">
        <f t="shared" si="167"/>
        <v>5.5313598682231701E-12</v>
      </c>
      <c r="BG197" s="20">
        <f t="shared" si="168"/>
        <v>1.039519189921296E-11</v>
      </c>
      <c r="BH197" s="59">
        <f t="shared" si="194"/>
        <v>293.33333333334372</v>
      </c>
      <c r="BI197" s="59">
        <f ca="1">AVERAGE(OFFSET($BH$3,0,0,'Données projet'!$E$11+1,1))-AVERAGE(OFFSET($H$3,0,0,'Données projet'!$E$11+1,1))</f>
        <v>581.88778927327667</v>
      </c>
      <c r="BJ197" s="59">
        <f t="shared" ref="BJ197:BJ203" si="206">$BJ$3</f>
        <v>269.67340993773422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149.637181726081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149.637181726081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-9.9316821433603781E-14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413.25558401068383</v>
      </c>
      <c r="T198" s="59">
        <f t="shared" si="204"/>
        <v>289.56516326172863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15.342560686293691</v>
      </c>
      <c r="AA198" s="21">
        <f>EXP(-LN(2)/25)*AA197+(1-EXP(-LN(2)/25))/(LN(2)/25)*Calculateur!V198*Calculateur!X198*VLOOKUP('Données projet'!$B$9,Paramètres!$A$1:$I$89,3,0)*0.475*44/12</f>
        <v>2.9761688131445307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18.31872949943822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2.2737367544323206E-13</v>
      </c>
      <c r="AJ198" s="13">
        <f>AI198*VLOOKUP('Données projet'!$B$10,Paramètres!$A$1:$I$89,3,0)*VLOOKUP('Données projet'!$B$10,Paramètres!$A$1:$I$89,5,0)</f>
        <v>1.3596945791505279E-13</v>
      </c>
      <c r="AK198" s="13">
        <f t="shared" si="164"/>
        <v>1.9708830566360721E-12</v>
      </c>
      <c r="AL198" s="20">
        <f t="shared" si="165"/>
        <v>3.669434796176543E-12</v>
      </c>
      <c r="AM198" s="59">
        <f t="shared" si="193"/>
        <v>293.33333333333701</v>
      </c>
      <c r="AN198" s="59">
        <f ca="1">AVERAGE(OFFSET($AM$3,0,0,'Données projet'!$E$10+1,1))-AVERAGE(OFFSET($H$3,0,0,'Données projet'!$E$10+1,1))</f>
        <v>287.52077437571728</v>
      </c>
      <c r="AO198" s="59">
        <f t="shared" si="205"/>
        <v>420.95891230839874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3.1661991316616711</v>
      </c>
      <c r="AV198" s="21">
        <f>EXP(-LN(2)/25)*AV197+(1-EXP(-LN(2)/25))/(LN(2)/25)*Calculateur!AQ198*Calculateur!AS198*VLOOKUP('Données projet'!$B$10,Paramètres!$A$1:$I$89,3,0)*0.475*44/12</f>
        <v>1.9447530331876752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5.1109521648493459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4.8316906031686813E-13</v>
      </c>
      <c r="BE198" s="13">
        <f>BD198*VLOOKUP('Données projet'!$B$11,Paramètres!$A$1:$I$89,3,0)*VLOOKUP('Données projet'!$B$11,Paramètres!$A$1:$I$89,5,0)</f>
        <v>4.3717136577470225E-13</v>
      </c>
      <c r="BF198" s="13">
        <f t="shared" si="167"/>
        <v>5.5313598682231701E-12</v>
      </c>
      <c r="BG198" s="20">
        <f t="shared" si="168"/>
        <v>1.039519189921296E-11</v>
      </c>
      <c r="BH198" s="59">
        <f t="shared" si="194"/>
        <v>293.33333333334372</v>
      </c>
      <c r="BI198" s="59">
        <f ca="1">AVERAGE(OFFSET($BH$3,0,0,'Données projet'!$E$11+1,1))-AVERAGE(OFFSET($H$3,0,0,'Données projet'!$E$11+1,1))</f>
        <v>581.88778927327667</v>
      </c>
      <c r="BJ198" s="59">
        <f t="shared" si="206"/>
        <v>269.67340993773422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146.70288786210128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146.70288786210128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-9.9316821433603781E-14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413.25558401068383</v>
      </c>
      <c r="T199" s="59">
        <f t="shared" si="204"/>
        <v>289.56516326172863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15.04170242927346</v>
      </c>
      <c r="AA199" s="21">
        <f>EXP(-LN(2)/25)*AA198+(1-EXP(-LN(2)/25))/(LN(2)/25)*Calculateur!V199*Calculateur!X199*VLOOKUP('Données projet'!$B$9,Paramètres!$A$1:$I$89,3,0)*0.475*44/12</f>
        <v>2.8947853204391776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17.936487749712636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2.2737367544323206E-13</v>
      </c>
      <c r="AJ199" s="13">
        <f>AI199*VLOOKUP('Données projet'!$B$10,Paramètres!$A$1:$I$89,3,0)*VLOOKUP('Données projet'!$B$10,Paramètres!$A$1:$I$89,5,0)</f>
        <v>1.3596945791505279E-13</v>
      </c>
      <c r="AK199" s="13">
        <f t="shared" si="164"/>
        <v>1.9708830566360721E-12</v>
      </c>
      <c r="AL199" s="20">
        <f t="shared" si="165"/>
        <v>3.669434796176543E-12</v>
      </c>
      <c r="AM199" s="59">
        <f t="shared" si="193"/>
        <v>293.33333333333701</v>
      </c>
      <c r="AN199" s="59">
        <f ca="1">AVERAGE(OFFSET($AM$3,0,0,'Données projet'!$E$10+1,1))-AVERAGE(OFFSET($H$3,0,0,'Données projet'!$E$10+1,1))</f>
        <v>287.52077437571728</v>
      </c>
      <c r="AO199" s="59">
        <f t="shared" si="205"/>
        <v>420.95891230839874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3.1041118978805669</v>
      </c>
      <c r="AV199" s="21">
        <f>EXP(-LN(2)/25)*AV198+(1-EXP(-LN(2)/25))/(LN(2)/25)*Calculateur!AQ199*Calculateur!AS199*VLOOKUP('Données projet'!$B$10,Paramètres!$A$1:$I$89,3,0)*0.475*44/12</f>
        <v>1.8915736592250409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4.9956855571056078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4.8316906031686813E-13</v>
      </c>
      <c r="BE199" s="13">
        <f>BD199*VLOOKUP('Données projet'!$B$11,Paramètres!$A$1:$I$89,3,0)*VLOOKUP('Données projet'!$B$11,Paramètres!$A$1:$I$89,5,0)</f>
        <v>4.3717136577470225E-13</v>
      </c>
      <c r="BF199" s="13">
        <f t="shared" si="167"/>
        <v>5.5313598682231701E-12</v>
      </c>
      <c r="BG199" s="20">
        <f t="shared" si="168"/>
        <v>1.039519189921296E-11</v>
      </c>
      <c r="BH199" s="59">
        <f t="shared" si="194"/>
        <v>293.33333333334372</v>
      </c>
      <c r="BI199" s="59">
        <f ca="1">AVERAGE(OFFSET($BH$3,0,0,'Données projet'!$E$11+1,1))-AVERAGE(OFFSET($H$3,0,0,'Données projet'!$E$11+1,1))</f>
        <v>581.88778927327667</v>
      </c>
      <c r="BJ199" s="59">
        <f t="shared" si="206"/>
        <v>269.67340993773422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143.82613371105165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143.82613371105165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-9.9316821433603781E-14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413.25558401068383</v>
      </c>
      <c r="T200" s="59">
        <f t="shared" si="204"/>
        <v>289.56516326172863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14.74674381916798</v>
      </c>
      <c r="AA200" s="21">
        <f>EXP(-LN(2)/25)*AA199+(1-EXP(-LN(2)/25))/(LN(2)/25)*Calculateur!V200*Calculateur!X200*VLOOKUP('Données projet'!$B$9,Paramètres!$A$1:$I$89,3,0)*0.475*44/12</f>
        <v>2.8156272636216242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17.562371082789603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2.2737367544323206E-13</v>
      </c>
      <c r="AJ200" s="13">
        <f>AI200*VLOOKUP('Données projet'!$B$10,Paramètres!$A$1:$I$89,3,0)*VLOOKUP('Données projet'!$B$10,Paramètres!$A$1:$I$89,5,0)</f>
        <v>1.3596945791505279E-13</v>
      </c>
      <c r="AK200" s="13">
        <f t="shared" si="164"/>
        <v>1.9708830566360721E-12</v>
      </c>
      <c r="AL200" s="20">
        <f t="shared" si="165"/>
        <v>3.669434796176543E-12</v>
      </c>
      <c r="AM200" s="59">
        <f t="shared" si="193"/>
        <v>293.33333333333701</v>
      </c>
      <c r="AN200" s="59">
        <f ca="1">AVERAGE(OFFSET($AM$3,0,0,'Données projet'!$E$10+1,1))-AVERAGE(OFFSET($H$3,0,0,'Données projet'!$E$10+1,1))</f>
        <v>287.52077437571728</v>
      </c>
      <c r="AO200" s="59">
        <f t="shared" si="205"/>
        <v>420.95891230839874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3.0432421568844368</v>
      </c>
      <c r="AV200" s="21">
        <f>EXP(-LN(2)/25)*AV199+(1-EXP(-LN(2)/25))/(LN(2)/25)*Calculateur!AQ200*Calculateur!AS200*VLOOKUP('Données projet'!$B$10,Paramètres!$A$1:$I$89,3,0)*0.475*44/12</f>
        <v>1.8398484780399966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4.8830906349244332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4.8316906031686813E-13</v>
      </c>
      <c r="BE200" s="13">
        <f>BD200*VLOOKUP('Données projet'!$B$11,Paramètres!$A$1:$I$89,3,0)*VLOOKUP('Données projet'!$B$11,Paramètres!$A$1:$I$89,5,0)</f>
        <v>4.3717136577470225E-13</v>
      </c>
      <c r="BF200" s="13">
        <f t="shared" si="167"/>
        <v>5.5313598682231701E-12</v>
      </c>
      <c r="BG200" s="20">
        <f t="shared" si="168"/>
        <v>1.039519189921296E-11</v>
      </c>
      <c r="BH200" s="59">
        <f t="shared" si="194"/>
        <v>293.33333333334372</v>
      </c>
      <c r="BI200" s="59">
        <f ca="1">AVERAGE(OFFSET($BH$3,0,0,'Données projet'!$E$11+1,1))-AVERAGE(OFFSET($H$3,0,0,'Données projet'!$E$11+1,1))</f>
        <v>581.88778927327667</v>
      </c>
      <c r="BJ200" s="59">
        <f t="shared" si="206"/>
        <v>269.67340993773422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141.00579095425735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141.00579095425735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-9.9316821433603781E-14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413.25558401068383</v>
      </c>
      <c r="T201" s="59">
        <f t="shared" si="204"/>
        <v>289.56516326172863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14.457569167499679</v>
      </c>
      <c r="AA201" s="21">
        <f>EXP(-LN(2)/25)*AA200+(1-EXP(-LN(2)/25))/(LN(2)/25)*Calculateur!V201*Calculateur!X201*VLOOKUP('Données projet'!$B$9,Paramètres!$A$1:$I$89,3,0)*0.475*44/12</f>
        <v>2.7386337880304881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17.196202955530168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2.2737367544323206E-13</v>
      </c>
      <c r="AJ201" s="13">
        <f>AI201*VLOOKUP('Données projet'!$B$10,Paramètres!$A$1:$I$89,3,0)*VLOOKUP('Données projet'!$B$10,Paramètres!$A$1:$I$89,5,0)</f>
        <v>1.3596945791505279E-13</v>
      </c>
      <c r="AK201" s="13">
        <f t="shared" si="164"/>
        <v>1.9708830566360721E-12</v>
      </c>
      <c r="AL201" s="20">
        <f t="shared" si="165"/>
        <v>3.669434796176543E-12</v>
      </c>
      <c r="AM201" s="59">
        <f t="shared" si="193"/>
        <v>293.33333333333701</v>
      </c>
      <c r="AN201" s="59">
        <f ca="1">AVERAGE(OFFSET($AM$3,0,0,'Données projet'!$E$10+1,1))-AVERAGE(OFFSET($H$3,0,0,'Données projet'!$E$10+1,1))</f>
        <v>287.52077437571728</v>
      </c>
      <c r="AO201" s="59">
        <f t="shared" si="205"/>
        <v>420.95891230839874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2.9835660343823647</v>
      </c>
      <c r="AV201" s="21">
        <f>EXP(-LN(2)/25)*AV200+(1-EXP(-LN(2)/25))/(LN(2)/25)*Calculateur!AQ201*Calculateur!AS201*VLOOKUP('Données projet'!$B$10,Paramètres!$A$1:$I$89,3,0)*0.475*44/12</f>
        <v>1.7895377246545665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4.773103759036931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4.8316906031686813E-13</v>
      </c>
      <c r="BE201" s="13">
        <f>BD201*VLOOKUP('Données projet'!$B$11,Paramètres!$A$1:$I$89,3,0)*VLOOKUP('Données projet'!$B$11,Paramètres!$A$1:$I$89,5,0)</f>
        <v>4.3717136577470225E-13</v>
      </c>
      <c r="BF201" s="13">
        <f t="shared" si="167"/>
        <v>5.5313598682231701E-12</v>
      </c>
      <c r="BG201" s="20">
        <f t="shared" si="168"/>
        <v>1.039519189921296E-11</v>
      </c>
      <c r="BH201" s="59">
        <f t="shared" si="194"/>
        <v>293.33333333334372</v>
      </c>
      <c r="BI201" s="59">
        <f ca="1">AVERAGE(OFFSET($BH$3,0,0,'Données projet'!$E$11+1,1))-AVERAGE(OFFSET($H$3,0,0,'Données projet'!$E$11+1,1))</f>
        <v>581.88778927327667</v>
      </c>
      <c r="BJ201" s="59">
        <f t="shared" si="206"/>
        <v>269.67340993773422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138.24075339868455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138.24075339868455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-9.9316821433603781E-14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413.25558401068383</v>
      </c>
      <c r="T202" s="59">
        <f t="shared" si="204"/>
        <v>289.56516326172863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14.174065054371473</v>
      </c>
      <c r="AA202" s="21">
        <f>EXP(-LN(2)/25)*AA201+(1-EXP(-LN(2)/25))/(LN(2)/25)*Calculateur!V202*Calculateur!X202*VLOOKUP('Données projet'!$B$9,Paramètres!$A$1:$I$89,3,0)*0.475*44/12</f>
        <v>2.6637457030783027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16.837810757449777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2.2737367544323206E-13</v>
      </c>
      <c r="AJ202" s="13">
        <f>AI202*VLOOKUP('Données projet'!$B$10,Paramètres!$A$1:$I$89,3,0)*VLOOKUP('Données projet'!$B$10,Paramètres!$A$1:$I$89,5,0)</f>
        <v>1.3596945791505279E-13</v>
      </c>
      <c r="AK202" s="13">
        <f t="shared" si="164"/>
        <v>1.9708830566360721E-12</v>
      </c>
      <c r="AL202" s="20">
        <f t="shared" si="165"/>
        <v>3.669434796176543E-12</v>
      </c>
      <c r="AM202" s="59">
        <f t="shared" si="193"/>
        <v>293.33333333333701</v>
      </c>
      <c r="AN202" s="59">
        <f ca="1">AVERAGE(OFFSET($AM$3,0,0,'Données projet'!$E$10+1,1))-AVERAGE(OFFSET($H$3,0,0,'Données projet'!$E$10+1,1))</f>
        <v>287.52077437571728</v>
      </c>
      <c r="AO202" s="59">
        <f t="shared" si="205"/>
        <v>420.95891230839874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2.9250601242437178</v>
      </c>
      <c r="AV202" s="21">
        <f>EXP(-LN(2)/25)*AV201+(1-EXP(-LN(2)/25))/(LN(2)/25)*Calculateur!AQ202*Calculateur!AS202*VLOOKUP('Données projet'!$B$10,Paramètres!$A$1:$I$89,3,0)*0.475*44/12</f>
        <v>1.7406027214661886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4.6656628457099067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4.8316906031686813E-13</v>
      </c>
      <c r="BE202" s="13">
        <f>BD202*VLOOKUP('Données projet'!$B$11,Paramètres!$A$1:$I$89,3,0)*VLOOKUP('Données projet'!$B$11,Paramètres!$A$1:$I$89,5,0)</f>
        <v>4.3717136577470225E-13</v>
      </c>
      <c r="BF202" s="13">
        <f t="shared" si="167"/>
        <v>5.5313598682231701E-12</v>
      </c>
      <c r="BG202" s="20">
        <f t="shared" si="168"/>
        <v>1.039519189921296E-11</v>
      </c>
      <c r="BH202" s="59">
        <f t="shared" si="194"/>
        <v>293.33333333334372</v>
      </c>
      <c r="BI202" s="59">
        <f ca="1">AVERAGE(OFFSET($BH$3,0,0,'Données projet'!$E$11+1,1))-AVERAGE(OFFSET($H$3,0,0,'Données projet'!$E$11+1,1))</f>
        <v>581.88778927327667</v>
      </c>
      <c r="BJ202" s="59">
        <f t="shared" si="206"/>
        <v>269.67340993773422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135.52993654307016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135.52993654307016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-9.9316821433603781E-14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413.25558401068383</v>
      </c>
      <c r="T203" s="59">
        <f t="shared" si="204"/>
        <v>289.56516326172863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13.896120283981277</v>
      </c>
      <c r="AA203" s="21">
        <f>EXP(-LN(2)/25)*AA202+(1-EXP(-LN(2)/25))/(LN(2)/25)*Calculateur!V203*Calculateur!X203*VLOOKUP('Données projet'!$B$9,Paramètres!$A$1:$I$89,3,0)*0.475*44/12</f>
        <v>2.5909054367473279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16.487025720728607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2.2737367544323206E-13</v>
      </c>
      <c r="AJ203" s="13">
        <f>AI203*VLOOKUP('Données projet'!$B$10,Paramètres!$A$1:$I$89,3,0)*VLOOKUP('Données projet'!$B$10,Paramètres!$A$1:$I$89,5,0)</f>
        <v>1.3596945791505279E-13</v>
      </c>
      <c r="AK203" s="13">
        <f t="shared" si="164"/>
        <v>1.9708830566360721E-12</v>
      </c>
      <c r="AL203" s="20">
        <f t="shared" si="165"/>
        <v>3.669434796176543E-12</v>
      </c>
      <c r="AM203" s="59">
        <f t="shared" si="193"/>
        <v>293.33333333333701</v>
      </c>
      <c r="AN203" s="59">
        <f ca="1">AVERAGE(OFFSET($AM$3,0,0,'Données projet'!$E$10+1,1))-AVERAGE(OFFSET($H$3,0,0,'Données projet'!$E$10+1,1))</f>
        <v>287.52077437571728</v>
      </c>
      <c r="AO203" s="59">
        <f t="shared" si="205"/>
        <v>420.95891230839874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2.8677014793178079</v>
      </c>
      <c r="AV203" s="21">
        <f>EXP(-LN(2)/25)*AV202+(1-EXP(-LN(2)/25))/(LN(2)/25)*Calculateur!AQ203*Calculateur!AS203*VLOOKUP('Données projet'!$B$10,Paramètres!$A$1:$I$89,3,0)*0.475*44/12</f>
        <v>1.6930058485133768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4.5607073278311852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4.8316906031686813E-13</v>
      </c>
      <c r="BE203" s="13">
        <f>BD203*VLOOKUP('Données projet'!$B$11,Paramètres!$A$1:$I$89,3,0)*VLOOKUP('Données projet'!$B$11,Paramètres!$A$1:$I$89,5,0)</f>
        <v>4.3717136577470225E-13</v>
      </c>
      <c r="BF203" s="13">
        <f t="shared" si="167"/>
        <v>5.5313598682231701E-12</v>
      </c>
      <c r="BG203" s="20">
        <f t="shared" si="168"/>
        <v>1.039519189921296E-11</v>
      </c>
      <c r="BH203" s="59">
        <f t="shared" si="194"/>
        <v>293.33333333334372</v>
      </c>
      <c r="BI203" s="59">
        <f ca="1">AVERAGE(OFFSET($BH$3,0,0,'Données projet'!$E$11+1,1))-AVERAGE(OFFSET($H$3,0,0,'Données projet'!$E$11+1,1))</f>
        <v>581.88778927327667</v>
      </c>
      <c r="BJ203" s="59">
        <f t="shared" si="206"/>
        <v>269.67340993773422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132.87227715255935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132.87227715255935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1.187581975428267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1.3973210857138749</v>
      </c>
      <c r="BA205" s="82">
        <f>EXP(LN('Données projet'!B88)/'Données projet'!A88)</f>
        <v>1.1289835501862808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90625" style="4" bestFit="1" customWidth="1"/>
    <col min="4" max="4" width="40" style="4" bestFit="1" customWidth="1"/>
    <col min="5" max="5" width="11.9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8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9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8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0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0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9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8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9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9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9" t="s">
        <v>271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Chêne rouge d'Amérique</v>
      </c>
      <c r="B6" s="146">
        <f>'Données projet'!D9</f>
        <v>1.26</v>
      </c>
      <c r="C6" s="147">
        <f ca="1">IF(OR('Données projet'!B9="",'Données projet'!C9="",'Données projet'!C9=0%),0,Calculateur!S3)</f>
        <v>413.25558401068383</v>
      </c>
      <c r="D6" s="147">
        <f>IF(OR('Données projet'!B9="",'Données projet'!C9="",'Données projet'!C9=0%),0,Calculateur!T3)</f>
        <v>289.56516326172863</v>
      </c>
      <c r="E6" s="147">
        <f ca="1">MIN(C6,D6)</f>
        <v>289.56516326172863</v>
      </c>
      <c r="F6" s="147">
        <f ca="1">E6*B6</f>
        <v>364.85210570977807</v>
      </c>
      <c r="G6" s="147">
        <f ca="1">F6*(100%-'Données projet'!$C$24)*(100%-'Données projet'!$C$25)*(100%-'Données projet'!$C$26)*(100%-'Données projet'!$C$27)</f>
        <v>311.94855038186023</v>
      </c>
      <c r="H6" s="148">
        <f>IF(OR('Données projet'!B9="",'Données projet'!C9="",'Données projet'!C9=0%),0,AVERAGE(Calculateur!$AC$3:$AC$33)*B6)</f>
        <v>0.43943099743960556</v>
      </c>
      <c r="I6" s="149">
        <f>H6*(100%-'Données projet'!$C$24)*(100%-'Données projet'!$C$25)*(100%-'Données projet'!$C$26)*(100%-'Données projet'!$C$27)</f>
        <v>0.37571350281086274</v>
      </c>
      <c r="J6" s="150">
        <f>IF(OR('Données projet'!B9="",'Données projet'!C9="",'Données projet'!C9=0%),0,SUM(Calculateur!$V$3:$V$33)*VLOOKUP('Données projet'!$B$9,Paramètres!$A$1:$I$89,9,0)*B6)</f>
        <v>8.3475000000000001</v>
      </c>
      <c r="K6" s="151">
        <f>J6*(100%-'Données projet'!$C$24)*(100%-'Données projet'!$C$25)*(100%-'Données projet'!$C$26)*(100%-'Données projet'!$C$27)</f>
        <v>7.1371124999999997</v>
      </c>
      <c r="L6" s="152">
        <f ca="1">G6+I6+K6</f>
        <v>319.4613763846711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taeda</v>
      </c>
      <c r="B7" s="154">
        <f>'Données projet'!D10</f>
        <v>0.54</v>
      </c>
      <c r="C7" s="147">
        <f ca="1">IF(OR('Données projet'!B10="",'Données projet'!C10="",'Données projet'!C10=0%),0,Calculateur!AN3)</f>
        <v>287.52077437571728</v>
      </c>
      <c r="D7" s="147">
        <f>IF(OR('Données projet'!B10="",'Données projet'!C10="",'Données projet'!C10=0%),0,Calculateur!AO3)</f>
        <v>420.95891230839874</v>
      </c>
      <c r="E7" s="147">
        <f t="shared" ref="E7:E15" ca="1" si="0">MIN(C7,D7)</f>
        <v>287.52077437571728</v>
      </c>
      <c r="F7" s="147">
        <f t="shared" ref="F7:F15" ca="1" si="1">E7*B7</f>
        <v>155.26121816288733</v>
      </c>
      <c r="G7" s="147">
        <f ca="1">F7*(100%-'Données projet'!$C$24)*(100%-'Données projet'!$C$25)*(100%-'Données projet'!$C$26)*(100%-'Données projet'!$C$27)</f>
        <v>132.74834152926866</v>
      </c>
      <c r="H7" s="155">
        <f>IF(OR('Données projet'!B10="",'Données projet'!C10="",'Données projet'!C10=0%),0,AVERAGE(Calculateur!$AX$3:$AX$33)*B7)</f>
        <v>8.6394971986819424</v>
      </c>
      <c r="I7" s="149">
        <f>H7*(100%-'Données projet'!$C$24)*(100%-'Données projet'!$C$25)*(100%-'Données projet'!$C$26)*(100%-'Données projet'!$C$27)</f>
        <v>7.3867701048730607</v>
      </c>
      <c r="J7" s="150">
        <f>IF(OR('Données projet'!B10="",'Données projet'!C10="",'Données projet'!C10=0%),0,SUM(Calculateur!$AQ$3:$AQ$33)*VLOOKUP('Données projet'!$B$10,Paramètres!$A$1:$I$89,9,0)*B7)</f>
        <v>35.923662</v>
      </c>
      <c r="K7" s="151">
        <f>J7*(100%-'Données projet'!$C$24)*(100%-'Données projet'!$C$25)*(100%-'Données projet'!$C$26)*(100%-'Données projet'!$C$27)</f>
        <v>30.714731009999998</v>
      </c>
      <c r="L7" s="152">
        <f t="shared" ref="L7:L15" ca="1" si="2">G7+I7+K7</f>
        <v>170.84984264414172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sessile</v>
      </c>
      <c r="B8" s="154">
        <f>'Données projet'!D11</f>
        <v>1.871</v>
      </c>
      <c r="C8" s="147">
        <f ca="1">IF(OR('Données projet'!B11="",'Données projet'!C11="",'Données projet'!C11=0%),0,Calculateur!BI3)</f>
        <v>581.88778927327667</v>
      </c>
      <c r="D8" s="147">
        <f>IF(OR('Données projet'!B11="",'Données projet'!C11="",'Données projet'!C11=0%),0,Calculateur!BJ3)</f>
        <v>269.67340993773422</v>
      </c>
      <c r="E8" s="147">
        <f t="shared" ca="1" si="0"/>
        <v>269.67340993773422</v>
      </c>
      <c r="F8" s="147">
        <f t="shared" ca="1" si="1"/>
        <v>504.55894999350073</v>
      </c>
      <c r="G8" s="147">
        <f ca="1">F8*(100%-'Données projet'!$C$24)*(100%-'Données projet'!$C$25)*(100%-'Données projet'!$C$26)*(100%-'Données projet'!$C$27)</f>
        <v>431.39790224444312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431.39790224444312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1024.6722738661661</v>
      </c>
      <c r="G16" s="166">
        <f t="shared" ca="1" si="3"/>
        <v>876.094794155572</v>
      </c>
      <c r="H16" s="167">
        <f t="shared" si="3"/>
        <v>9.0789281961215487</v>
      </c>
      <c r="I16" s="167">
        <f t="shared" si="3"/>
        <v>7.7624836076839232</v>
      </c>
      <c r="J16" s="168">
        <f t="shared" si="3"/>
        <v>44.271162000000004</v>
      </c>
      <c r="K16" s="168">
        <f t="shared" si="3"/>
        <v>37.851843509999995</v>
      </c>
      <c r="L16" s="169">
        <f t="shared" ca="1" si="3"/>
        <v>921.70912127325596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1" t="s">
        <v>246</v>
      </c>
      <c r="G17" s="292"/>
      <c r="H17" s="292"/>
      <c r="I17" s="292"/>
      <c r="J17" s="292"/>
      <c r="K17" s="292"/>
      <c r="L17" s="29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8"/>
      <c r="G18" s="278"/>
      <c r="H18" s="278"/>
      <c r="I18" s="278"/>
      <c r="J18" s="278"/>
      <c r="K18" s="278"/>
      <c r="L18" s="27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Chêne rouge d'Amérique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1" zoomScale="80" zoomScaleNormal="80" workbookViewId="0">
      <selection activeCell="S30" sqref="S30"/>
    </sheetView>
  </sheetViews>
  <sheetFormatPr baseColWidth="10" defaultColWidth="11.453125" defaultRowHeight="14.5" x14ac:dyDescent="0.35"/>
  <cols>
    <col min="1" max="1" width="11.453125" style="1"/>
    <col min="2" max="2" width="30.9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54296875" style="1" customWidth="1"/>
    <col min="8" max="8" width="21.6328125" style="1" customWidth="1"/>
    <col min="9" max="9" width="37" style="1" customWidth="1"/>
    <col min="10" max="10" width="11.453125" style="1"/>
    <col min="11" max="11" width="8.9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9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9" t="s">
        <v>272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9" t="s">
        <v>315</v>
      </c>
      <c r="I4" s="269"/>
      <c r="K4" s="293" t="s">
        <v>253</v>
      </c>
      <c r="L4" s="294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3" t="s">
        <v>310</v>
      </c>
      <c r="S7" s="304"/>
      <c r="T7" s="304"/>
      <c r="U7" s="304"/>
      <c r="V7" s="30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rouge d'Amérique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-7760.3082831581332</v>
      </c>
      <c r="U10" s="178">
        <f>'Données projet'!D9</f>
        <v>1.26</v>
      </c>
      <c r="V10" s="177">
        <f>U10*T10</f>
        <v>-9777.9884367792474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-2200.3106282785939</v>
      </c>
      <c r="U11" s="178">
        <f>'Données projet'!D10</f>
        <v>0.54</v>
      </c>
      <c r="V11" s="177">
        <f t="shared" ref="V11" si="0">U11*T11</f>
        <v>-1188.1677392704407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-3540.9033778839189</v>
      </c>
      <c r="U12" s="178">
        <f>'Données projet'!D11</f>
        <v>1.871</v>
      </c>
      <c r="V12" s="177">
        <f t="shared" ref="V12:V19" si="1">U12*T12</f>
        <v>-6625.0302200208125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Chêne rouge d'Amérique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96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6"/>
      <c r="H16" s="190"/>
      <c r="I16" s="191"/>
      <c r="J16" s="202"/>
      <c r="K16" s="208"/>
      <c r="L16" s="293" t="s">
        <v>254</v>
      </c>
      <c r="M16" s="294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670+5905.2/(1.51*0.7)</f>
        <v>6256.7549668874171</v>
      </c>
      <c r="F17" s="230"/>
      <c r="G17" s="296"/>
      <c r="I17" s="195"/>
      <c r="J17" s="202"/>
      <c r="K17" s="208"/>
      <c r="L17" s="266" t="s">
        <v>289</v>
      </c>
      <c r="M17" s="268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296"/>
      <c r="J18" s="202"/>
      <c r="K18" s="208"/>
      <c r="L18" s="266" t="s">
        <v>255</v>
      </c>
      <c r="M18" s="268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1768.5132450331125</v>
      </c>
      <c r="F19" s="230"/>
      <c r="G19" s="296"/>
      <c r="H19" s="212" t="s">
        <v>178</v>
      </c>
      <c r="I19" s="212" t="s">
        <v>287</v>
      </c>
      <c r="J19" s="93"/>
      <c r="K19" s="173"/>
      <c r="L19" s="293" t="s">
        <v>288</v>
      </c>
      <c r="M19" s="294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296"/>
      <c r="H20" s="190">
        <v>1</v>
      </c>
      <c r="I20" s="191">
        <f>20+(400/'Données projet'!C5+20)+(200/'Données projet'!C5+10)</f>
        <v>213.48773841961852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20+200/'Données projet'!C5+10</f>
        <v>84.495912806539508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29</v>
      </c>
      <c r="B23" s="181">
        <f>'Données projet'!D36</f>
        <v>26.5</v>
      </c>
      <c r="C23" s="193">
        <v>5</v>
      </c>
      <c r="D23" s="182">
        <f>B23*C23</f>
        <v>132.5</v>
      </c>
      <c r="E23" s="193"/>
      <c r="F23" s="230"/>
      <c r="H23" s="190">
        <v>4</v>
      </c>
      <c r="I23" s="191">
        <v>20</v>
      </c>
      <c r="K23" s="208"/>
      <c r="L23" s="295" t="s">
        <v>260</v>
      </c>
      <c r="M23" s="295"/>
      <c r="N23" s="295"/>
      <c r="O23" s="23"/>
      <c r="P23" s="23"/>
      <c r="Q23" s="234"/>
      <c r="R23" s="23"/>
      <c r="S23" s="36" t="s">
        <v>264</v>
      </c>
      <c r="T23" s="30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-21395.250687319087</v>
      </c>
      <c r="U23" s="308"/>
      <c r="V23" s="30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34</v>
      </c>
      <c r="B24" s="181">
        <f>'Données projet'!D37</f>
        <v>23.1</v>
      </c>
      <c r="C24" s="193">
        <v>32</v>
      </c>
      <c r="D24" s="182">
        <f t="shared" ref="D24:D42" si="2">B24*C24</f>
        <v>739.2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20+8%*(SUM(E17:E22)*U10+SUM(E$48:E53)*U11+SUM(E79:E84)*U12+SUM(E110:E115)*U13+SUM(E141:E146)*U14+SUM(E172:E177)*U15+SUM(E203:E208)*U16+SUM(E234:E239)*U17+SUM(E265:E270)*U18+SUM(E296:E301)*U19)/'Données projet'!$C$5</f>
        <v>548.81727592615982</v>
      </c>
      <c r="K24" s="208"/>
      <c r="O24" s="23"/>
      <c r="P24" s="23"/>
      <c r="Q24" s="234"/>
      <c r="R24" s="23"/>
      <c r="S24" s="36" t="s">
        <v>261</v>
      </c>
      <c r="T24" s="30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9"/>
      <c r="V24" s="30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42</v>
      </c>
      <c r="B25" s="181">
        <f>'Données projet'!D38</f>
        <v>47.2</v>
      </c>
      <c r="C25" s="193">
        <v>32</v>
      </c>
      <c r="D25" s="182">
        <f t="shared" si="2"/>
        <v>1510.4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10">
        <f ca="1">T23-T24</f>
        <v>-21395.250687319087</v>
      </c>
      <c r="U25" s="310"/>
      <c r="V25" s="31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50</v>
      </c>
      <c r="B26" s="181">
        <f>'Données projet'!D39</f>
        <v>79.7</v>
      </c>
      <c r="C26" s="193">
        <v>32</v>
      </c>
      <c r="D26" s="182">
        <f t="shared" si="2"/>
        <v>2550.4</v>
      </c>
      <c r="E26" s="193"/>
      <c r="F26" s="233"/>
      <c r="G26" s="229"/>
      <c r="H26" s="190">
        <v>7</v>
      </c>
      <c r="I26" s="191">
        <v>20</v>
      </c>
      <c r="K26" s="208"/>
      <c r="L26" s="297" t="s">
        <v>258</v>
      </c>
      <c r="M26" s="298"/>
      <c r="N26" s="298"/>
      <c r="O26" s="298"/>
      <c r="P26" s="299"/>
      <c r="Q26" s="234"/>
      <c r="R26" s="23"/>
      <c r="S26" s="186" t="s">
        <v>265</v>
      </c>
      <c r="T26" s="307" t="str">
        <f ca="1">IF(T25&lt;0,"Votre projet est additionnel","Votre projet n'est pas additionnel")</f>
        <v>Votre projet est additionnel</v>
      </c>
      <c r="U26" s="307"/>
      <c r="V26" s="30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62</v>
      </c>
      <c r="B27" s="181">
        <f>'Données projet'!D40</f>
        <v>15.5</v>
      </c>
      <c r="C27" s="193">
        <v>32</v>
      </c>
      <c r="D27" s="182">
        <f t="shared" si="2"/>
        <v>496</v>
      </c>
      <c r="E27" s="193"/>
      <c r="F27" s="233"/>
      <c r="G27" s="229"/>
      <c r="H27" s="190">
        <v>8</v>
      </c>
      <c r="I27" s="191">
        <v>20</v>
      </c>
      <c r="K27" s="208"/>
      <c r="L27" s="300"/>
      <c r="M27" s="301"/>
      <c r="N27" s="301"/>
      <c r="O27" s="301"/>
      <c r="P27" s="302"/>
      <c r="Q27" s="234"/>
      <c r="R27" s="23"/>
      <c r="S27" s="306" t="s">
        <v>267</v>
      </c>
      <c r="T27" s="306"/>
      <c r="U27" s="306"/>
      <c r="V27" s="30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78</v>
      </c>
      <c r="B28" s="181">
        <f>'Données projet'!D41</f>
        <v>534.9</v>
      </c>
      <c r="C28" s="193">
        <v>32</v>
      </c>
      <c r="D28" s="182">
        <f t="shared" si="2"/>
        <v>17116.8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>
        <f>670+445.55/(1.51*0.3)</f>
        <v>1653.5540838852098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400+430+15%*E48</f>
        <v>1078.0331125827815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>
        <f>220+430</f>
        <v>650</v>
      </c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14</v>
      </c>
      <c r="B54" s="181">
        <f>'Données projet'!D62</f>
        <v>34.25</v>
      </c>
      <c r="C54" s="191">
        <v>5</v>
      </c>
      <c r="D54" s="179">
        <f>B54*C54</f>
        <v>171.25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19</v>
      </c>
      <c r="B55" s="181">
        <f>'Données projet'!D63</f>
        <v>59.5</v>
      </c>
      <c r="C55" s="191">
        <v>5</v>
      </c>
      <c r="D55" s="179">
        <f t="shared" ref="D55:D73" si="4">B55*C55</f>
        <v>297.5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25</v>
      </c>
      <c r="B56" s="181">
        <f>'Données projet'!D64</f>
        <v>60.96</v>
      </c>
      <c r="C56" s="191">
        <v>8.5</v>
      </c>
      <c r="D56" s="179">
        <f t="shared" si="4"/>
        <v>518.16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32</v>
      </c>
      <c r="B57" s="181">
        <f>'Données projet'!D65</f>
        <v>76.42</v>
      </c>
      <c r="C57" s="191">
        <v>15.5</v>
      </c>
      <c r="D57" s="179">
        <f t="shared" si="4"/>
        <v>1184.51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45</v>
      </c>
      <c r="B58" s="181">
        <f>'Données projet'!D66</f>
        <v>503.89</v>
      </c>
      <c r="C58" s="191">
        <v>15.5</v>
      </c>
      <c r="D58" s="179">
        <f t="shared" si="4"/>
        <v>7810.2950000000001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>
        <f>670+4263.6/1.87</f>
        <v>2950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>
        <f>220+430</f>
        <v>650</v>
      </c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>
        <f>400+430+15%*E79</f>
        <v>1272.5</v>
      </c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>
        <f>220+430</f>
        <v>650</v>
      </c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42</v>
      </c>
      <c r="B85" s="181">
        <f>'Données projet'!D88</f>
        <v>43.21</v>
      </c>
      <c r="C85" s="191">
        <v>58</v>
      </c>
      <c r="D85" s="179">
        <f>B85*C85</f>
        <v>2506.1799999999998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50</v>
      </c>
      <c r="B86" s="181">
        <f>'Données projet'!D89</f>
        <v>35.58</v>
      </c>
      <c r="C86" s="191">
        <v>58</v>
      </c>
      <c r="D86" s="179">
        <f t="shared" ref="D86:D104" si="6">B86*C86</f>
        <v>2063.64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58</v>
      </c>
      <c r="B87" s="181">
        <f>'Données projet'!D90</f>
        <v>44.93</v>
      </c>
      <c r="C87" s="191">
        <v>58</v>
      </c>
      <c r="D87" s="179">
        <f t="shared" si="6"/>
        <v>2605.94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66</v>
      </c>
      <c r="B88" s="181">
        <f>'Données projet'!D91</f>
        <v>49.91</v>
      </c>
      <c r="C88" s="191">
        <v>106</v>
      </c>
      <c r="D88" s="179">
        <f t="shared" si="6"/>
        <v>5290.46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74</v>
      </c>
      <c r="B89" s="181">
        <f>'Données projet'!D92</f>
        <v>47.4</v>
      </c>
      <c r="C89" s="191">
        <v>106</v>
      </c>
      <c r="D89" s="179">
        <f t="shared" si="6"/>
        <v>5024.3999999999996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84</v>
      </c>
      <c r="B90" s="181">
        <f>'Données projet'!D93</f>
        <v>61.47</v>
      </c>
      <c r="C90" s="191">
        <v>106</v>
      </c>
      <c r="D90" s="179">
        <f t="shared" si="6"/>
        <v>6515.82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94</v>
      </c>
      <c r="B91" s="181">
        <f>'Données projet'!D94</f>
        <v>61.85</v>
      </c>
      <c r="C91" s="191">
        <v>106</v>
      </c>
      <c r="D91" s="179">
        <f t="shared" si="6"/>
        <v>6556.1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104</v>
      </c>
      <c r="B92" s="181">
        <f>'Données projet'!D95</f>
        <v>60.19</v>
      </c>
      <c r="C92" s="191">
        <v>106</v>
      </c>
      <c r="D92" s="179">
        <f t="shared" si="6"/>
        <v>6380.1399999999994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114</v>
      </c>
      <c r="B93" s="181">
        <f>'Données projet'!D96</f>
        <v>56.07</v>
      </c>
      <c r="C93" s="191">
        <v>106</v>
      </c>
      <c r="D93" s="179">
        <f t="shared" si="6"/>
        <v>5943.42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124</v>
      </c>
      <c r="B94" s="181">
        <f>'Données projet'!D97</f>
        <v>52.53</v>
      </c>
      <c r="C94" s="191">
        <v>106</v>
      </c>
      <c r="D94" s="179">
        <f t="shared" si="6"/>
        <v>5568.18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134</v>
      </c>
      <c r="B95" s="181">
        <f>'Données projet'!D98</f>
        <v>54.95</v>
      </c>
      <c r="C95" s="191">
        <v>106</v>
      </c>
      <c r="D95" s="179">
        <f t="shared" si="6"/>
        <v>5824.7000000000007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144</v>
      </c>
      <c r="B96" s="181">
        <f>'Données projet'!D99</f>
        <v>56.01</v>
      </c>
      <c r="C96" s="191">
        <v>106</v>
      </c>
      <c r="D96" s="179">
        <f t="shared" si="6"/>
        <v>5937.0599999999995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154</v>
      </c>
      <c r="B97" s="181">
        <f>'Données projet'!D100</f>
        <v>55.13</v>
      </c>
      <c r="C97" s="191">
        <v>106</v>
      </c>
      <c r="D97" s="179">
        <f t="shared" si="6"/>
        <v>5843.7800000000007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164</v>
      </c>
      <c r="B98" s="181">
        <f>'Données projet'!D101</f>
        <v>59.58</v>
      </c>
      <c r="C98" s="191">
        <v>106</v>
      </c>
      <c r="D98" s="179">
        <f t="shared" si="6"/>
        <v>6315.48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174</v>
      </c>
      <c r="B99" s="181">
        <f>'Données projet'!D102</f>
        <v>214.77</v>
      </c>
      <c r="C99" s="191">
        <v>106</v>
      </c>
      <c r="D99" s="179">
        <f t="shared" si="6"/>
        <v>22765.620000000003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177</v>
      </c>
      <c r="B100" s="181">
        <f>'Données projet'!D103</f>
        <v>115.19</v>
      </c>
      <c r="C100" s="191">
        <v>106</v>
      </c>
      <c r="D100" s="179">
        <f t="shared" si="6"/>
        <v>12210.14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180</v>
      </c>
      <c r="B101" s="181">
        <f>'Données projet'!D104</f>
        <v>77.72</v>
      </c>
      <c r="C101" s="191">
        <v>106</v>
      </c>
      <c r="D101" s="179">
        <f t="shared" si="6"/>
        <v>8238.32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183</v>
      </c>
      <c r="B102" s="181">
        <f>'Données projet'!D105</f>
        <v>169.76</v>
      </c>
      <c r="C102" s="191">
        <v>106</v>
      </c>
      <c r="D102" s="179">
        <f t="shared" si="6"/>
        <v>17994.559999999998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Cédric Mimran</cp:lastModifiedBy>
  <dcterms:created xsi:type="dcterms:W3CDTF">2021-02-01T08:22:39Z</dcterms:created>
  <dcterms:modified xsi:type="dcterms:W3CDTF">2024-12-10T17:03:16Z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