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LACQ-123/Dossier octobre 2024/"/>
    </mc:Choice>
  </mc:AlternateContent>
  <xr:revisionPtr revIDLastSave="35" documentId="8_{1AF57A9A-8426-43C9-994A-63EF874E71B4}" xr6:coauthVersionLast="47" xr6:coauthVersionMax="47" xr10:uidLastSave="{E5A9B985-2BD1-4F19-8F99-2EAF8E8809BE}"/>
  <bookViews>
    <workbookView xWindow="396" yWindow="780" windowWidth="21600" windowHeight="1123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U31" i="6"/>
  <c r="U33" i="6" s="1"/>
  <c r="U30" i="6"/>
  <c r="E20" i="6"/>
  <c r="E19" i="6"/>
  <c r="E18" i="6"/>
  <c r="I22" i="6" l="1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</commentList>
</comments>
</file>

<file path=xl/sharedStrings.xml><?xml version="1.0" encoding="utf-8"?>
<sst xmlns="http://schemas.openxmlformats.org/spreadsheetml/2006/main" count="1176" uniqueCount="329">
  <si>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</si>
  <si>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</si>
  <si>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</si>
  <si>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</si>
  <si>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</si>
  <si>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</si>
  <si>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</si>
  <si>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</si>
  <si>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</si>
  <si>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NOM DU PROJET NEOSYLVA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</si>
  <si>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</si>
  <si>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</si>
  <si>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</si>
  <si>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</si>
  <si>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</si>
  <si>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</si>
  <si>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</si>
  <si>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Peuplier Koster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</si>
  <si>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</si>
  <si>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</si>
  <si>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</si>
  <si>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</si>
  <si>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</si>
  <si>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</si>
  <si>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</si>
  <si>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</si>
  <si>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</si>
  <si>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</si>
  <si>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</si>
  <si>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</si>
  <si>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</si>
  <si>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</si>
  <si>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</si>
  <si>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</si>
  <si>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</si>
  <si>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</si>
  <si>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</si>
  <si>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</si>
  <si>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</si>
  <si>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</si>
  <si>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</si>
  <si>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</si>
  <si>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</si>
  <si>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</si>
  <si>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</si>
  <si>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</si>
  <si>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</si>
  <si>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</si>
  <si>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</si>
  <si>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</si>
  <si>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</si>
  <si>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</si>
  <si>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</si>
  <si>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</si>
  <si>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</si>
  <si>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</si>
  <si>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</si>
  <si>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</si>
  <si>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</si>
  <si>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</si>
  <si>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</si>
  <si>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</si>
  <si>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</si>
  <si>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</si>
  <si>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</si>
  <si>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</si>
  <si>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</si>
  <si>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</si>
  <si>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</si>
  <si>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</si>
  <si>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</si>
  <si>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</si>
  <si>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</si>
  <si>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</si>
  <si>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</si>
  <si>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</si>
  <si>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</si>
  <si>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</si>
  <si>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</si>
  <si>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</si>
  <si>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</si>
  <si>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</si>
  <si>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</si>
  <si>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</si>
  <si>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</si>
  <si>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</si>
  <si>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</si>
  <si>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</si>
  <si>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</si>
  <si>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</si>
  <si>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</si>
  <si>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</si>
  <si>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</si>
  <si>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</si>
  <si>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</si>
  <si>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</si>
  <si>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</si>
  <si>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</si>
  <si>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</si>
  <si>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</si>
  <si>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</si>
  <si>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</si>
  <si>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</si>
  <si>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</si>
  <si>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</si>
  <si>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</si>
  <si>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</si>
  <si>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</si>
  <si>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</si>
  <si>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</si>
  <si>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</si>
  <si>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</si>
  <si>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</si>
  <si>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</si>
  <si>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</si>
  <si>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</si>
  <si>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</si>
  <si>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</si>
  <si>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</si>
  <si>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</si>
  <si>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</si>
  <si>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</si>
  <si>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</si>
  <si>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</si>
  <si>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</si>
  <si>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</si>
  <si>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</si>
  <si>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</si>
  <si>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</si>
  <si>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</si>
  <si>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</si>
  <si>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</si>
  <si>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</si>
  <si>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</si>
  <si>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</si>
  <si>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</si>
  <si>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</si>
  <si>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</si>
  <si>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</si>
  <si>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</si>
  <si>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</si>
  <si>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</si>
  <si>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</si>
  <si>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</si>
  <si>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</si>
  <si>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</si>
  <si>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</si>
  <si>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</si>
  <si>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</si>
  <si>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</si>
  <si>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</si>
  <si>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</si>
  <si>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</si>
  <si>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</si>
  <si>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</si>
  <si>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</si>
  <si>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</si>
  <si>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</si>
  <si>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</si>
  <si>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</si>
  <si>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</si>
  <si>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</si>
  <si>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</si>
  <si>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</si>
  <si>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</si>
  <si>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</si>
  <si>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</si>
  <si>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</si>
  <si>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</si>
  <si>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</si>
  <si>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</si>
  <si>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</si>
  <si>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</si>
  <si>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</si>
  <si>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</si>
  <si>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</si>
  <si>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</si>
  <si>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</si>
  <si>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</si>
  <si>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</si>
  <si>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</si>
  <si>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</si>
  <si>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</si>
  <si>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</si>
  <si>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</si>
  <si>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</si>
  <si>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</si>
  <si>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</si>
  <si>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</si>
  <si>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</si>
  <si>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</si>
  <si>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</si>
  <si>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</si>
  <si>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</si>
  <si>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</si>
  <si>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</si>
  <si>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</si>
  <si>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</si>
  <si>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</si>
  <si>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</si>
  <si>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</si>
  <si>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</si>
  <si>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</si>
  <si>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</si>
  <si>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</si>
  <si>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</si>
  <si>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</si>
  <si>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</si>
  <si>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</si>
  <si>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</si>
  <si>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</si>
  <si>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</si>
  <si>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</si>
  <si>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</si>
  <si>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</si>
  <si>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</si>
  <si>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</si>
  <si>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</si>
  <si>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</si>
  <si>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</si>
  <si>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</si>
  <si>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</si>
  <si>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</si>
  <si>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</si>
  <si>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</si>
  <si>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</si>
  <si>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</si>
  <si>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</si>
  <si>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</si>
  <si>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</si>
  <si>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</si>
  <si>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</si>
  <si>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</si>
  <si>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</si>
  <si>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</si>
  <si>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</si>
  <si>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</si>
  <si>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</si>
  <si>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</si>
  <si>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</si>
  <si>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</si>
  <si>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</si>
  <si>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</si>
  <si>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</si>
  <si>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</si>
  <si>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</si>
  <si>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</si>
  <si>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</si>
  <si>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</si>
  <si>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</si>
  <si>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</si>
  <si>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</si>
  <si>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</si>
  <si>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</si>
  <si>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</si>
  <si>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</si>
  <si>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</si>
  <si>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</si>
  <si>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</si>
  <si>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</si>
  <si>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</si>
  <si>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</si>
  <si>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</si>
  <si>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</si>
  <si>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</si>
  <si>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</si>
  <si>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</si>
  <si>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</si>
  <si>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</si>
  <si>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</si>
  <si>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</si>
  <si>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</si>
  <si>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</si>
  <si>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</si>
  <si>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</si>
  <si>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</si>
  <si>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</si>
  <si>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</si>
  <si>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</si>
  <si>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</si>
  <si>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</si>
  <si>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</si>
  <si>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</si>
  <si>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</si>
  <si>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</si>
  <si>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</si>
  <si>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</si>
  <si>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</si>
  <si>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</si>
  <si>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</si>
  <si>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</si>
  <si>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</si>
  <si>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</si>
  <si>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</si>
  <si>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</si>
  <si>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</si>
  <si>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</si>
  <si>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</si>
  <si>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</si>
  <si>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</si>
  <si>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</si>
  <si>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</si>
  <si>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</si>
  <si>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</si>
  <si>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</si>
  <si>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</si>
  <si>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</si>
  <si>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</si>
  <si>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</si>
  <si>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</si>
  <si>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</si>
  <si>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</si>
  <si>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</si>
  <si>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</si>
  <si>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</si>
  <si>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</si>
  <si>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</si>
  <si>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</si>
  <si>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</si>
  <si>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</si>
  <si>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</si>
  <si>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</si>
  <si>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</si>
  <si>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</si>
  <si>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Coût total du projet Néosylva sur les 5 premières années</t>
  </si>
  <si>
    <t>VAN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</si>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</sst>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2.0235665383116852</c:v>
                </c:pt>
                <c:pt idx="2">
                  <c:v>3.0867024977715634</c:v>
                </c:pt>
                <c:pt idx="3">
                  <c:v>4.7110107526580478</c:v>
                </c:pt>
                <c:pt idx="4">
                  <c:v>7.1940042239361937</c:v>
                </c:pt>
                <c:pt idx="5">
                  <c:v>10.991567342344238</c:v>
                </c:pt>
                <c:pt idx="6">
                  <c:v>16.802574783745406</c:v>
                </c:pt>
                <c:pt idx="7">
                  <c:v>25.698876311710549</c:v>
                </c:pt>
                <c:pt idx="8">
                  <c:v>39.325044520668669</c:v>
                </c:pt>
                <c:pt idx="9">
                  <c:v>60.205438661070993</c:v>
                </c:pt>
                <c:pt idx="10">
                  <c:v>92.216406531483372</c:v>
                </c:pt>
                <c:pt idx="11">
                  <c:v>107.55037534680612</c:v>
                </c:pt>
                <c:pt idx="12">
                  <c:v>122.83043501507494</c:v>
                </c:pt>
                <c:pt idx="13">
                  <c:v>138.06424881086346</c:v>
                </c:pt>
                <c:pt idx="14">
                  <c:v>153.25764447193231</c:v>
                </c:pt>
                <c:pt idx="15">
                  <c:v>168.41519671250717</c:v>
                </c:pt>
                <c:pt idx="16">
                  <c:v>184.10544096822977</c:v>
                </c:pt>
                <c:pt idx="17">
                  <c:v>199.76443690428414</c:v>
                </c:pt>
                <c:pt idx="18">
                  <c:v>215.39497967713419</c:v>
                </c:pt>
                <c:pt idx="19">
                  <c:v>230.99942524020253</c:v>
                </c:pt>
                <c:pt idx="20">
                  <c:v>246.57978501166019</c:v>
                </c:pt>
                <c:pt idx="21">
                  <c:v>260.24674619967453</c:v>
                </c:pt>
                <c:pt idx="22">
                  <c:v>273.8975001014806</c:v>
                </c:pt>
                <c:pt idx="23">
                  <c:v>287.5329684358918</c:v>
                </c:pt>
                <c:pt idx="24">
                  <c:v>301.15397833147824</c:v>
                </c:pt>
                <c:pt idx="25">
                  <c:v>310.92466816276936</c:v>
                </c:pt>
                <c:pt idx="26">
                  <c:v>320.68854496672662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ColWidth="11.44140625" defaultRowHeight="14.4" x14ac:dyDescent="0.3"/>
  <cols>
    <col min="1" max="1" width="6.5546875" customWidth="1"/>
    <col min="2" max="13" width="15.88671875" customWidth="1"/>
  </cols>
  <sheetData>
    <row r="12" spans="2:13" ht="15" customHeight="1" x14ac:dyDescent="0.3">
      <c r="B12" s="264" t="s">
        <v>0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1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" zoomScale="80" zoomScaleNormal="80" workbookViewId="0">
      <selection activeCell="D42" sqref="D42"/>
    </sheetView>
  </sheetViews>
  <sheetFormatPr baseColWidth="10" defaultColWidth="11.44140625" defaultRowHeight="14.4" x14ac:dyDescent="0.3"/>
  <cols>
    <col min="1" max="1" width="13.554687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44140625" style="23" customWidth="1"/>
    <col min="6" max="6" width="28.88671875" style="23" bestFit="1" customWidth="1"/>
    <col min="7" max="8" width="14.554687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5" t="s">
        <v>2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4</v>
      </c>
      <c r="C3" s="271"/>
      <c r="D3" s="271"/>
      <c r="E3" s="271"/>
      <c r="F3" s="272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7</v>
      </c>
      <c r="B5" s="275"/>
      <c r="C5" s="24">
        <v>1.04</v>
      </c>
      <c r="D5" s="276" t="s">
        <v>8</v>
      </c>
      <c r="E5" s="277"/>
      <c r="F5" s="90"/>
      <c r="G5" s="218"/>
      <c r="H5" s="218"/>
      <c r="I5" s="218" t="s">
        <v>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10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11</v>
      </c>
      <c r="C8" s="26" t="s">
        <v>12</v>
      </c>
      <c r="D8" s="27" t="s">
        <v>13</v>
      </c>
      <c r="E8" s="28" t="s">
        <v>14</v>
      </c>
      <c r="F8" s="29" t="s">
        <v>15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</v>
      </c>
      <c r="B9" s="31" t="s">
        <v>17</v>
      </c>
      <c r="C9" s="32">
        <v>1</v>
      </c>
      <c r="D9" s="33">
        <f t="shared" ref="D9:D18" si="0">C9*$C$5</f>
        <v>1.04</v>
      </c>
      <c r="E9" s="34">
        <v>26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18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19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28</v>
      </c>
      <c r="C19" s="37">
        <f>SUM(C9:C18)</f>
        <v>1</v>
      </c>
      <c r="D19" s="38">
        <f>SUM(D9:D18)</f>
        <v>1.04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15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29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35</v>
      </c>
      <c r="B26" s="42" t="s">
        <v>36</v>
      </c>
      <c r="C26" s="43">
        <v>0.05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41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</v>
      </c>
      <c r="B32" s="47" t="str">
        <f>IF(B9="","",B9)</f>
        <v>Peuplier Koster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43</v>
      </c>
      <c r="C34" s="266" t="s">
        <v>44</v>
      </c>
      <c r="D34" s="266"/>
      <c r="E34" s="267" t="s">
        <v>45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10</v>
      </c>
      <c r="B36" s="258">
        <v>80.128205128205124</v>
      </c>
      <c r="C36" s="258">
        <v>1</v>
      </c>
      <c r="D36" s="259">
        <v>0</v>
      </c>
      <c r="E36" s="260">
        <v>0.75</v>
      </c>
      <c r="F36" s="260">
        <v>0.2</v>
      </c>
      <c r="G36" s="260">
        <v>0</v>
      </c>
      <c r="H36" s="260">
        <v>0.05</v>
      </c>
      <c r="I36" s="49">
        <f>IFERROR(B36/A36,"")</f>
        <v>8.0128205128205128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15</v>
      </c>
      <c r="B37" s="262">
        <v>148.7179487179487</v>
      </c>
      <c r="C37" s="262">
        <v>2</v>
      </c>
      <c r="D37" s="262">
        <v>0</v>
      </c>
      <c r="E37" s="263">
        <v>0.75</v>
      </c>
      <c r="F37" s="263">
        <v>0.2</v>
      </c>
      <c r="G37" s="263">
        <v>0</v>
      </c>
      <c r="H37" s="263">
        <v>0.05</v>
      </c>
      <c r="I37" s="53">
        <f t="shared" ref="I37:I55" si="1">IF(A37&lt;&gt;0,(B37-(B36-D36))/(A37-A36),"")</f>
        <v>13.717948717948715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20</v>
      </c>
      <c r="B38" s="262">
        <v>219.87179487179486</v>
      </c>
      <c r="C38" s="262">
        <v>3</v>
      </c>
      <c r="D38" s="262">
        <v>0</v>
      </c>
      <c r="E38" s="263">
        <v>0.75</v>
      </c>
      <c r="F38" s="263">
        <v>0.2</v>
      </c>
      <c r="G38" s="263">
        <v>0</v>
      </c>
      <c r="H38" s="263">
        <v>0.05</v>
      </c>
      <c r="I38" s="53">
        <f t="shared" si="1"/>
        <v>14.230769230769232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22</v>
      </c>
      <c r="B39" s="262">
        <v>244.87179487179486</v>
      </c>
      <c r="C39" s="262">
        <v>4</v>
      </c>
      <c r="D39" s="262">
        <v>0</v>
      </c>
      <c r="E39" s="263">
        <v>0.75</v>
      </c>
      <c r="F39" s="263">
        <v>0.2</v>
      </c>
      <c r="G39" s="263">
        <v>0</v>
      </c>
      <c r="H39" s="263">
        <v>0.05</v>
      </c>
      <c r="I39" s="49">
        <f t="shared" si="1"/>
        <v>12.5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24</v>
      </c>
      <c r="B40" s="262">
        <v>269.87179487179486</v>
      </c>
      <c r="C40" s="262">
        <v>5</v>
      </c>
      <c r="D40" s="262">
        <v>0</v>
      </c>
      <c r="E40" s="263">
        <v>0.75</v>
      </c>
      <c r="F40" s="263">
        <v>0.2</v>
      </c>
      <c r="G40" s="263">
        <v>0</v>
      </c>
      <c r="H40" s="263">
        <v>0.05</v>
      </c>
      <c r="I40" s="49">
        <f t="shared" si="1"/>
        <v>12.5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26</v>
      </c>
      <c r="B41" s="262">
        <v>287.82051282051282</v>
      </c>
      <c r="C41" s="262">
        <v>6</v>
      </c>
      <c r="D41" s="262">
        <f>B41</f>
        <v>287.82051282051282</v>
      </c>
      <c r="E41" s="263">
        <v>0.75</v>
      </c>
      <c r="F41" s="263">
        <v>0.2</v>
      </c>
      <c r="G41" s="263">
        <v>0</v>
      </c>
      <c r="H41" s="263">
        <v>0.05</v>
      </c>
      <c r="I41" s="53">
        <f t="shared" si="1"/>
        <v>8.974358974358978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19</v>
      </c>
      <c r="B58" s="52" t="str">
        <f>IF(B10="","",B10)</f>
        <v/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43</v>
      </c>
      <c r="C60" s="266" t="s">
        <v>44</v>
      </c>
      <c r="D60" s="266"/>
      <c r="E60" s="267" t="s">
        <v>45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43</v>
      </c>
      <c r="C86" s="266" t="s">
        <v>44</v>
      </c>
      <c r="D86" s="266"/>
      <c r="E86" s="267" t="s">
        <v>45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43</v>
      </c>
      <c r="C112" s="266" t="s">
        <v>44</v>
      </c>
      <c r="D112" s="266"/>
      <c r="E112" s="267" t="s">
        <v>45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43</v>
      </c>
      <c r="C138" s="266" t="s">
        <v>44</v>
      </c>
      <c r="D138" s="266"/>
      <c r="E138" s="267" t="s">
        <v>45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43</v>
      </c>
      <c r="C164" s="266" t="s">
        <v>44</v>
      </c>
      <c r="D164" s="266"/>
      <c r="E164" s="267" t="s">
        <v>45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43</v>
      </c>
      <c r="C190" s="266" t="s">
        <v>44</v>
      </c>
      <c r="D190" s="266"/>
      <c r="E190" s="267" t="s">
        <v>45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43</v>
      </c>
      <c r="C216" s="266" t="s">
        <v>44</v>
      </c>
      <c r="D216" s="266"/>
      <c r="E216" s="267" t="s">
        <v>45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43</v>
      </c>
      <c r="C242" s="266" t="s">
        <v>44</v>
      </c>
      <c r="D242" s="266"/>
      <c r="E242" s="267" t="s">
        <v>45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43</v>
      </c>
      <c r="C268" s="266" t="s">
        <v>44</v>
      </c>
      <c r="D268" s="266"/>
      <c r="E268" s="267" t="s">
        <v>45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44140625" style="1" customWidth="1"/>
    <col min="6" max="6" width="14.44140625" style="1" customWidth="1"/>
    <col min="7" max="7" width="73.441406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55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554687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5546875" style="4" bestFit="1" customWidth="1"/>
    <col min="25" max="25" width="14.5546875" style="4" bestFit="1" customWidth="1"/>
    <col min="26" max="26" width="12.44140625" style="4" bestFit="1" customWidth="1"/>
    <col min="27" max="27" width="9.554687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44140625" style="4" bestFit="1" customWidth="1"/>
    <col min="45" max="45" width="11.5546875" style="4" bestFit="1" customWidth="1"/>
    <col min="46" max="46" width="8.44140625" style="4" bestFit="1" customWidth="1"/>
    <col min="47" max="47" width="9.44140625" style="4" bestFit="1" customWidth="1"/>
    <col min="48" max="48" width="9.554687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441406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44140625" style="4" bestFit="1" customWidth="1"/>
    <col min="66" max="66" width="11.5546875" style="4" bestFit="1" customWidth="1"/>
    <col min="67" max="67" width="8.44140625" style="4" bestFit="1" customWidth="1"/>
    <col min="68" max="68" width="9.44140625" style="4" bestFit="1" customWidth="1"/>
    <col min="69" max="69" width="9.554687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44140625" style="4" bestFit="1" customWidth="1"/>
    <col min="87" max="87" width="11.5546875" style="4" bestFit="1" customWidth="1"/>
    <col min="88" max="88" width="8.44140625" style="4" bestFit="1" customWidth="1"/>
    <col min="89" max="89" width="9.44140625" style="4" bestFit="1" customWidth="1"/>
    <col min="90" max="90" width="9.554687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44140625" style="4" bestFit="1" customWidth="1"/>
    <col min="108" max="108" width="11.5546875" style="4" bestFit="1" customWidth="1"/>
    <col min="109" max="109" width="8.44140625" style="4" bestFit="1" customWidth="1"/>
    <col min="110" max="110" width="9.44140625" style="4" bestFit="1" customWidth="1"/>
    <col min="111" max="111" width="9.554687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441406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44140625" style="4" bestFit="1" customWidth="1"/>
    <col min="129" max="129" width="11.5546875" style="4" bestFit="1" customWidth="1"/>
    <col min="130" max="130" width="8.44140625" style="4" bestFit="1" customWidth="1"/>
    <col min="131" max="131" width="9.44140625" style="4" bestFit="1" customWidth="1"/>
    <col min="132" max="132" width="9.554687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44140625" style="4" bestFit="1" customWidth="1"/>
    <col min="150" max="150" width="11.5546875" style="4" bestFit="1" customWidth="1"/>
    <col min="151" max="151" width="8.44140625" style="4" bestFit="1" customWidth="1"/>
    <col min="152" max="152" width="9.44140625" style="4" bestFit="1" customWidth="1"/>
    <col min="153" max="153" width="9.554687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44140625" style="4" bestFit="1" customWidth="1"/>
    <col min="171" max="171" width="11.5546875" style="4" bestFit="1" customWidth="1"/>
    <col min="172" max="172" width="8.109375" style="4" bestFit="1" customWidth="1"/>
    <col min="173" max="173" width="9.44140625" style="4" bestFit="1" customWidth="1"/>
    <col min="174" max="174" width="9.554687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441406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554687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441406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44140625" style="4" bestFit="1" customWidth="1"/>
    <col min="213" max="213" width="11.5546875" style="4" bestFit="1" customWidth="1"/>
    <col min="214" max="214" width="8.44140625" style="4" bestFit="1" customWidth="1"/>
    <col min="215" max="215" width="9.44140625" style="4" bestFit="1" customWidth="1"/>
    <col min="216" max="216" width="9.554687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73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Peuplier Koster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/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50</v>
      </c>
      <c r="X2" s="7" t="s">
        <v>51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50</v>
      </c>
      <c r="AS2" s="7" t="s">
        <v>51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50</v>
      </c>
      <c r="BN2" s="7" t="s">
        <v>51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50</v>
      </c>
      <c r="CI2" s="7" t="s">
        <v>51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50</v>
      </c>
      <c r="DD2" s="7" t="s">
        <v>51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50</v>
      </c>
      <c r="DY2" s="7" t="s">
        <v>51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50</v>
      </c>
      <c r="ET2" s="7" t="s">
        <v>51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50</v>
      </c>
      <c r="FO2" s="7" t="s">
        <v>51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50</v>
      </c>
      <c r="GJ2" s="7" t="s">
        <v>51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50</v>
      </c>
      <c r="HE2" s="7" t="s">
        <v>51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156.02450246371893</v>
      </c>
      <c r="T3" s="59">
        <f>IF('Données projet'!E9&gt;30,$R$33-$H$33,LOOKUP('Données projet'!$E$9,$A$3:$A$203,R3:R203)-LOOKUP('Données projet'!$E$9,$A$3:$A$203,$H$3:$H$203))</f>
        <v>352.46632274450445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8.0128205128205128</v>
      </c>
      <c r="N4" s="13">
        <f>IF('Données projet'!$A$36&gt;35,N3+M4-V3,IF(A4&lt;'Données projet'!$A$36,$K$205^A4,IF(A4='Données projet'!$A$36,'Données projet'!$B$36,N3+M4-V3)))</f>
        <v>1.5501671930596579</v>
      </c>
      <c r="O4" s="13">
        <f>N4*VLOOKUP('Données projet'!$B$9,Paramètres!$A$1:$I$89,3,0)*VLOOKUP('Données projet'!$B$9,Paramètres!$A$1:$I$89,5,0)</f>
        <v>0.78835302770241966</v>
      </c>
      <c r="P4" s="13">
        <f>EXP(-1.0587+0.8836*LN(O4)+0.284)</f>
        <v>0.3735033579310838</v>
      </c>
      <c r="Q4" s="20">
        <f t="shared" ref="Q4:Q34" si="2">(O4+P4)*0.475*44/12</f>
        <v>2.0235665383116852</v>
      </c>
      <c r="R4" s="59">
        <f t="shared" si="0"/>
        <v>259.91245542720054</v>
      </c>
      <c r="S4" s="59">
        <f ca="1">AVERAGE(OFFSET($R$3,0,0,'Données projet'!$E$9+1,1))-AVERAGE(OFFSET($H$3,0,0,'Données projet'!$E$9+1,1))</f>
        <v>156.02450246371893</v>
      </c>
      <c r="T4" s="59">
        <f>$T$3</f>
        <v>352.46632274450445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8.0128205128205128</v>
      </c>
      <c r="N5" s="13">
        <f>IF('Données projet'!$A$36&gt;35,N4+M5-V4,IF(A5&lt;'Données projet'!$A$36,$K$205^A5,IF(A5='Données projet'!$A$36,'Données projet'!$B$36,N4+M5-V4)))</f>
        <v>2.4030183264384588</v>
      </c>
      <c r="O5" s="13">
        <f>N5*VLOOKUP('Données projet'!$B$9,Paramètres!$A$1:$I$89,3,0)*VLOOKUP('Données projet'!$B$9,Paramètres!$A$1:$I$89,5,0)</f>
        <v>1.2220790000935426</v>
      </c>
      <c r="P5" s="13">
        <f t="shared" ref="P5:P68" si="33">EXP(-1.0587+0.8836*LN(O5)+0.284)</f>
        <v>0.55019037661740311</v>
      </c>
      <c r="Q5" s="20">
        <f t="shared" si="2"/>
        <v>3.0867024977715634</v>
      </c>
      <c r="R5" s="59">
        <f t="shared" si="0"/>
        <v>262.19781360888271</v>
      </c>
      <c r="S5" s="59">
        <f ca="1">AVERAGE(OFFSET($R$3,0,0,'Données projet'!$E$9+1,1))-AVERAGE(OFFSET($H$3,0,0,'Données projet'!$E$9+1,1))</f>
        <v>156.02450246371893</v>
      </c>
      <c r="T5" s="59">
        <f t="shared" ref="T5:T68" si="34">$T$3</f>
        <v>352.46632274450445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8.0128205128205128</v>
      </c>
      <c r="N6" s="13">
        <f>IF('Données projet'!$A$36&gt;35,N5+M6-V5,IF(A6&lt;'Données projet'!$A$36,$K$205^A6,IF(A6='Données projet'!$A$36,'Données projet'!$B$36,N5+M6-V5)))</f>
        <v>3.7250801739660222</v>
      </c>
      <c r="O6" s="13">
        <f>N6*VLOOKUP('Données projet'!$B$9,Paramètres!$A$1:$I$89,3,0)*VLOOKUP('Données projet'!$B$9,Paramètres!$A$1:$I$89,5,0)</f>
        <v>1.8944267732721605</v>
      </c>
      <c r="P6" s="13">
        <f t="shared" si="33"/>
        <v>0.81045978327791524</v>
      </c>
      <c r="Q6" s="20">
        <f t="shared" si="2"/>
        <v>4.7110107526580478</v>
      </c>
      <c r="R6" s="59">
        <f t="shared" si="0"/>
        <v>265.04434408599138</v>
      </c>
      <c r="S6" s="59">
        <f ca="1">AVERAGE(OFFSET($R$3,0,0,'Données projet'!$E$9+1,1))-AVERAGE(OFFSET($H$3,0,0,'Données projet'!$E$9+1,1))</f>
        <v>156.02450246371893</v>
      </c>
      <c r="T6" s="59">
        <f t="shared" si="34"/>
        <v>352.46632274450445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8.0128205128205128</v>
      </c>
      <c r="N7" s="13">
        <f>IF('Données projet'!$A$36&gt;35,N6+M7-V6,IF(A7&lt;'Données projet'!$A$36,$K$205^A7,IF(A7='Données projet'!$A$36,'Données projet'!$B$36,N6+M7-V6)))</f>
        <v>5.7744970771990918</v>
      </c>
      <c r="O7" s="13">
        <f>N7*VLOOKUP('Données projet'!$B$9,Paramètres!$A$1:$I$89,3,0)*VLOOKUP('Données projet'!$B$9,Paramètres!$A$1:$I$89,5,0)</f>
        <v>2.9366782335803703</v>
      </c>
      <c r="P7" s="13">
        <f t="shared" si="33"/>
        <v>1.1938505074356272</v>
      </c>
      <c r="Q7" s="20">
        <f t="shared" si="2"/>
        <v>7.1940042239361937</v>
      </c>
      <c r="R7" s="59">
        <f t="shared" si="0"/>
        <v>268.74955977949173</v>
      </c>
      <c r="S7" s="59">
        <f ca="1">AVERAGE(OFFSET($R$3,0,0,'Données projet'!$E$9+1,1))-AVERAGE(OFFSET($H$3,0,0,'Données projet'!$E$9+1,1))</f>
        <v>156.02450246371893</v>
      </c>
      <c r="T7" s="59">
        <f t="shared" si="34"/>
        <v>352.46632274450445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8.0128205128205128</v>
      </c>
      <c r="N8" s="13">
        <f>IF('Données projet'!$A$36&gt;35,N7+M8-V7,IF(A8&lt;'Données projet'!$A$36,$K$205^A8,IF(A8='Données projet'!$A$36,'Données projet'!$B$36,N7+M8-V7)))</f>
        <v>8.9514359254929143</v>
      </c>
      <c r="O8" s="13">
        <f>N8*VLOOKUP('Données projet'!$B$9,Paramètres!$A$1:$I$89,3,0)*VLOOKUP('Données projet'!$B$9,Paramètres!$A$1:$I$89,5,0)</f>
        <v>4.5523422542686767</v>
      </c>
      <c r="P8" s="13">
        <f t="shared" si="33"/>
        <v>1.7586055021012204</v>
      </c>
      <c r="Q8" s="20">
        <f t="shared" si="2"/>
        <v>10.991567342344238</v>
      </c>
      <c r="R8" s="59">
        <f t="shared" si="0"/>
        <v>273.76934512012201</v>
      </c>
      <c r="S8" s="59">
        <f ca="1">AVERAGE(OFFSET($R$3,0,0,'Données projet'!$E$9+1,1))-AVERAGE(OFFSET($H$3,0,0,'Données projet'!$E$9+1,1))</f>
        <v>156.02450246371893</v>
      </c>
      <c r="T8" s="59">
        <f t="shared" si="34"/>
        <v>352.46632274450445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8.0128205128205128</v>
      </c>
      <c r="N9" s="13">
        <f>IF('Données projet'!$A$36&gt;35,N8+M9-V8,IF(A9&lt;'Données projet'!$A$36,$K$205^A9,IF(A9='Données projet'!$A$36,'Données projet'!$B$36,N8+M9-V8)))</f>
        <v>13.876222302474734</v>
      </c>
      <c r="O9" s="13">
        <f>N9*VLOOKUP('Données projet'!$B$9,Paramètres!$A$1:$I$89,3,0)*VLOOKUP('Données projet'!$B$9,Paramètres!$A$1:$I$89,5,0)</f>
        <v>7.0568916141465508</v>
      </c>
      <c r="P9" s="13">
        <f t="shared" si="33"/>
        <v>2.5905197449417212</v>
      </c>
      <c r="Q9" s="20">
        <f t="shared" si="2"/>
        <v>16.802574783745406</v>
      </c>
      <c r="R9" s="59">
        <f t="shared" si="0"/>
        <v>280.8025747837454</v>
      </c>
      <c r="S9" s="59">
        <f ca="1">AVERAGE(OFFSET($R$3,0,0,'Données projet'!$E$9+1,1))-AVERAGE(OFFSET($H$3,0,0,'Données projet'!$E$9+1,1))</f>
        <v>156.02450246371893</v>
      </c>
      <c r="T9" s="59">
        <f t="shared" si="34"/>
        <v>352.46632274450445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8.0128205128205128</v>
      </c>
      <c r="N10" s="13">
        <f>IF('Données projet'!$A$36&gt;35,N9+M10-V9,IF(A10&lt;'Données projet'!$A$36,$K$205^A10,IF(A10='Données projet'!$A$36,'Données projet'!$B$36,N9+M10-V9)))</f>
        <v>21.510464576899079</v>
      </c>
      <c r="O10" s="13">
        <f>N10*VLOOKUP('Données projet'!$B$9,Paramètres!$A$1:$I$89,3,0)*VLOOKUP('Données projet'!$B$9,Paramètres!$A$1:$I$89,5,0)</f>
        <v>10.939361865227795</v>
      </c>
      <c r="P10" s="13">
        <f t="shared" si="33"/>
        <v>3.8159738161371135</v>
      </c>
      <c r="Q10" s="20">
        <f t="shared" si="2"/>
        <v>25.698876311710549</v>
      </c>
      <c r="R10" s="59">
        <f t="shared" si="0"/>
        <v>290.92109853393276</v>
      </c>
      <c r="S10" s="59">
        <f ca="1">AVERAGE(OFFSET($R$3,0,0,'Données projet'!$E$9+1,1))-AVERAGE(OFFSET($H$3,0,0,'Données projet'!$E$9+1,1))</f>
        <v>156.02450246371893</v>
      </c>
      <c r="T10" s="59">
        <f t="shared" si="34"/>
        <v>352.46632274450445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8.0128205128205128</v>
      </c>
      <c r="N11" s="13">
        <f>IF('Données projet'!$A$36&gt;35,N10+M11-V10,IF(A11&lt;'Données projet'!$A$36,$K$205^A11,IF(A11='Données projet'!$A$36,'Données projet'!$B$36,N10+M11-V10)))</f>
        <v>33.344816494580854</v>
      </c>
      <c r="O11" s="13">
        <f>N11*VLOOKUP('Données projet'!$B$9,Paramètres!$A$1:$I$89,3,0)*VLOOKUP('Données projet'!$B$9,Paramètres!$A$1:$I$89,5,0)</f>
        <v>16.957839876484041</v>
      </c>
      <c r="P11" s="13">
        <f t="shared" si="33"/>
        <v>5.6211330540434252</v>
      </c>
      <c r="Q11" s="20">
        <f t="shared" si="2"/>
        <v>39.325044520668669</v>
      </c>
      <c r="R11" s="59">
        <f t="shared" si="0"/>
        <v>305.76948896511311</v>
      </c>
      <c r="S11" s="59">
        <f ca="1">AVERAGE(OFFSET($R$3,0,0,'Données projet'!$E$9+1,1))-AVERAGE(OFFSET($H$3,0,0,'Données projet'!$E$9+1,1))</f>
        <v>156.02450246371893</v>
      </c>
      <c r="T11" s="59">
        <f t="shared" si="34"/>
        <v>352.46632274450445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8.0128205128205128</v>
      </c>
      <c r="N12" s="13">
        <f>IF('Données projet'!$A$36&gt;35,N11+M12-V11,IF(A12&lt;'Données projet'!$A$36,$K$205^A12,IF(A12='Données projet'!$A$36,'Données projet'!$B$36,N11+M12-V11)))</f>
        <v>51.690040588493787</v>
      </c>
      <c r="O12" s="13">
        <f>N12*VLOOKUP('Données projet'!$B$9,Paramètres!$A$1:$I$89,3,0)*VLOOKUP('Données projet'!$B$9,Paramètres!$A$1:$I$89,5,0)</f>
        <v>26.287487041684404</v>
      </c>
      <c r="P12" s="13">
        <f t="shared" si="33"/>
        <v>8.2802289359640167</v>
      </c>
      <c r="Q12" s="20">
        <f t="shared" si="2"/>
        <v>60.205438661070993</v>
      </c>
      <c r="R12" s="59">
        <f t="shared" si="0"/>
        <v>327.8721053277377</v>
      </c>
      <c r="S12" s="59">
        <f ca="1">AVERAGE(OFFSET($R$3,0,0,'Données projet'!$E$9+1,1))-AVERAGE(OFFSET($H$3,0,0,'Données projet'!$E$9+1,1))</f>
        <v>156.02450246371893</v>
      </c>
      <c r="T12" s="59">
        <f t="shared" si="34"/>
        <v>352.46632274450445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80.128205128205124</v>
      </c>
      <c r="L13" s="12">
        <f>VLOOKUP(A13,'Données projet'!$A$35:$I$55,9,0)</f>
        <v>8.0128205128205128</v>
      </c>
      <c r="M13" s="12">
        <f t="array" ref="M13">INDEX(L:L,MIN(IF(ISNUMBER(L13:L209),ROW(L13:L209),"")))</f>
        <v>8.0128205128205128</v>
      </c>
      <c r="N13" s="13">
        <f>IF('Données projet'!$A$36&gt;35,N12+M13-V12,IF(A13&lt;'Données projet'!$A$36,$K$205^A13,IF(A13='Données projet'!$A$36,'Données projet'!$B$36,N12+M13-V12)))</f>
        <v>80.128205128205124</v>
      </c>
      <c r="O13" s="13">
        <f>N13*VLOOKUP('Données projet'!$B$9,Paramètres!$A$1:$I$89,3,0)*VLOOKUP('Données projet'!$B$9,Paramètres!$A$1:$I$89,5,0)</f>
        <v>40.75</v>
      </c>
      <c r="P13" s="13">
        <f t="shared" si="33"/>
        <v>12.19721906113878</v>
      </c>
      <c r="Q13" s="20">
        <f t="shared" si="2"/>
        <v>92.216406531483372</v>
      </c>
      <c r="R13" s="59">
        <f t="shared" si="0"/>
        <v>361.10529542037222</v>
      </c>
      <c r="S13" s="59">
        <f ca="1">AVERAGE(OFFSET($R$3,0,0,'Données projet'!$E$9+1,1))-AVERAGE(OFFSET($H$3,0,0,'Données projet'!$E$9+1,1))</f>
        <v>156.02450246371893</v>
      </c>
      <c r="T13" s="59">
        <f t="shared" si="34"/>
        <v>352.46632274450445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0.44999999999999996</v>
      </c>
      <c r="X13" s="16">
        <f>IF(ISNA(VLOOKUP(A13,'Données projet'!$A$35:$I$55,6,0)),0%,VLOOKUP(A13,'Données projet'!$A$35:$I$55,6,0)*VLOOKUP('Données projet'!$B$9,Paramètres!$A$1:$I$89,7,0))</f>
        <v>0.12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13.717948717948715</v>
      </c>
      <c r="N14" s="13">
        <f>IF('Données projet'!$A$36&gt;35,N13+M14-V13,IF(A14&lt;'Données projet'!$A$36,$K$205^A14,IF(A14='Données projet'!$A$36,'Données projet'!$B$36,N13+M14-V13)))</f>
        <v>93.84615384615384</v>
      </c>
      <c r="O14" s="13">
        <f>N14*VLOOKUP('Données projet'!$B$9,Paramètres!$A$1:$I$89,3,0)*VLOOKUP('Données projet'!$B$9,Paramètres!$A$1:$I$89,5,0)</f>
        <v>47.726400000000005</v>
      </c>
      <c r="P14" s="13">
        <f t="shared" si="33"/>
        <v>14.025011682376725</v>
      </c>
      <c r="Q14" s="20">
        <f t="shared" si="2"/>
        <v>107.55037534680612</v>
      </c>
      <c r="R14" s="59">
        <f t="shared" si="0"/>
        <v>377.66148645791725</v>
      </c>
      <c r="S14" s="59">
        <f ca="1">AVERAGE(OFFSET($R$3,0,0,'Données projet'!$E$9+1,1))-AVERAGE(OFFSET($H$3,0,0,'Données projet'!$E$9+1,1))</f>
        <v>156.02450246371893</v>
      </c>
      <c r="T14" s="59">
        <f t="shared" si="34"/>
        <v>352.46632274450445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13.717948717948715</v>
      </c>
      <c r="N15" s="13">
        <f>IF('Données projet'!$A$36&gt;35,N14+M15-V14,IF(A15&lt;'Données projet'!$A$36,$K$205^A15,IF(A15='Données projet'!$A$36,'Données projet'!$B$36,N14+M15-V14)))</f>
        <v>107.56410256410255</v>
      </c>
      <c r="O15" s="13">
        <f>N15*VLOOKUP('Données projet'!$B$9,Paramètres!$A$1:$I$89,3,0)*VLOOKUP('Données projet'!$B$9,Paramètres!$A$1:$I$89,5,0)</f>
        <v>54.702799999999996</v>
      </c>
      <c r="P15" s="13">
        <f t="shared" si="33"/>
        <v>15.821851683296609</v>
      </c>
      <c r="Q15" s="20">
        <f t="shared" si="2"/>
        <v>122.83043501507494</v>
      </c>
      <c r="R15" s="59">
        <f t="shared" si="0"/>
        <v>394.16376834840827</v>
      </c>
      <c r="S15" s="59">
        <f ca="1">AVERAGE(OFFSET($R$3,0,0,'Données projet'!$E$9+1,1))-AVERAGE(OFFSET($H$3,0,0,'Données projet'!$E$9+1,1))</f>
        <v>156.02450246371893</v>
      </c>
      <c r="T15" s="59">
        <f t="shared" si="34"/>
        <v>352.46632274450445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13.717948717948715</v>
      </c>
      <c r="N16" s="13">
        <f>IF('Données projet'!$A$36&gt;35,N15+M16-V15,IF(A16&lt;'Données projet'!$A$36,$K$205^A16,IF(A16='Données projet'!$A$36,'Données projet'!$B$36,N15+M16-V15)))</f>
        <v>121.28205128205127</v>
      </c>
      <c r="O16" s="13">
        <f>N16*VLOOKUP('Données projet'!$B$9,Paramètres!$A$1:$I$89,3,0)*VLOOKUP('Données projet'!$B$9,Paramètres!$A$1:$I$89,5,0)</f>
        <v>61.679200000000002</v>
      </c>
      <c r="P16" s="13">
        <f t="shared" si="33"/>
        <v>17.59213903016083</v>
      </c>
      <c r="Q16" s="20">
        <f t="shared" si="2"/>
        <v>138.06424881086346</v>
      </c>
      <c r="R16" s="59">
        <f t="shared" si="0"/>
        <v>410.61980436641898</v>
      </c>
      <c r="S16" s="59">
        <f ca="1">AVERAGE(OFFSET($R$3,0,0,'Données projet'!$E$9+1,1))-AVERAGE(OFFSET($H$3,0,0,'Données projet'!$E$9+1,1))</f>
        <v>156.02450246371893</v>
      </c>
      <c r="T16" s="59">
        <f t="shared" si="34"/>
        <v>352.46632274450445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13.717948717948715</v>
      </c>
      <c r="N17" s="13">
        <f>IF('Données projet'!$A$36&gt;35,N16+M17-V16,IF(A17&lt;'Données projet'!$A$36,$K$205^A17,IF(A17='Données projet'!$A$36,'Données projet'!$B$36,N16+M17-V16)))</f>
        <v>135</v>
      </c>
      <c r="O17" s="13">
        <f>N17*VLOOKUP('Données projet'!$B$9,Paramètres!$A$1:$I$89,3,0)*VLOOKUP('Données projet'!$B$9,Paramètres!$A$1:$I$89,5,0)</f>
        <v>68.655600000000007</v>
      </c>
      <c r="P17" s="13">
        <f t="shared" si="33"/>
        <v>19.339219792497016</v>
      </c>
      <c r="Q17" s="20">
        <f t="shared" si="2"/>
        <v>153.25764447193231</v>
      </c>
      <c r="R17" s="59">
        <f t="shared" si="0"/>
        <v>427.03542224971011</v>
      </c>
      <c r="S17" s="59">
        <f ca="1">AVERAGE(OFFSET($R$3,0,0,'Données projet'!$E$9+1,1))-AVERAGE(OFFSET($H$3,0,0,'Données projet'!$E$9+1,1))</f>
        <v>156.02450246371893</v>
      </c>
      <c r="T17" s="59">
        <f t="shared" si="34"/>
        <v>352.46632274450445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148.7179487179487</v>
      </c>
      <c r="L18" s="12">
        <f>VLOOKUP(A18,'Données projet'!$A$35:$I$55,9,0)</f>
        <v>13.717948717948715</v>
      </c>
      <c r="M18" s="12">
        <f t="array" ref="M18">INDEX(L:L,MIN(IF(ISNUMBER(L18:L214),ROW(L18:L214),"")))</f>
        <v>13.717948717948715</v>
      </c>
      <c r="N18" s="13">
        <f>IF('Données projet'!$A$36&gt;35,N17+M18-V17,IF(A18&lt;'Données projet'!$A$36,$K$205^A18,IF(A18='Données projet'!$A$36,'Données projet'!$B$36,N17+M18-V17)))</f>
        <v>148.71794871794873</v>
      </c>
      <c r="O18" s="13">
        <f>N18*VLOOKUP('Données projet'!$B$9,Paramètres!$A$1:$I$89,3,0)*VLOOKUP('Données projet'!$B$9,Paramètres!$A$1:$I$89,5,0)</f>
        <v>75.632000000000005</v>
      </c>
      <c r="P18" s="13">
        <f t="shared" si="33"/>
        <v>21.065720600482592</v>
      </c>
      <c r="Q18" s="20">
        <f t="shared" si="2"/>
        <v>168.41519671250717</v>
      </c>
      <c r="R18" s="59">
        <f t="shared" si="0"/>
        <v>443.41519671250717</v>
      </c>
      <c r="S18" s="59">
        <f ca="1">AVERAGE(OFFSET($R$3,0,0,'Données projet'!$E$9+1,1))-AVERAGE(OFFSET($H$3,0,0,'Données projet'!$E$9+1,1))</f>
        <v>156.02450246371893</v>
      </c>
      <c r="T18" s="59">
        <f t="shared" si="34"/>
        <v>352.46632274450445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0.44999999999999996</v>
      </c>
      <c r="X18" s="16">
        <f>IF(ISNA(VLOOKUP(A18,'Données projet'!$A$35:$I$55,6,0)),0%,VLOOKUP(A18,'Données projet'!$A$35:$I$55,6,0)*VLOOKUP('Données projet'!$B$9,Paramètres!$A$1:$I$89,7,0))</f>
        <v>0.12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14.230769230769232</v>
      </c>
      <c r="N19" s="13">
        <f>IF('Données projet'!$A$36&gt;35,N18+M19-V18,IF(A19&lt;'Données projet'!$A$36,$K$205^A19,IF(A19='Données projet'!$A$36,'Données projet'!$B$36,N18+M19-V18)))</f>
        <v>162.94871794871796</v>
      </c>
      <c r="O19" s="13">
        <f>N19*VLOOKUP('Données projet'!$B$9,Paramètres!$A$1:$I$89,3,0)*VLOOKUP('Données projet'!$B$9,Paramètres!$A$1:$I$89,5,0)</f>
        <v>82.869200000000021</v>
      </c>
      <c r="P19" s="13">
        <f t="shared" si="33"/>
        <v>22.83727328319409</v>
      </c>
      <c r="Q19" s="20">
        <f t="shared" si="2"/>
        <v>184.10544096822977</v>
      </c>
      <c r="R19" s="59">
        <f t="shared" si="0"/>
        <v>460.32766319045197</v>
      </c>
      <c r="S19" s="59">
        <f ca="1">AVERAGE(OFFSET($R$3,0,0,'Données projet'!$E$9+1,1))-AVERAGE(OFFSET($H$3,0,0,'Données projet'!$E$9+1,1))</f>
        <v>156.02450246371893</v>
      </c>
      <c r="T19" s="59">
        <f t="shared" si="34"/>
        <v>352.46632274450445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14.230769230769232</v>
      </c>
      <c r="N20" s="13">
        <f>IF('Données projet'!$A$36&gt;35,N19+M20-V19,IF(A20&lt;'Données projet'!$A$36,$K$205^A20,IF(A20='Données projet'!$A$36,'Données projet'!$B$36,N19+M20-V19)))</f>
        <v>177.17948717948718</v>
      </c>
      <c r="O20" s="13">
        <f>N20*VLOOKUP('Données projet'!$B$9,Paramètres!$A$1:$I$89,3,0)*VLOOKUP('Données projet'!$B$9,Paramètres!$A$1:$I$89,5,0)</f>
        <v>90.106400000000008</v>
      </c>
      <c r="P20" s="13">
        <f t="shared" si="33"/>
        <v>24.590884346957413</v>
      </c>
      <c r="Q20" s="20">
        <f t="shared" si="2"/>
        <v>199.76443690428414</v>
      </c>
      <c r="R20" s="59">
        <f t="shared" si="0"/>
        <v>477.2088813487286</v>
      </c>
      <c r="S20" s="59">
        <f ca="1">AVERAGE(OFFSET($R$3,0,0,'Données projet'!$E$9+1,1))-AVERAGE(OFFSET($H$3,0,0,'Données projet'!$E$9+1,1))</f>
        <v>156.02450246371893</v>
      </c>
      <c r="T20" s="59">
        <f t="shared" si="34"/>
        <v>352.46632274450445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14.230769230769232</v>
      </c>
      <c r="N21" s="13">
        <f>IF('Données projet'!$A$36&gt;35,N20+M21-V20,IF(A21&lt;'Données projet'!$A$36,$K$205^A21,IF(A21='Données projet'!$A$36,'Données projet'!$B$36,N20+M21-V20)))</f>
        <v>191.41025641025641</v>
      </c>
      <c r="O21" s="13">
        <f>N21*VLOOKUP('Données projet'!$B$9,Paramètres!$A$1:$I$89,3,0)*VLOOKUP('Données projet'!$B$9,Paramètres!$A$1:$I$89,5,0)</f>
        <v>97.343600000000009</v>
      </c>
      <c r="P21" s="13">
        <f t="shared" si="33"/>
        <v>26.328158666297146</v>
      </c>
      <c r="Q21" s="20">
        <f t="shared" si="2"/>
        <v>215.39497967713419</v>
      </c>
      <c r="R21" s="59">
        <f t="shared" si="0"/>
        <v>494.06164634380087</v>
      </c>
      <c r="S21" s="59">
        <f ca="1">AVERAGE(OFFSET($R$3,0,0,'Données projet'!$E$9+1,1))-AVERAGE(OFFSET($H$3,0,0,'Données projet'!$E$9+1,1))</f>
        <v>156.02450246371893</v>
      </c>
      <c r="T21" s="59">
        <f t="shared" si="34"/>
        <v>352.46632274450445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14.230769230769232</v>
      </c>
      <c r="N22" s="13">
        <f>IF('Données projet'!$A$36&gt;35,N21+M22-V21,IF(A22&lt;'Données projet'!$A$36,$K$205^A22,IF(A22='Données projet'!$A$36,'Données projet'!$B$36,N21+M22-V21)))</f>
        <v>205.64102564102564</v>
      </c>
      <c r="O22" s="13">
        <f>N22*VLOOKUP('Données projet'!$B$9,Paramètres!$A$1:$I$89,3,0)*VLOOKUP('Données projet'!$B$9,Paramètres!$A$1:$I$89,5,0)</f>
        <v>104.5808</v>
      </c>
      <c r="P22" s="13">
        <f t="shared" si="33"/>
        <v>28.050448941743085</v>
      </c>
      <c r="Q22" s="20">
        <f t="shared" si="2"/>
        <v>230.99942524020253</v>
      </c>
      <c r="R22" s="59">
        <f t="shared" si="0"/>
        <v>510.88831412909138</v>
      </c>
      <c r="S22" s="59">
        <f ca="1">AVERAGE(OFFSET($R$3,0,0,'Données projet'!$E$9+1,1))-AVERAGE(OFFSET($H$3,0,0,'Données projet'!$E$9+1,1))</f>
        <v>156.02450246371893</v>
      </c>
      <c r="T22" s="59">
        <f t="shared" si="34"/>
        <v>352.46632274450445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219.87179487179486</v>
      </c>
      <c r="L23" s="12">
        <f>VLOOKUP(A23,'Données projet'!$A$35:$I$55,9,0)</f>
        <v>14.230769230769232</v>
      </c>
      <c r="M23" s="12">
        <f t="array" ref="M23">INDEX(L:L,MIN(IF(ISNUMBER(L23:L219),ROW(L23:L219),"")))</f>
        <v>14.230769230769232</v>
      </c>
      <c r="N23" s="13">
        <f>IF('Données projet'!$A$36&gt;35,N22+M23-V22,IF(A23&lt;'Données projet'!$A$36,$K$205^A23,IF(A23='Données projet'!$A$36,'Données projet'!$B$36,N22+M23-V22)))</f>
        <v>219.87179487179486</v>
      </c>
      <c r="O23" s="13">
        <f>N23*VLOOKUP('Données projet'!$B$9,Paramètres!$A$1:$I$89,3,0)*VLOOKUP('Données projet'!$B$9,Paramètres!$A$1:$I$89,5,0)</f>
        <v>111.818</v>
      </c>
      <c r="P23" s="13">
        <f t="shared" si="33"/>
        <v>29.758910054541737</v>
      </c>
      <c r="Q23" s="20">
        <f t="shared" si="2"/>
        <v>246.57978501166019</v>
      </c>
      <c r="R23" s="59">
        <f t="shared" si="0"/>
        <v>527.69089612277139</v>
      </c>
      <c r="S23" s="59">
        <f ca="1">AVERAGE(OFFSET($R$3,0,0,'Données projet'!$E$9+1,1))-AVERAGE(OFFSET($H$3,0,0,'Données projet'!$E$9+1,1))</f>
        <v>156.02450246371893</v>
      </c>
      <c r="T23" s="59">
        <f t="shared" si="34"/>
        <v>352.46632274450445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0.44999999999999996</v>
      </c>
      <c r="X23" s="16">
        <f>IF(ISNA(VLOOKUP(A23,'Données projet'!$A$35:$I$55,6,0)),0%,VLOOKUP(A23,'Données projet'!$A$35:$I$55,6,0)*VLOOKUP('Données projet'!$B$9,Paramètres!$A$1:$I$89,7,0))</f>
        <v>0.12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12.5</v>
      </c>
      <c r="N24" s="13">
        <f>IF('Données projet'!$A$36&gt;35,N23+M24-V23,IF(A24&lt;'Données projet'!$A$36,$K$205^A24,IF(A24='Données projet'!$A$36,'Données projet'!$B$36,N23+M24-V23)))</f>
        <v>232.37179487179486</v>
      </c>
      <c r="O24" s="13">
        <f>N24*VLOOKUP('Données projet'!$B$9,Paramètres!$A$1:$I$89,3,0)*VLOOKUP('Données projet'!$B$9,Paramètres!$A$1:$I$89,5,0)</f>
        <v>118.175</v>
      </c>
      <c r="P24" s="13">
        <f t="shared" si="33"/>
        <v>31.24896910986098</v>
      </c>
      <c r="Q24" s="20">
        <f t="shared" si="2"/>
        <v>260.24674619967453</v>
      </c>
      <c r="R24" s="59">
        <f t="shared" si="0"/>
        <v>542.58007953300785</v>
      </c>
      <c r="S24" s="59">
        <f ca="1">AVERAGE(OFFSET($R$3,0,0,'Données projet'!$E$9+1,1))-AVERAGE(OFFSET($H$3,0,0,'Données projet'!$E$9+1,1))</f>
        <v>156.02450246371893</v>
      </c>
      <c r="T24" s="59">
        <f t="shared" si="34"/>
        <v>352.46632274450445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244.87179487179486</v>
      </c>
      <c r="L25" s="12">
        <f>VLOOKUP(A25,'Données projet'!$A$35:$I$55,9,0)</f>
        <v>12.5</v>
      </c>
      <c r="M25" s="12">
        <f t="array" ref="M25">INDEX(L:L,MIN(IF(ISNUMBER(L25:L221),ROW(L25:L221),"")))</f>
        <v>12.5</v>
      </c>
      <c r="N25" s="13">
        <f>IF('Données projet'!$A$36&gt;35,N24+M25-V24,IF(A25&lt;'Données projet'!$A$36,$K$205^A25,IF(A25='Données projet'!$A$36,'Données projet'!$B$36,N24+M25-V24)))</f>
        <v>244.87179487179486</v>
      </c>
      <c r="O25" s="13">
        <f>N25*VLOOKUP('Données projet'!$B$9,Paramètres!$A$1:$I$89,3,0)*VLOOKUP('Données projet'!$B$9,Paramètres!$A$1:$I$89,5,0)</f>
        <v>124.532</v>
      </c>
      <c r="P25" s="13">
        <f t="shared" si="33"/>
        <v>32.729722546304636</v>
      </c>
      <c r="Q25" s="20">
        <f t="shared" si="2"/>
        <v>273.8975001014806</v>
      </c>
      <c r="R25" s="59">
        <f t="shared" si="0"/>
        <v>557.4530556570362</v>
      </c>
      <c r="S25" s="59">
        <f ca="1">AVERAGE(OFFSET($R$3,0,0,'Données projet'!$E$9+1,1))-AVERAGE(OFFSET($H$3,0,0,'Données projet'!$E$9+1,1))</f>
        <v>156.02450246371893</v>
      </c>
      <c r="T25" s="59">
        <f t="shared" si="34"/>
        <v>352.46632274450445</v>
      </c>
      <c r="U25" s="15">
        <f>IF(ISNA(VLOOKUP(A25,'Données projet'!$A$35:$I$55,3,0)),0,VLOOKUP(A25,'Données projet'!$A$35:$I$55,3,0))</f>
        <v>4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0.44999999999999996</v>
      </c>
      <c r="X25" s="16">
        <f>IF(ISNA(VLOOKUP(A25,'Données projet'!$A$35:$I$55,6,0)),0%,VLOOKUP(A25,'Données projet'!$A$35:$I$55,6,0)*VLOOKUP('Données projet'!$B$9,Paramètres!$A$1:$I$89,7,0))</f>
        <v>0.12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12.5</v>
      </c>
      <c r="N26" s="13">
        <f>IF('Données projet'!$A$36&gt;35,N25+M26-V25,IF(A26&lt;'Données projet'!$A$36,$K$205^A26,IF(A26='Données projet'!$A$36,'Données projet'!$B$36,N25+M26-V25)))</f>
        <v>257.37179487179486</v>
      </c>
      <c r="O26" s="13">
        <f>N26*VLOOKUP('Données projet'!$B$9,Paramètres!$A$1:$I$89,3,0)*VLOOKUP('Données projet'!$B$9,Paramètres!$A$1:$I$89,5,0)</f>
        <v>130.88900000000001</v>
      </c>
      <c r="P26" s="13">
        <f t="shared" si="33"/>
        <v>34.201699580416332</v>
      </c>
      <c r="Q26" s="20">
        <f t="shared" si="2"/>
        <v>287.5329684358918</v>
      </c>
      <c r="R26" s="59">
        <f t="shared" si="0"/>
        <v>572.31074621366952</v>
      </c>
      <c r="S26" s="59">
        <f ca="1">AVERAGE(OFFSET($R$3,0,0,'Données projet'!$E$9+1,1))-AVERAGE(OFFSET($H$3,0,0,'Données projet'!$E$9+1,1))</f>
        <v>156.02450246371893</v>
      </c>
      <c r="T26" s="59">
        <f t="shared" si="34"/>
        <v>352.46632274450445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269.87179487179486</v>
      </c>
      <c r="L27" s="12">
        <f>VLOOKUP(A27,'Données projet'!$A$35:$I$55,9,0)</f>
        <v>12.5</v>
      </c>
      <c r="M27" s="12">
        <f t="array" ref="M27">INDEX(L:L,MIN(IF(ISNUMBER(L27:L223),ROW(L27:L223),"")))</f>
        <v>12.5</v>
      </c>
      <c r="N27" s="13">
        <f>IF('Données projet'!$A$36&gt;35,N26+M27-V26,IF(A27&lt;'Données projet'!$A$36,$K$205^A27,IF(A27='Données projet'!$A$36,'Données projet'!$B$36,N26+M27-V26)))</f>
        <v>269.87179487179486</v>
      </c>
      <c r="O27" s="13">
        <f>N27*VLOOKUP('Données projet'!$B$9,Paramètres!$A$1:$I$89,3,0)*VLOOKUP('Données projet'!$B$9,Paramètres!$A$1:$I$89,5,0)</f>
        <v>137.24600000000001</v>
      </c>
      <c r="P27" s="13">
        <f t="shared" si="33"/>
        <v>35.665375118552078</v>
      </c>
      <c r="Q27" s="20">
        <f t="shared" si="2"/>
        <v>301.15397833147824</v>
      </c>
      <c r="R27" s="59">
        <f t="shared" si="0"/>
        <v>587.15397833147824</v>
      </c>
      <c r="S27" s="59">
        <f ca="1">AVERAGE(OFFSET($R$3,0,0,'Données projet'!$E$9+1,1))-AVERAGE(OFFSET($H$3,0,0,'Données projet'!$E$9+1,1))</f>
        <v>156.02450246371893</v>
      </c>
      <c r="T27" s="59">
        <f t="shared" si="34"/>
        <v>352.46632274450445</v>
      </c>
      <c r="U27" s="15">
        <f>IF(ISNA(VLOOKUP(A27,'Données projet'!$A$35:$I$55,3,0)),0,VLOOKUP(A27,'Données projet'!$A$35:$I$55,3,0))</f>
        <v>5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0.44999999999999996</v>
      </c>
      <c r="X27" s="16">
        <f>IF(ISNA(VLOOKUP(A27,'Données projet'!$A$35:$I$55,6,0)),0%,VLOOKUP(A27,'Données projet'!$A$35:$I$55,6,0)*VLOOKUP('Données projet'!$B$9,Paramètres!$A$1:$I$89,7,0))</f>
        <v>0.12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8.974358974358978</v>
      </c>
      <c r="N28" s="13">
        <f>IF('Données projet'!$A$36&gt;35,N27+M28-V27,IF(A28&lt;'Données projet'!$A$36,$K$205^A28,IF(A28='Données projet'!$A$36,'Données projet'!$B$36,N27+M28-V27)))</f>
        <v>278.84615384615381</v>
      </c>
      <c r="O28" s="13">
        <f>N28*VLOOKUP('Données projet'!$B$9,Paramètres!$A$1:$I$89,3,0)*VLOOKUP('Données projet'!$B$9,Paramètres!$A$1:$I$89,5,0)</f>
        <v>141.81</v>
      </c>
      <c r="P28" s="13">
        <f t="shared" si="33"/>
        <v>36.711340571924993</v>
      </c>
      <c r="Q28" s="20">
        <f t="shared" si="2"/>
        <v>310.92466816276936</v>
      </c>
      <c r="R28" s="59">
        <f t="shared" si="0"/>
        <v>598.14689038499159</v>
      </c>
      <c r="S28" s="59">
        <f ca="1">AVERAGE(OFFSET($R$3,0,0,'Données projet'!$E$9+1,1))-AVERAGE(OFFSET($H$3,0,0,'Données projet'!$E$9+1,1))</f>
        <v>156.02450246371893</v>
      </c>
      <c r="T28" s="59">
        <f t="shared" si="34"/>
        <v>352.46632274450445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287.82051282051282</v>
      </c>
      <c r="L29" s="12">
        <f>VLOOKUP(A29,'Données projet'!$A$35:$I$55,9,0)</f>
        <v>8.974358974358978</v>
      </c>
      <c r="M29" s="12">
        <f t="array" ref="M29">INDEX(L:L,MIN(IF(ISNUMBER(L29:L225),ROW(L29:L225),"")))</f>
        <v>8.974358974358978</v>
      </c>
      <c r="N29" s="13">
        <f>IF('Données projet'!$A$36&gt;35,N28+M29-V28,IF(A29&lt;'Données projet'!$A$36,$K$205^A29,IF(A29='Données projet'!$A$36,'Données projet'!$B$36,N28+M29-V28)))</f>
        <v>287.82051282051282</v>
      </c>
      <c r="O29" s="13">
        <f>N29*VLOOKUP('Données projet'!$B$9,Paramètres!$A$1:$I$89,3,0)*VLOOKUP('Données projet'!$B$9,Paramètres!$A$1:$I$89,5,0)</f>
        <v>146.37400000000002</v>
      </c>
      <c r="P29" s="13">
        <f t="shared" si="33"/>
        <v>37.753394239268872</v>
      </c>
      <c r="Q29" s="20">
        <f t="shared" si="2"/>
        <v>320.68854496672662</v>
      </c>
      <c r="R29" s="59">
        <f t="shared" si="0"/>
        <v>609.13298941117114</v>
      </c>
      <c r="S29" s="59">
        <f ca="1">AVERAGE(OFFSET($R$3,0,0,'Données projet'!$E$9+1,1))-AVERAGE(OFFSET($H$3,0,0,'Données projet'!$E$9+1,1))</f>
        <v>156.02450246371893</v>
      </c>
      <c r="T29" s="59">
        <f t="shared" si="34"/>
        <v>352.46632274450445</v>
      </c>
      <c r="U29" s="15">
        <f>IF(ISNA(VLOOKUP(A29,'Données projet'!$A$35:$I$55,3,0)),0,VLOOKUP(A29,'Données projet'!$A$35:$I$55,3,0))</f>
        <v>6</v>
      </c>
      <c r="V29" s="15">
        <f>IF(ISNA(VLOOKUP(A29,'Données projet'!$A$35:$I$55,4,0)),0,VLOOKUP(A29,'Données projet'!$A$35:$I$55,4,0))</f>
        <v>287.82051282051282</v>
      </c>
      <c r="W29" s="16">
        <f>IF(ISNA(VLOOKUP(A29,'Données projet'!$A$35:$I$55,5,0)),0%,VLOOKUP(A29,'Données projet'!$A$35:$I$55,5,0)*VLOOKUP('Données projet'!$B$9,Paramètres!$A$1:$I$89,7,0))</f>
        <v>0.44999999999999996</v>
      </c>
      <c r="X29" s="16">
        <f>IF(ISNA(VLOOKUP(A29,'Données projet'!$A$35:$I$55,6,0)),0%,VLOOKUP(A29,'Données projet'!$A$35:$I$55,6,0)*VLOOKUP('Données projet'!$B$9,Paramètres!$A$1:$I$89,7,0))</f>
        <v>0.12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72.815454600190222</v>
      </c>
      <c r="AA29" s="21">
        <f>EXP(-LN(2)/25)*AA28+(1-EXP(-LN(2)/25))/(LN(2)/25)*Calculateur!V29*Calculateur!X29*VLOOKUP('Données projet'!$B$9,Paramètres!$A$1:$I$89,3,0)*0.475*44/12</f>
        <v>19.34100064281758</v>
      </c>
      <c r="AB29" s="21">
        <f>EXP(-LN(2)/2)*AB28+(1-EXP(-LN(2)/2))/(LN(2)/2)*V29*Y29*VLOOKUP('Données projet'!$B$9,Paramètres!$A$1:$I$89,3,0)*0.475*44/12</f>
        <v>0</v>
      </c>
      <c r="AC29" s="22">
        <f t="shared" si="3"/>
        <v>92.156455243007798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156.02450246371893</v>
      </c>
      <c r="T30" s="59">
        <f t="shared" si="34"/>
        <v>352.46632274450445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71.387587948522381</v>
      </c>
      <c r="AA30" s="21">
        <f>EXP(-LN(2)/25)*AA29+(1-EXP(-LN(2)/25))/(LN(2)/25)*Calculateur!V30*Calculateur!X30*VLOOKUP('Données projet'!$B$9,Paramètres!$A$1:$I$89,3,0)*0.475*44/12</f>
        <v>18.812119963140713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90.199707911663097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156.02450246371893</v>
      </c>
      <c r="T31" s="59">
        <f t="shared" si="34"/>
        <v>352.46632274450445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69.98772089098108</v>
      </c>
      <c r="AA31" s="21">
        <f>EXP(-LN(2)/25)*AA30+(1-EXP(-LN(2)/25))/(LN(2)/25)*Calculateur!V31*Calculateur!X31*VLOOKUP('Données projet'!$B$9,Paramètres!$A$1:$I$89,3,0)*0.475*44/12</f>
        <v>18.297701553462236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88.285422444443313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156.02450246371893</v>
      </c>
      <c r="T32" s="59">
        <f t="shared" si="34"/>
        <v>352.46632274450445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68.615304372603561</v>
      </c>
      <c r="AA32" s="21">
        <f>EXP(-LN(2)/25)*AA31+(1-EXP(-LN(2)/25))/(LN(2)/25)*Calculateur!V32*Calculateur!X32*VLOOKUP('Données projet'!$B$9,Paramètres!$A$1:$I$89,3,0)*0.475*44/12</f>
        <v>17.797349942248506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86.412654314852062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156.02450246371893</v>
      </c>
      <c r="T33" s="59">
        <f t="shared" si="34"/>
        <v>352.46632274450445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67.269800105060014</v>
      </c>
      <c r="AA33" s="21">
        <f>EXP(-LN(2)/25)*AA32+(1-EXP(-LN(2)/25))/(LN(2)/25)*Calculateur!V33*Calculateur!X33*VLOOKUP('Données projet'!$B$9,Paramètres!$A$1:$I$89,3,0)*0.475*44/12</f>
        <v>17.310680472155763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84.580480577215781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156.02450246371893</v>
      </c>
      <c r="T34" s="59">
        <f t="shared" si="34"/>
        <v>352.46632274450445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65.95068035552643</v>
      </c>
      <c r="AA34" s="21">
        <f>EXP(-LN(2)/25)*AA33+(1-EXP(-LN(2)/25))/(LN(2)/25)*Calculateur!V34*Calculateur!X34*VLOOKUP('Données projet'!$B$9,Paramètres!$A$1:$I$89,3,0)*0.475*44/12</f>
        <v>16.837319004315543</v>
      </c>
      <c r="AB34" s="21">
        <f>EXP(-LN(2)/2)*AB33+(1-EXP(-LN(2)/2))/(LN(2)/2)*V34*Y34*VLOOKUP('Données projet'!$B$9,Paramètres!$A$1:$I$89,3,0)*0.475*44/12</f>
        <v>0</v>
      </c>
      <c r="AC34" s="22">
        <f t="shared" si="3"/>
        <v>82.787999359841976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156.02450246371893</v>
      </c>
      <c r="T35" s="59">
        <f t="shared" si="34"/>
        <v>352.46632274450445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64.657427739697596</v>
      </c>
      <c r="AA35" s="21">
        <f>EXP(-LN(2)/25)*AA34+(1-EXP(-LN(2)/25))/(LN(2)/25)*Calculateur!V35*Calculateur!X35*VLOOKUP('Données projet'!$B$9,Paramètres!$A$1:$I$89,3,0)*0.475*44/12</f>
        <v>16.37690163070641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81.034329370404009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156.02450246371893</v>
      </c>
      <c r="T36" s="59">
        <f t="shared" si="34"/>
        <v>352.46632274450445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63.38953501885895</v>
      </c>
      <c r="AA36" s="21">
        <f>EXP(-LN(2)/25)*AA35+(1-EXP(-LN(2)/25))/(LN(2)/25)*Calculateur!V36*Calculateur!X36*VLOOKUP('Données projet'!$B$9,Paramètres!$A$1:$I$89,3,0)*0.475*44/12</f>
        <v>15.929074394390916</v>
      </c>
      <c r="AB36" s="21">
        <f>EXP(-LN(2)/2)*AB35+(1-EXP(-LN(2)/2))/(LN(2)/2)*V36*Y36*VLOOKUP('Données projet'!$B$9,Paramètres!$A$1:$I$89,3,0)*0.475*44/12</f>
        <v>0</v>
      </c>
      <c r="AC36" s="22">
        <f t="shared" si="3"/>
        <v>79.318609413249874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156.02450246371893</v>
      </c>
      <c r="T37" s="59">
        <f t="shared" si="34"/>
        <v>352.46632274450445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62.146504900937757</v>
      </c>
      <c r="AA37" s="21">
        <f>EXP(-LN(2)/25)*AA36+(1-EXP(-LN(2)/25))/(LN(2)/25)*Calculateur!V37*Calculateur!X37*VLOOKUP('Données projet'!$B$9,Paramètres!$A$1:$I$89,3,0)*0.475*44/12</f>
        <v>15.493493017402681</v>
      </c>
      <c r="AB37" s="21">
        <f>EXP(-LN(2)/2)*AB36+(1-EXP(-LN(2)/2))/(LN(2)/2)*V37*Y37*VLOOKUP('Données projet'!$B$9,Paramètres!$A$1:$I$89,3,0)*0.475*44/12</f>
        <v>0</v>
      </c>
      <c r="AC37" s="22">
        <f t="shared" si="3"/>
        <v>77.639997918340441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156.02450246371893</v>
      </c>
      <c r="T38" s="59">
        <f t="shared" si="34"/>
        <v>352.46632274450445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60.927849845455491</v>
      </c>
      <c r="AA38" s="21">
        <f>EXP(-LN(2)/25)*AA37+(1-EXP(-LN(2)/25))/(LN(2)/25)*Calculateur!V38*Calculateur!X38*VLOOKUP('Données projet'!$B$9,Paramètres!$A$1:$I$89,3,0)*0.475*44/12</f>
        <v>15.069822636074418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75.997672481529904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156.02450246371893</v>
      </c>
      <c r="T39" s="59">
        <f t="shared" si="34"/>
        <v>352.46632274450445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59.733091872305039</v>
      </c>
      <c r="AA39" s="21">
        <f>EXP(-LN(2)/25)*AA38+(1-EXP(-LN(2)/25))/(LN(2)/25)*Calculateur!V39*Calculateur!X39*VLOOKUP('Données projet'!$B$9,Paramètres!$A$1:$I$89,3,0)*0.475*44/12</f>
        <v>14.657737543603433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74.39082941590847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156.02450246371893</v>
      </c>
      <c r="T40" s="59">
        <f t="shared" si="34"/>
        <v>352.46632274450445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58.561762374277663</v>
      </c>
      <c r="AA40" s="21">
        <f>EXP(-LN(2)/25)*AA39+(1-EXP(-LN(2)/25))/(LN(2)/25)*Calculateur!V40*Calculateur!X40*VLOOKUP('Données projet'!$B$9,Paramètres!$A$1:$I$89,3,0)*0.475*44/12</f>
        <v>14.256920939656681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72.818683313934343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156.02450246371893</v>
      </c>
      <c r="T41" s="59">
        <f t="shared" si="34"/>
        <v>352.46632274450445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57.413401933266151</v>
      </c>
      <c r="AA41" s="21">
        <f>EXP(-LN(2)/25)*AA40+(1-EXP(-LN(2)/25))/(LN(2)/25)*Calculateur!V41*Calculateur!X41*VLOOKUP('Données projet'!$B$9,Paramètres!$A$1:$I$89,3,0)*0.475*44/12</f>
        <v>13.86706468682288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71.28046662008903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156.02450246371893</v>
      </c>
      <c r="T42" s="59">
        <f t="shared" si="34"/>
        <v>352.46632274450445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56.287560140072166</v>
      </c>
      <c r="AA42" s="21">
        <f>EXP(-LN(2)/25)*AA41+(1-EXP(-LN(2)/25))/(LN(2)/25)*Calculateur!V42*Calculateur!X42*VLOOKUP('Données projet'!$B$9,Paramètres!$A$1:$I$89,3,0)*0.475*44/12</f>
        <v>13.48786907372447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69.775429213796642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156.02450246371893</v>
      </c>
      <c r="T43" s="59">
        <f t="shared" si="34"/>
        <v>352.46632274450445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55.183795417747028</v>
      </c>
      <c r="AA43" s="21">
        <f>EXP(-LN(2)/25)*AA42+(1-EXP(-LN(2)/25))/(LN(2)/25)*Calculateur!V43*Calculateur!X43*VLOOKUP('Données projet'!$B$9,Paramètres!$A$1:$I$89,3,0)*0.475*44/12</f>
        <v>13.119042584607266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68.302838002354292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156.02450246371893</v>
      </c>
      <c r="T44" s="59">
        <f t="shared" si="34"/>
        <v>352.46632274450445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54.101674848396684</v>
      </c>
      <c r="AA44" s="21">
        <f>EXP(-LN(2)/25)*AA43+(1-EXP(-LN(2)/25))/(LN(2)/25)*Calculateur!V44*Calculateur!X44*VLOOKUP('Données projet'!$B$9,Paramètres!$A$1:$I$89,3,0)*0.475*44/12</f>
        <v>12.760301675230714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66.861976523627391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156.02450246371893</v>
      </c>
      <c r="T45" s="59">
        <f t="shared" si="34"/>
        <v>352.46632274450445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53.040774003382928</v>
      </c>
      <c r="AA45" s="21">
        <f>EXP(-LN(2)/25)*AA44+(1-EXP(-LN(2)/25))/(LN(2)/25)*Calculateur!V45*Calculateur!X45*VLOOKUP('Données projet'!$B$9,Paramètres!$A$1:$I$89,3,0)*0.475*44/12</f>
        <v>12.41137055488643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65.452144558269353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156.02450246371893</v>
      </c>
      <c r="T46" s="59">
        <f t="shared" si="34"/>
        <v>352.46632274450445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52.00067677685427</v>
      </c>
      <c r="AA46" s="21">
        <f>EXP(-LN(2)/25)*AA45+(1-EXP(-LN(2)/25))/(LN(2)/25)*Calculateur!V46*Calculateur!X46*VLOOKUP('Données projet'!$B$9,Paramètres!$A$1:$I$89,3,0)*0.475*44/12</f>
        <v>12.07198097437745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64.072657751231716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156.02450246371893</v>
      </c>
      <c r="T47" s="59">
        <f t="shared" si="34"/>
        <v>352.46632274450445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50.980975222541169</v>
      </c>
      <c r="AA47" s="21">
        <f>EXP(-LN(2)/25)*AA46+(1-EXP(-LN(2)/25))/(LN(2)/25)*Calculateur!V47*Calculateur!X47*VLOOKUP('Données projet'!$B$9,Paramètres!$A$1:$I$89,3,0)*0.475*44/12</f>
        <v>11.74187201979521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62.722847242336378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156.02450246371893</v>
      </c>
      <c r="T48" s="59">
        <f t="shared" si="34"/>
        <v>352.46632274450445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49.98126939375161</v>
      </c>
      <c r="AA48" s="21">
        <f>EXP(-LN(2)/25)*AA47+(1-EXP(-LN(2)/25))/(LN(2)/25)*Calculateur!V48*Calculateur!X48*VLOOKUP('Données projet'!$B$9,Paramètres!$A$1:$I$89,3,0)*0.475*44/12</f>
        <v>11.420789911935696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61.402059305687303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156.02450246371893</v>
      </c>
      <c r="T49" s="59">
        <f t="shared" si="34"/>
        <v>352.46632274450445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49.001167186504269</v>
      </c>
      <c r="AA49" s="21">
        <f>EXP(-LN(2)/25)*AA48+(1-EXP(-LN(2)/25))/(LN(2)/25)*Calculateur!V49*Calculateur!X49*VLOOKUP('Données projet'!$B$9,Paramètres!$A$1:$I$89,3,0)*0.475*44/12</f>
        <v>11.108487811200575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60.109654997704844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156.02450246371893</v>
      </c>
      <c r="T50" s="59">
        <f t="shared" si="34"/>
        <v>352.46632274450445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48.040284185737733</v>
      </c>
      <c r="AA50" s="21">
        <f>EXP(-LN(2)/25)*AA49+(1-EXP(-LN(2)/25))/(LN(2)/25)*Calculateur!V50*Calculateur!X50*VLOOKUP('Données projet'!$B$9,Paramètres!$A$1:$I$89,3,0)*0.475*44/12</f>
        <v>10.80472562783331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58.845009813571039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156.02450246371893</v>
      </c>
      <c r="T51" s="59">
        <f t="shared" si="34"/>
        <v>352.46632274450445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47.098243514535469</v>
      </c>
      <c r="AA51" s="21">
        <f>EXP(-LN(2)/25)*AA50+(1-EXP(-LN(2)/25))/(LN(2)/25)*Calculateur!V51*Calculateur!X51*VLOOKUP('Données projet'!$B$9,Paramètres!$A$1:$I$89,3,0)*0.475*44/12</f>
        <v>10.509269837344382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57.607513351879852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156.02450246371893</v>
      </c>
      <c r="T52" s="59">
        <f t="shared" si="34"/>
        <v>352.46632274450445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46.17467568630741</v>
      </c>
      <c r="AA52" s="21">
        <f>EXP(-LN(2)/25)*AA51+(1-EXP(-LN(2)/25))/(LN(2)/25)*Calculateur!V52*Calculateur!X52*VLOOKUP('Données projet'!$B$9,Paramètres!$A$1:$I$89,3,0)*0.475*44/12</f>
        <v>10.221893300983718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56.396568987291126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156.02450246371893</v>
      </c>
      <c r="T53" s="59">
        <f t="shared" si="34"/>
        <v>352.46632274450445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45.269218459870146</v>
      </c>
      <c r="AA53" s="21">
        <f>EXP(-LN(2)/25)*AA52+(1-EXP(-LN(2)/25))/(LN(2)/25)*Calculateur!V53*Calculateur!X53*VLOOKUP('Données projet'!$B$9,Paramètres!$A$1:$I$89,3,0)*0.475*44/12</f>
        <v>9.9423750911223117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55.211593550992461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156.02450246371893</v>
      </c>
      <c r="T54" s="59">
        <f t="shared" si="34"/>
        <v>352.46632274450445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44.381516697368944</v>
      </c>
      <c r="AA54" s="21">
        <f>EXP(-LN(2)/25)*AA53+(1-EXP(-LN(2)/25))/(LN(2)/25)*Calculateur!V54*Calculateur!X54*VLOOKUP('Données projet'!$B$9,Paramètres!$A$1:$I$89,3,0)*0.475*44/12</f>
        <v>9.6705003214087899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54.052017018777732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156.02450246371893</v>
      </c>
      <c r="T55" s="59">
        <f t="shared" si="34"/>
        <v>352.46632274450445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43.511222224985779</v>
      </c>
      <c r="AA55" s="21">
        <f>EXP(-LN(2)/25)*AA54+(1-EXP(-LN(2)/25))/(LN(2)/25)*Calculateur!V55*Calculateur!X55*VLOOKUP('Données projet'!$B$9,Paramètres!$A$1:$I$89,3,0)*0.475*44/12</f>
        <v>9.4060599815703565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52.917282206556138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156.02450246371893</v>
      </c>
      <c r="T56" s="59">
        <f t="shared" si="34"/>
        <v>352.46632274450445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42.657993696378831</v>
      </c>
      <c r="AA56" s="21">
        <f>EXP(-LN(2)/25)*AA55+(1-EXP(-LN(2)/25))/(LN(2)/25)*Calculateur!V56*Calculateur!X56*VLOOKUP('Données projet'!$B$9,Paramètres!$A$1:$I$89,3,0)*0.475*44/12</f>
        <v>9.148850776731118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51.806844473109948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156.02450246371893</v>
      </c>
      <c r="T57" s="59">
        <f t="shared" si="34"/>
        <v>352.46632274450445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41.821496458799857</v>
      </c>
      <c r="AA57" s="21">
        <f>EXP(-LN(2)/25)*AA56+(1-EXP(-LN(2)/25))/(LN(2)/25)*Calculateur!V57*Calculateur!X57*VLOOKUP('Données projet'!$B$9,Paramètres!$A$1:$I$89,3,0)*0.475*44/12</f>
        <v>8.8986749711242528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50.720171429924108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156.02450246371893</v>
      </c>
      <c r="T58" s="59">
        <f t="shared" si="34"/>
        <v>352.46632274450445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41.001402421836865</v>
      </c>
      <c r="AA58" s="21">
        <f>EXP(-LN(2)/25)*AA57+(1-EXP(-LN(2)/25))/(LN(2)/25)*Calculateur!V58*Calculateur!X58*VLOOKUP('Données projet'!$B$9,Paramètres!$A$1:$I$89,3,0)*0.475*44/12</f>
        <v>8.6553402360778815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49.656742657914748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156.02450246371893</v>
      </c>
      <c r="T59" s="59">
        <f t="shared" si="34"/>
        <v>352.46632274450445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40.19738992873075</v>
      </c>
      <c r="AA59" s="21">
        <f>EXP(-LN(2)/25)*AA58+(1-EXP(-LN(2)/25))/(LN(2)/25)*Calculateur!V59*Calculateur!X59*VLOOKUP('Données projet'!$B$9,Paramètres!$A$1:$I$89,3,0)*0.475*44/12</f>
        <v>8.4186595021577713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48.616049430888523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156.02450246371893</v>
      </c>
      <c r="T60" s="59">
        <f t="shared" si="34"/>
        <v>352.46632274450445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39.409143630215247</v>
      </c>
      <c r="AA60" s="21">
        <f>EXP(-LN(2)/25)*AA59+(1-EXP(-LN(2)/25))/(LN(2)/25)*Calculateur!V60*Calculateur!X60*VLOOKUP('Données projet'!$B$9,Paramètres!$A$1:$I$89,3,0)*0.475*44/12</f>
        <v>8.188450815353205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47.597594445568454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156.02450246371893</v>
      </c>
      <c r="T61" s="59">
        <f t="shared" si="34"/>
        <v>352.46632274450445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38.636354360830865</v>
      </c>
      <c r="AA61" s="21">
        <f>EXP(-LN(2)/25)*AA60+(1-EXP(-LN(2)/25))/(LN(2)/25)*Calculateur!V61*Calculateur!X61*VLOOKUP('Données projet'!$B$9,Paramètres!$A$1:$I$89,3,0)*0.475*44/12</f>
        <v>7.9645371971954582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46.600891558026319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156.02450246371893</v>
      </c>
      <c r="T62" s="59">
        <f t="shared" si="34"/>
        <v>352.46632274450445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37.878719017664196</v>
      </c>
      <c r="AA62" s="21">
        <f>EXP(-LN(2)/25)*AA61+(1-EXP(-LN(2)/25))/(LN(2)/25)*Calculateur!V62*Calculateur!X62*VLOOKUP('Données projet'!$B$9,Paramètres!$A$1:$I$89,3,0)*0.475*44/12</f>
        <v>7.7467465087013405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45.625465526365538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156.02450246371893</v>
      </c>
      <c r="T63" s="59">
        <f t="shared" si="34"/>
        <v>352.46632274450445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37.135940441465095</v>
      </c>
      <c r="AA63" s="21">
        <f>EXP(-LN(2)/25)*AA62+(1-EXP(-LN(2)/25))/(LN(2)/25)*Calculateur!V63*Calculateur!X63*VLOOKUP('Données projet'!$B$9,Paramètres!$A$1:$I$89,3,0)*0.475*44/12</f>
        <v>7.5349113180372091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44.670851759502305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156.02450246371893</v>
      </c>
      <c r="T64" s="59">
        <f t="shared" si="34"/>
        <v>352.46632274450445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36.407727300095061</v>
      </c>
      <c r="AA64" s="21">
        <f>EXP(-LN(2)/25)*AA63+(1-EXP(-LN(2)/25))/(LN(2)/25)*Calculateur!V64*Calculateur!X64*VLOOKUP('Données projet'!$B$9,Paramètres!$A$1:$I$89,3,0)*0.475*44/12</f>
        <v>7.3288687718017167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43.736596071896777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156.02450246371893</v>
      </c>
      <c r="T65" s="59">
        <f t="shared" si="34"/>
        <v>352.46632274450445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35.693793974261141</v>
      </c>
      <c r="AA65" s="21">
        <f>EXP(-LN(2)/25)*AA64+(1-EXP(-LN(2)/25))/(LN(2)/25)*Calculateur!V65*Calculateur!X65*VLOOKUP('Données projet'!$B$9,Paramètres!$A$1:$I$89,3,0)*0.475*44/12</f>
        <v>7.1284604698283403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42.822254444089481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156.02450246371893</v>
      </c>
      <c r="T66" s="59">
        <f t="shared" si="34"/>
        <v>352.46632274450445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34.99386044549049</v>
      </c>
      <c r="AA66" s="21">
        <f>EXP(-LN(2)/25)*AA65+(1-EXP(-LN(2)/25))/(LN(2)/25)*Calculateur!V66*Calculateur!X66*VLOOKUP('Données projet'!$B$9,Paramètres!$A$1:$I$89,3,0)*0.475*44/12</f>
        <v>6.9335323434114402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41.927392788901933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156.02450246371893</v>
      </c>
      <c r="T67" s="59">
        <f t="shared" si="34"/>
        <v>352.46632274450445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34.307652186301738</v>
      </c>
      <c r="AA67" s="21">
        <f>EXP(-LN(2)/25)*AA66+(1-EXP(-LN(2)/25))/(LN(2)/25)*Calculateur!V67*Calculateur!X67*VLOOKUP('Données projet'!$B$9,Paramètres!$A$1:$I$89,3,0)*0.475*44/12</f>
        <v>6.743934536862235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41.051586723163972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156.02450246371893</v>
      </c>
      <c r="T68" s="59">
        <f t="shared" si="34"/>
        <v>352.46632274450445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33.634900052529964</v>
      </c>
      <c r="AA68" s="21">
        <f>EXP(-LN(2)/25)*AA67+(1-EXP(-LN(2)/25))/(LN(2)/25)*Calculateur!V68*Calculateur!X68*VLOOKUP('Données projet'!$B$9,Paramètres!$A$1:$I$89,3,0)*0.475*44/12</f>
        <v>6.559521292303633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40.1944213448336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156.02450246371893</v>
      </c>
      <c r="T69" s="59">
        <f t="shared" ref="T69:T132" si="88">$T$3</f>
        <v>352.46632274450445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32.975340177763172</v>
      </c>
      <c r="AA69" s="21">
        <f>EXP(-LN(2)/25)*AA68+(1-EXP(-LN(2)/25))/(LN(2)/25)*Calculateur!V69*Calculateur!X69*VLOOKUP('Données projet'!$B$9,Paramètres!$A$1:$I$89,3,0)*0.475*44/12</f>
        <v>6.3801508376153571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39.355491015378533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156.02450246371893</v>
      </c>
      <c r="T70" s="59">
        <f t="shared" si="88"/>
        <v>352.46632274450445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32.328713869848755</v>
      </c>
      <c r="AA70" s="21">
        <f>EXP(-LN(2)/25)*AA69+(1-EXP(-LN(2)/25))/(LN(2)/25)*Calculateur!V70*Calculateur!X70*VLOOKUP('Données projet'!$B$9,Paramètres!$A$1:$I$89,3,0)*0.475*44/12</f>
        <v>6.205685277443215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38.534399147291971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156.02450246371893</v>
      </c>
      <c r="T71" s="59">
        <f t="shared" si="88"/>
        <v>352.46632274450445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31.694767509429436</v>
      </c>
      <c r="AA71" s="21">
        <f>EXP(-LN(2)/25)*AA70+(1-EXP(-LN(2)/25))/(LN(2)/25)*Calculateur!V71*Calculateur!X71*VLOOKUP('Données projet'!$B$9,Paramètres!$A$1:$I$89,3,0)*0.475*44/12</f>
        <v>6.0359904871887249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37.730757996618159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156.02450246371893</v>
      </c>
      <c r="T72" s="59">
        <f t="shared" si="88"/>
        <v>352.46632274450445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31.073252450468839</v>
      </c>
      <c r="AA72" s="21">
        <f>EXP(-LN(2)/25)*AA71+(1-EXP(-LN(2)/25))/(LN(2)/25)*Calculateur!V72*Calculateur!X72*VLOOKUP('Données projet'!$B$9,Paramètres!$A$1:$I$89,3,0)*0.475*44/12</f>
        <v>5.8709360098976049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36.944188460366448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156.02450246371893</v>
      </c>
      <c r="T73" s="59">
        <f t="shared" si="88"/>
        <v>352.46632274450445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30.463924922727706</v>
      </c>
      <c r="AA73" s="21">
        <f>EXP(-LN(2)/25)*AA72+(1-EXP(-LN(2)/25))/(LN(2)/25)*Calculateur!V73*Calculateur!X73*VLOOKUP('Données projet'!$B$9,Paramètres!$A$1:$I$89,3,0)*0.475*44/12</f>
        <v>5.710394955967848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36.174319878695556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156.02450246371893</v>
      </c>
      <c r="T74" s="59">
        <f t="shared" si="88"/>
        <v>352.46632274450445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29.86654593615248</v>
      </c>
      <c r="AA74" s="21">
        <f>EXP(-LN(2)/25)*AA73+(1-EXP(-LN(2)/25))/(LN(2)/25)*Calculateur!V74*Calculateur!X74*VLOOKUP('Données projet'!$B$9,Paramètres!$A$1:$I$89,3,0)*0.475*44/12</f>
        <v>5.5542439056002877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35.420789841752764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156.02450246371893</v>
      </c>
      <c r="T75" s="59">
        <f t="shared" si="88"/>
        <v>352.46632274450445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29.280881187138792</v>
      </c>
      <c r="AA75" s="21">
        <f>EXP(-LN(2)/25)*AA74+(1-EXP(-LN(2)/25))/(LN(2)/25)*Calculateur!V75*Calculateur!X75*VLOOKUP('Données projet'!$B$9,Paramètres!$A$1:$I$89,3,0)*0.475*44/12</f>
        <v>5.4023628139166551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34.683244001055449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156.02450246371893</v>
      </c>
      <c r="T76" s="59">
        <f t="shared" si="88"/>
        <v>352.46632274450445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28.70670096663304</v>
      </c>
      <c r="AA76" s="21">
        <f>EXP(-LN(2)/25)*AA75+(1-EXP(-LN(2)/25))/(LN(2)/25)*Calculateur!V76*Calculateur!X76*VLOOKUP('Données projet'!$B$9,Paramètres!$A$1:$I$89,3,0)*0.475*44/12</f>
        <v>5.254634918672191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33.961335885305232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156.02450246371893</v>
      </c>
      <c r="T77" s="59">
        <f t="shared" si="88"/>
        <v>352.46632274450445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28.143780070036051</v>
      </c>
      <c r="AA77" s="21">
        <f>EXP(-LN(2)/25)*AA76+(1-EXP(-LN(2)/25))/(LN(2)/25)*Calculateur!V77*Calculateur!X77*VLOOKUP('Données projet'!$B$9,Paramètres!$A$1:$I$89,3,0)*0.475*44/12</f>
        <v>5.1109466504918588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33.254726720527913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156.02450246371893</v>
      </c>
      <c r="T78" s="59">
        <f t="shared" si="88"/>
        <v>352.46632274450445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27.591897708873486</v>
      </c>
      <c r="AA78" s="21">
        <f>EXP(-LN(2)/25)*AA77+(1-EXP(-LN(2)/25))/(LN(2)/25)*Calculateur!V78*Calculateur!X78*VLOOKUP('Données projet'!$B$9,Paramètres!$A$1:$I$89,3,0)*0.475*44/12</f>
        <v>4.9711875455611558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32.56308525443464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156.02450246371893</v>
      </c>
      <c r="T79" s="59">
        <f t="shared" si="88"/>
        <v>352.46632274450445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27.050837424198313</v>
      </c>
      <c r="AA79" s="21">
        <f>EXP(-LN(2)/25)*AA78+(1-EXP(-LN(2)/25))/(LN(2)/25)*Calculateur!V79*Calculateur!X79*VLOOKUP('Données projet'!$B$9,Paramètres!$A$1:$I$89,3,0)*0.475*44/12</f>
        <v>4.835250160704395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31.886087584902707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156.02450246371893</v>
      </c>
      <c r="T80" s="59">
        <f t="shared" si="88"/>
        <v>352.46632274450445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26.520387001691436</v>
      </c>
      <c r="AA80" s="21">
        <f>EXP(-LN(2)/25)*AA79+(1-EXP(-LN(2)/25))/(LN(2)/25)*Calculateur!V80*Calculateur!X80*VLOOKUP('Données projet'!$B$9,Paramètres!$A$1:$I$89,3,0)*0.475*44/12</f>
        <v>4.7030299907851782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31.223416992476615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156.02450246371893</v>
      </c>
      <c r="T81" s="59">
        <f t="shared" si="88"/>
        <v>352.46632274450445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26.000338388427107</v>
      </c>
      <c r="AA81" s="21">
        <f>EXP(-LN(2)/25)*AA80+(1-EXP(-LN(2)/25))/(LN(2)/25)*Calculateur!V81*Calculateur!X81*VLOOKUP('Données projet'!$B$9,Paramètres!$A$1:$I$89,3,0)*0.475*44/12</f>
        <v>4.574425388365559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30.574763776792665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156.02450246371893</v>
      </c>
      <c r="T82" s="59">
        <f t="shared" si="88"/>
        <v>352.46632274450445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25.490487611270556</v>
      </c>
      <c r="AA82" s="21">
        <f>EXP(-LN(2)/25)*AA81+(1-EXP(-LN(2)/25))/(LN(2)/25)*Calculateur!V82*Calculateur!X82*VLOOKUP('Données projet'!$B$9,Paramètres!$A$1:$I$89,3,0)*0.475*44/12</f>
        <v>4.4493374855621264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29.939825096832681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156.02450246371893</v>
      </c>
      <c r="T83" s="59">
        <f t="shared" si="88"/>
        <v>352.46632274450445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24.99063469687578</v>
      </c>
      <c r="AA83" s="21">
        <f>EXP(-LN(2)/25)*AA82+(1-EXP(-LN(2)/25))/(LN(2)/25)*Calculateur!V83*Calculateur!X83*VLOOKUP('Données projet'!$B$9,Paramètres!$A$1:$I$89,3,0)*0.475*44/12</f>
        <v>4.3276701180389407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29.318304814914722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156.02450246371893</v>
      </c>
      <c r="T84" s="59">
        <f t="shared" si="88"/>
        <v>352.46632274450445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24.500583593252113</v>
      </c>
      <c r="AA84" s="21">
        <f>EXP(-LN(2)/25)*AA83+(1-EXP(-LN(2)/25))/(LN(2)/25)*Calculateur!V84*Calculateur!X84*VLOOKUP('Données projet'!$B$9,Paramètres!$A$1:$I$89,3,0)*0.475*44/12</f>
        <v>4.2093297510788856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28.709913344331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156.02450246371893</v>
      </c>
      <c r="T85" s="59">
        <f t="shared" si="88"/>
        <v>352.46632274450445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24.020142092868845</v>
      </c>
      <c r="AA85" s="21">
        <f>EXP(-LN(2)/25)*AA84+(1-EXP(-LN(2)/25))/(LN(2)/25)*Calculateur!V85*Calculateur!X85*VLOOKUP('Données projet'!$B$9,Paramètres!$A$1:$I$89,3,0)*0.475*44/12</f>
        <v>4.0942254076766025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28.114367500545448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156.02450246371893</v>
      </c>
      <c r="T86" s="59">
        <f t="shared" si="88"/>
        <v>352.46632274450445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23.549121757267713</v>
      </c>
      <c r="AA86" s="21">
        <f>EXP(-LN(2)/25)*AA85+(1-EXP(-LN(2)/25))/(LN(2)/25)*Calculateur!V86*Calculateur!X86*VLOOKUP('Données projet'!$B$9,Paramètres!$A$1:$I$89,3,0)*0.475*44/12</f>
        <v>3.9822685985977291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27.53139035586544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156.02450246371893</v>
      </c>
      <c r="T87" s="59">
        <f t="shared" si="88"/>
        <v>352.46632274450445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23.087337843153684</v>
      </c>
      <c r="AA87" s="21">
        <f>EXP(-LN(2)/25)*AA86+(1-EXP(-LN(2)/25))/(LN(2)/25)*Calculateur!V87*Calculateur!X87*VLOOKUP('Données projet'!$B$9,Paramètres!$A$1:$I$89,3,0)*0.475*44/12</f>
        <v>3.8733732543506703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26.960711097504355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156.02450246371893</v>
      </c>
      <c r="T88" s="59">
        <f t="shared" si="88"/>
        <v>352.46632274450445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22.634609229935052</v>
      </c>
      <c r="AA88" s="21">
        <f>EXP(-LN(2)/25)*AA87+(1-EXP(-LN(2)/25))/(LN(2)/25)*Calculateur!V88*Calculateur!X88*VLOOKUP('Données projet'!$B$9,Paramètres!$A$1:$I$89,3,0)*0.475*44/12</f>
        <v>3.7674556590186046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26.402064888953657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156.02450246371893</v>
      </c>
      <c r="T89" s="59">
        <f t="shared" si="88"/>
        <v>352.46632274450445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22.190758348684451</v>
      </c>
      <c r="AA89" s="21">
        <f>EXP(-LN(2)/25)*AA88+(1-EXP(-LN(2)/25))/(LN(2)/25)*Calculateur!V89*Calculateur!X89*VLOOKUP('Données projet'!$B$9,Paramètres!$A$1:$I$89,3,0)*0.475*44/12</f>
        <v>3.6644343859008583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25.855192734585309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156.02450246371893</v>
      </c>
      <c r="T90" s="59">
        <f t="shared" si="88"/>
        <v>352.46632274450445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21.755611112492868</v>
      </c>
      <c r="AA90" s="21">
        <f>EXP(-LN(2)/25)*AA89+(1-EXP(-LN(2)/25))/(LN(2)/25)*Calculateur!V90*Calculateur!X90*VLOOKUP('Données projet'!$B$9,Paramètres!$A$1:$I$89,3,0)*0.475*44/12</f>
        <v>3.5642302349141701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25.319841347407039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156.02450246371893</v>
      </c>
      <c r="T91" s="59">
        <f t="shared" si="88"/>
        <v>352.46632274450445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21.328996848189398</v>
      </c>
      <c r="AA91" s="21">
        <f>EXP(-LN(2)/25)*AA90+(1-EXP(-LN(2)/25))/(LN(2)/25)*Calculateur!V91*Calculateur!X91*VLOOKUP('Données projet'!$B$9,Paramètres!$A$1:$I$89,3,0)*0.475*44/12</f>
        <v>3.4667661717057201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24.795763019895119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156.02450246371893</v>
      </c>
      <c r="T92" s="59">
        <f t="shared" si="88"/>
        <v>352.46632274450445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20.910748229399911</v>
      </c>
      <c r="AA92" s="21">
        <f>EXP(-LN(2)/25)*AA91+(1-EXP(-LN(2)/25))/(LN(2)/25)*Calculateur!V92*Calculateur!X92*VLOOKUP('Données projet'!$B$9,Paramètres!$A$1:$I$89,3,0)*0.475*44/12</f>
        <v>3.3719672684311175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24.282715497831028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156.02450246371893</v>
      </c>
      <c r="T93" s="59">
        <f t="shared" si="88"/>
        <v>352.46632274450445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20.500701210918415</v>
      </c>
      <c r="AA93" s="21">
        <f>EXP(-LN(2)/25)*AA92+(1-EXP(-LN(2)/25))/(LN(2)/25)*Calculateur!V93*Calculateur!X93*VLOOKUP('Données projet'!$B$9,Paramètres!$A$1:$I$89,3,0)*0.475*44/12</f>
        <v>3.2797606461518165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23.780461857070232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156.02450246371893</v>
      </c>
      <c r="T94" s="59">
        <f t="shared" si="88"/>
        <v>352.46632274450445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20.098694964365357</v>
      </c>
      <c r="AA94" s="21">
        <f>EXP(-LN(2)/25)*AA93+(1-EXP(-LN(2)/25))/(LN(2)/25)*Calculateur!V94*Calculateur!X94*VLOOKUP('Données projet'!$B$9,Paramètres!$A$1:$I$89,3,0)*0.475*44/12</f>
        <v>3.1900754188076785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23.288770383173038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156.02450246371893</v>
      </c>
      <c r="T95" s="59">
        <f t="shared" si="88"/>
        <v>352.46632274450445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19.704571815107606</v>
      </c>
      <c r="AA95" s="21">
        <f>EXP(-LN(2)/25)*AA94+(1-EXP(-LN(2)/25))/(LN(2)/25)*Calculateur!V95*Calculateur!X95*VLOOKUP('Données projet'!$B$9,Paramètres!$A$1:$I$89,3,0)*0.475*44/12</f>
        <v>3.1028426387216075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22.807414453829214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156.02450246371893</v>
      </c>
      <c r="T96" s="59">
        <f t="shared" si="88"/>
        <v>352.46632274450445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19.318177180415415</v>
      </c>
      <c r="AA96" s="21">
        <f>EXP(-LN(2)/25)*AA95+(1-EXP(-LN(2)/25))/(LN(2)/25)*Calculateur!V96*Calculateur!X96*VLOOKUP('Données projet'!$B$9,Paramètres!$A$1:$I$89,3,0)*0.475*44/12</f>
        <v>3.0179952435943624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22.336172424009778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156.02450246371893</v>
      </c>
      <c r="T97" s="59">
        <f t="shared" si="88"/>
        <v>352.46632274450445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18.93935950883208</v>
      </c>
      <c r="AA97" s="21">
        <f>EXP(-LN(2)/25)*AA96+(1-EXP(-LN(2)/25))/(LN(2)/25)*Calculateur!V97*Calculateur!X97*VLOOKUP('Données projet'!$B$9,Paramètres!$A$1:$I$89,3,0)*0.475*44/12</f>
        <v>2.9354680049488024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21.874827513780883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156.02450246371893</v>
      </c>
      <c r="T98" s="59">
        <f t="shared" si="88"/>
        <v>352.46632274450445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18.56797022073253</v>
      </c>
      <c r="AA98" s="21">
        <f>EXP(-LN(2)/25)*AA97+(1-EXP(-LN(2)/25))/(LN(2)/25)*Calculateur!V98*Calculateur!X98*VLOOKUP('Données projet'!$B$9,Paramètres!$A$1:$I$89,3,0)*0.475*44/12</f>
        <v>2.855197477983924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21.423167698716455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156.02450246371893</v>
      </c>
      <c r="T99" s="59">
        <f t="shared" si="88"/>
        <v>352.46632274450445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18.203863650047516</v>
      </c>
      <c r="AA99" s="21">
        <f>EXP(-LN(2)/25)*AA98+(1-EXP(-LN(2)/25))/(LN(2)/25)*Calculateur!V99*Calculateur!X99*VLOOKUP('Données projet'!$B$9,Paramètres!$A$1:$I$89,3,0)*0.475*44/12</f>
        <v>2.7771219528001438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20.98098560284766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156.02450246371893</v>
      </c>
      <c r="T100" s="59">
        <f t="shared" si="88"/>
        <v>352.46632274450445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17.846896987130556</v>
      </c>
      <c r="AA100" s="21">
        <f>EXP(-LN(2)/25)*AA99+(1-EXP(-LN(2)/25))/(LN(2)/25)*Calculateur!V100*Calculateur!X100*VLOOKUP('Données projet'!$B$9,Paramètres!$A$1:$I$89,3,0)*0.475*44/12</f>
        <v>2.7011814069583275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20.548078394088883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156.02450246371893</v>
      </c>
      <c r="T101" s="59">
        <f t="shared" si="88"/>
        <v>352.46632274450445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17.496930222745231</v>
      </c>
      <c r="AA101" s="21">
        <f>EXP(-LN(2)/25)*AA100+(1-EXP(-LN(2)/25))/(LN(2)/25)*Calculateur!V101*Calculateur!X101*VLOOKUP('Données projet'!$B$9,Paramètres!$A$1:$I$89,3,0)*0.475*44/12</f>
        <v>2.6273174593360955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20.124247682081325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156.02450246371893</v>
      </c>
      <c r="T102" s="59">
        <f t="shared" si="88"/>
        <v>352.46632274450445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17.153826093150855</v>
      </c>
      <c r="AA102" s="21">
        <f>EXP(-LN(2)/25)*AA101+(1-EXP(-LN(2)/25))/(LN(2)/25)*Calculateur!V102*Calculateur!X102*VLOOKUP('Données projet'!$B$9,Paramètres!$A$1:$I$89,3,0)*0.475*44/12</f>
        <v>2.5554733252459294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19.709299418396785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156.02450246371893</v>
      </c>
      <c r="T103" s="59">
        <f t="shared" si="88"/>
        <v>352.46632274450445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16.817450026264968</v>
      </c>
      <c r="AA103" s="21">
        <f>EXP(-LN(2)/25)*AA102+(1-EXP(-LN(2)/25))/(LN(2)/25)*Calculateur!V103*Calculateur!X103*VLOOKUP('Données projet'!$B$9,Paramètres!$A$1:$I$89,3,0)*0.475*44/12</f>
        <v>2.4855937727805779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19.303043799045547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156.02450246371893</v>
      </c>
      <c r="T104" s="59">
        <f t="shared" si="88"/>
        <v>352.46632274450445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16.487670088881572</v>
      </c>
      <c r="AA104" s="21">
        <f>EXP(-LN(2)/25)*AA103+(1-EXP(-LN(2)/25))/(LN(2)/25)*Calculateur!V104*Calculateur!X104*VLOOKUP('Données projet'!$B$9,Paramètres!$A$1:$I$89,3,0)*0.475*44/12</f>
        <v>2.4176250803521975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18.905295169233771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156.02450246371893</v>
      </c>
      <c r="T105" s="59">
        <f t="shared" si="88"/>
        <v>352.46632274450445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16.164356934924363</v>
      </c>
      <c r="AA105" s="21">
        <f>EXP(-LN(2)/25)*AA104+(1-EXP(-LN(2)/25))/(LN(2)/25)*Calculateur!V105*Calculateur!X105*VLOOKUP('Données projet'!$B$9,Paramètres!$A$1:$I$89,3,0)*0.475*44/12</f>
        <v>2.3515149953925891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18.515871930316951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156.02450246371893</v>
      </c>
      <c r="T106" s="59">
        <f t="shared" si="88"/>
        <v>352.46632274450445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15.847383754714704</v>
      </c>
      <c r="AA106" s="21">
        <f>EXP(-LN(2)/25)*AA105+(1-EXP(-LN(2)/25))/(LN(2)/25)*Calculateur!V106*Calculateur!X106*VLOOKUP('Données projet'!$B$9,Paramètres!$A$1:$I$89,3,0)*0.475*44/12</f>
        <v>2.2872126941827795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18.134596448897483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156.02450246371893</v>
      </c>
      <c r="T107" s="59">
        <f t="shared" si="88"/>
        <v>352.46632274450445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15.536626225234405</v>
      </c>
      <c r="AA107" s="21">
        <f>EXP(-LN(2)/25)*AA106+(1-EXP(-LN(2)/25))/(LN(2)/25)*Calculateur!V107*Calculateur!X107*VLOOKUP('Données projet'!$B$9,Paramètres!$A$1:$I$89,3,0)*0.475*44/12</f>
        <v>2.2246687427810632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17.76129496801547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156.02450246371893</v>
      </c>
      <c r="T108" s="59">
        <f t="shared" si="88"/>
        <v>352.46632274450445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15.231962461363839</v>
      </c>
      <c r="AA108" s="21">
        <f>EXP(-LN(2)/25)*AA107+(1-EXP(-LN(2)/25))/(LN(2)/25)*Calculateur!V108*Calculateur!X108*VLOOKUP('Données projet'!$B$9,Paramètres!$A$1:$I$89,3,0)*0.475*44/12</f>
        <v>2.1638350590194704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17.395797520383308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156.02450246371893</v>
      </c>
      <c r="T109" s="59">
        <f t="shared" si="88"/>
        <v>352.46632274450445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14.933272968076228</v>
      </c>
      <c r="AA109" s="21">
        <f>EXP(-LN(2)/25)*AA108+(1-EXP(-LN(2)/25))/(LN(2)/25)*Calculateur!V109*Calculateur!X109*VLOOKUP('Données projet'!$B$9,Paramètres!$A$1:$I$89,3,0)*0.475*44/12</f>
        <v>2.1046648755394428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17.037937843615669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156.02450246371893</v>
      </c>
      <c r="T110" s="59">
        <f t="shared" si="88"/>
        <v>352.46632274450445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14.640440593569384</v>
      </c>
      <c r="AA110" s="21">
        <f>EXP(-LN(2)/25)*AA109+(1-EXP(-LN(2)/25))/(LN(2)/25)*Calculateur!V110*Calculateur!X110*VLOOKUP('Données projet'!$B$9,Paramètres!$A$1:$I$89,3,0)*0.475*44/12</f>
        <v>2.0471127038383012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16.687553297407685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156.02450246371893</v>
      </c>
      <c r="T111" s="59">
        <f t="shared" si="88"/>
        <v>352.46632274450445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14.353350483316508</v>
      </c>
      <c r="AA111" s="21">
        <f>EXP(-LN(2)/25)*AA110+(1-EXP(-LN(2)/25))/(LN(2)/25)*Calculateur!V111*Calculateur!X111*VLOOKUP('Données projet'!$B$9,Paramètres!$A$1:$I$89,3,0)*0.475*44/12</f>
        <v>1.9911342992988645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16.344484782615371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156.02450246371893</v>
      </c>
      <c r="T112" s="59">
        <f t="shared" si="88"/>
        <v>352.46632274450445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14.071890035018013</v>
      </c>
      <c r="AA112" s="21">
        <f>EXP(-LN(2)/25)*AA111+(1-EXP(-LN(2)/25))/(LN(2)/25)*Calculateur!V112*Calculateur!X112*VLOOKUP('Données projet'!$B$9,Paramètres!$A$1:$I$89,3,0)*0.475*44/12</f>
        <v>1.9366866271753351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16.008576662193349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156.02450246371893</v>
      </c>
      <c r="T113" s="59">
        <f t="shared" si="88"/>
        <v>352.46632274450445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13.79594885443673</v>
      </c>
      <c r="AA113" s="21">
        <f>EXP(-LN(2)/25)*AA112+(1-EXP(-LN(2)/25))/(LN(2)/25)*Calculateur!V113*Calculateur!X113*VLOOKUP('Données projet'!$B$9,Paramètres!$A$1:$I$89,3,0)*0.475*44/12</f>
        <v>1.8837278295093023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15.679676683946033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156.02450246371893</v>
      </c>
      <c r="T114" s="59">
        <f t="shared" si="88"/>
        <v>352.46632274450445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13.525418712099144</v>
      </c>
      <c r="AA114" s="21">
        <f>EXP(-LN(2)/25)*AA113+(1-EXP(-LN(2)/25))/(LN(2)/25)*Calculateur!V114*Calculateur!X114*VLOOKUP('Données projet'!$B$9,Paramètres!$A$1:$I$89,3,0)*0.475*44/12</f>
        <v>1.8322171929504292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15.357635905049573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156.02450246371893</v>
      </c>
      <c r="T115" s="59">
        <f t="shared" si="88"/>
        <v>352.46632274450445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13.260193500845705</v>
      </c>
      <c r="AA115" s="21">
        <f>EXP(-LN(2)/25)*AA114+(1-EXP(-LN(2)/25))/(LN(2)/25)*Calculateur!V115*Calculateur!X115*VLOOKUP('Données projet'!$B$9,Paramètres!$A$1:$I$89,3,0)*0.475*44/12</f>
        <v>1.7821151174570851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15.042308618302791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156.02450246371893</v>
      </c>
      <c r="T116" s="59">
        <f t="shared" si="88"/>
        <v>352.46632274450445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13.000169194213541</v>
      </c>
      <c r="AA116" s="21">
        <f>EXP(-LN(2)/25)*AA115+(1-EXP(-LN(2)/25))/(LN(2)/25)*Calculateur!V116*Calculateur!X116*VLOOKUP('Données projet'!$B$9,Paramètres!$A$1:$I$89,3,0)*0.475*44/12</f>
        <v>1.7333830858528601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14.733552280066402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156.02450246371893</v>
      </c>
      <c r="T117" s="59">
        <f t="shared" si="88"/>
        <v>352.46632274450445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12.745243805635267</v>
      </c>
      <c r="AA117" s="21">
        <f>EXP(-LN(2)/25)*AA116+(1-EXP(-LN(2)/25))/(LN(2)/25)*Calculateur!V117*Calculateur!X117*VLOOKUP('Données projet'!$B$9,Paramètres!$A$1:$I$89,3,0)*0.475*44/12</f>
        <v>1.6859836342155587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14.431227439850826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156.02450246371893</v>
      </c>
      <c r="T118" s="59">
        <f t="shared" si="88"/>
        <v>352.46632274450445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12.495317348437879</v>
      </c>
      <c r="AA118" s="21">
        <f>EXP(-LN(2)/25)*AA117+(1-EXP(-LN(2)/25))/(LN(2)/25)*Calculateur!V118*Calculateur!X118*VLOOKUP('Données projet'!$B$9,Paramètres!$A$1:$I$89,3,0)*0.475*44/12</f>
        <v>1.6398803230759083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14.135197671513788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156.02450246371893</v>
      </c>
      <c r="T119" s="59">
        <f t="shared" si="88"/>
        <v>352.46632274450445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12.250291796626046</v>
      </c>
      <c r="AA119" s="21">
        <f>EXP(-LN(2)/25)*AA118+(1-EXP(-LN(2)/25))/(LN(2)/25)*Calculateur!V119*Calculateur!X119*VLOOKUP('Données projet'!$B$9,Paramètres!$A$1:$I$89,3,0)*0.475*44/12</f>
        <v>1.5950377094038393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13.845329506029884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156.02450246371893</v>
      </c>
      <c r="T120" s="59">
        <f t="shared" si="88"/>
        <v>352.46632274450445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12.010071046434412</v>
      </c>
      <c r="AA120" s="21">
        <f>EXP(-LN(2)/25)*AA119+(1-EXP(-LN(2)/25))/(LN(2)/25)*Calculateur!V120*Calculateur!X120*VLOOKUP('Données projet'!$B$9,Paramètres!$A$1:$I$89,3,0)*0.475*44/12</f>
        <v>1.5514213193608037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13.561492365795216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156.02450246371893</v>
      </c>
      <c r="T121" s="59">
        <f t="shared" si="88"/>
        <v>352.46632274450445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11.774560878633846</v>
      </c>
      <c r="AA121" s="21">
        <f>EXP(-LN(2)/25)*AA120+(1-EXP(-LN(2)/25))/(LN(2)/25)*Calculateur!V121*Calculateur!X121*VLOOKUP('Données projet'!$B$9,Paramètres!$A$1:$I$89,3,0)*0.475*44/12</f>
        <v>1.5089976217971812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13.283558500431027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156.02450246371893</v>
      </c>
      <c r="T122" s="59">
        <f t="shared" si="88"/>
        <v>352.46632274450445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11.543668921576831</v>
      </c>
      <c r="AA122" s="21">
        <f>EXP(-LN(2)/25)*AA121+(1-EXP(-LN(2)/25))/(LN(2)/25)*Calculateur!V122*Calculateur!X122*VLOOKUP('Données projet'!$B$9,Paramètres!$A$1:$I$89,3,0)*0.475*44/12</f>
        <v>1.4677340024744012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13.011402924051232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156.02450246371893</v>
      </c>
      <c r="T123" s="59">
        <f t="shared" si="88"/>
        <v>352.46632274450445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11.317304614967517</v>
      </c>
      <c r="AA123" s="21">
        <f>EXP(-LN(2)/25)*AA122+(1-EXP(-LN(2)/25))/(LN(2)/25)*Calculateur!V123*Calculateur!X123*VLOOKUP('Données projet'!$B$9,Paramètres!$A$1:$I$89,3,0)*0.475*44/12</f>
        <v>1.427598738991962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12.744903353959479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156.02450246371893</v>
      </c>
      <c r="T124" s="59">
        <f t="shared" si="88"/>
        <v>352.46632274450445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11.095379174342217</v>
      </c>
      <c r="AA124" s="21">
        <f>EXP(-LN(2)/25)*AA123+(1-EXP(-LN(2)/25))/(LN(2)/25)*Calculateur!V124*Calculateur!X124*VLOOKUP('Données projet'!$B$9,Paramètres!$A$1:$I$89,3,0)*0.475*44/12</f>
        <v>1.3885609764000719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12.483940150742288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156.02450246371893</v>
      </c>
      <c r="T125" s="59">
        <f t="shared" si="88"/>
        <v>352.46632274450445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10.877805556246425</v>
      </c>
      <c r="AA125" s="21">
        <f>EXP(-LN(2)/25)*AA124+(1-EXP(-LN(2)/25))/(LN(2)/25)*Calculateur!V125*Calculateur!X125*VLOOKUP('Données projet'!$B$9,Paramètres!$A$1:$I$89,3,0)*0.475*44/12</f>
        <v>1.3505907034791638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12.228396259725589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156.02450246371893</v>
      </c>
      <c r="T126" s="59">
        <f t="shared" si="88"/>
        <v>352.46632274450445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10.66449842409469</v>
      </c>
      <c r="AA126" s="21">
        <f>EXP(-LN(2)/25)*AA125+(1-EXP(-LN(2)/25))/(LN(2)/25)*Calculateur!V126*Calculateur!X126*VLOOKUP('Données projet'!$B$9,Paramètres!$A$1:$I$89,3,0)*0.475*44/12</f>
        <v>1.3136587296680478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11.978157153762737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156.02450246371893</v>
      </c>
      <c r="T127" s="59">
        <f t="shared" si="88"/>
        <v>352.46632274450445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10.455374114699946</v>
      </c>
      <c r="AA127" s="21">
        <f>EXP(-LN(2)/25)*AA126+(1-EXP(-LN(2)/25))/(LN(2)/25)*Calculateur!V127*Calculateur!X127*VLOOKUP('Données projet'!$B$9,Paramètres!$A$1:$I$89,3,0)*0.475*44/12</f>
        <v>1.2777366626229647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11.733110777322912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156.02450246371893</v>
      </c>
      <c r="T128" s="59">
        <f t="shared" si="88"/>
        <v>352.46632274450445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10.250350605459198</v>
      </c>
      <c r="AA128" s="21">
        <f>EXP(-LN(2)/25)*AA127+(1-EXP(-LN(2)/25))/(LN(2)/25)*Calculateur!V128*Calculateur!X128*VLOOKUP('Données projet'!$B$9,Paramètres!$A$1:$I$89,3,0)*0.475*44/12</f>
        <v>1.242796886390289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11.493147491849488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156.02450246371893</v>
      </c>
      <c r="T129" s="59">
        <f t="shared" si="88"/>
        <v>352.46632274450445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10.04934748218267</v>
      </c>
      <c r="AA129" s="21">
        <f>EXP(-LN(2)/25)*AA128+(1-EXP(-LN(2)/25))/(LN(2)/25)*Calculateur!V129*Calculateur!X129*VLOOKUP('Données projet'!$B$9,Paramètres!$A$1:$I$89,3,0)*0.475*44/12</f>
        <v>1.2088125401760987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11.258160022358769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156.02450246371893</v>
      </c>
      <c r="T130" s="59">
        <f t="shared" si="88"/>
        <v>352.46632274450445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9.8522859075537941</v>
      </c>
      <c r="AA130" s="21">
        <f>EXP(-LN(2)/25)*AA129+(1-EXP(-LN(2)/25))/(LN(2)/25)*Calculateur!V130*Calculateur!X130*VLOOKUP('Données projet'!$B$9,Paramètres!$A$1:$I$89,3,0)*0.475*44/12</f>
        <v>1.1757574976962946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11.028043405250088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156.02450246371893</v>
      </c>
      <c r="T131" s="59">
        <f t="shared" si="88"/>
        <v>352.46632274450445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9.6590885902076984</v>
      </c>
      <c r="AA131" s="21">
        <f>EXP(-LN(2)/25)*AA130+(1-EXP(-LN(2)/25))/(LN(2)/25)*Calculateur!V131*Calculateur!X131*VLOOKUP('Données projet'!$B$9,Paramètres!$A$1:$I$89,3,0)*0.475*44/12</f>
        <v>1.1436063470913898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10.802694937299089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156.02450246371893</v>
      </c>
      <c r="T132" s="59">
        <f t="shared" si="88"/>
        <v>352.46632274450445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9.4696797544160312</v>
      </c>
      <c r="AA132" s="21">
        <f>EXP(-LN(2)/25)*AA131+(1-EXP(-LN(2)/25))/(LN(2)/25)*Calculateur!V132*Calculateur!X132*VLOOKUP('Données projet'!$B$9,Paramètres!$A$1:$I$89,3,0)*0.475*44/12</f>
        <v>1.1123343713905316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10.582014125806563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156.02450246371893</v>
      </c>
      <c r="T133" s="59">
        <f t="shared" ref="T133:T196" si="142">$T$3</f>
        <v>352.46632274450445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9.2839851103662561</v>
      </c>
      <c r="AA133" s="21">
        <f>EXP(-LN(2)/25)*AA132+(1-EXP(-LN(2)/25))/(LN(2)/25)*Calculateur!V133*Calculateur!X133*VLOOKUP('Données projet'!$B$9,Paramètres!$A$1:$I$89,3,0)*0.475*44/12</f>
        <v>1.0819175295097352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10.365902639875991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156.02450246371893</v>
      </c>
      <c r="T134" s="59">
        <f t="shared" si="142"/>
        <v>352.46632274450445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9.1019318250237493</v>
      </c>
      <c r="AA134" s="21">
        <f>EXP(-LN(2)/25)*AA133+(1-EXP(-LN(2)/25))/(LN(2)/25)*Calculateur!V134*Calculateur!X134*VLOOKUP('Données projet'!$B$9,Paramètres!$A$1:$I$89,3,0)*0.475*44/12</f>
        <v>1.0523324377697214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10.15426426279347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156.02450246371893</v>
      </c>
      <c r="T135" s="59">
        <f t="shared" si="142"/>
        <v>352.46632274450445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8.9234484935652691</v>
      </c>
      <c r="AA135" s="21">
        <f>EXP(-LN(2)/25)*AA134+(1-EXP(-LN(2)/25))/(LN(2)/25)*Calculateur!V135*Calculateur!X135*VLOOKUP('Données projet'!$B$9,Paramètres!$A$1:$I$89,3,0)*0.475*44/12</f>
        <v>1.0235563519191506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9.94700484548442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156.02450246371893</v>
      </c>
      <c r="T136" s="59">
        <f t="shared" si="142"/>
        <v>352.46632274450445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8.7484651113726066</v>
      </c>
      <c r="AA136" s="21">
        <f>EXP(-LN(2)/25)*AA135+(1-EXP(-LN(2)/25))/(LN(2)/25)*Calculateur!V136*Calculateur!X136*VLOOKUP('Données projet'!$B$9,Paramètres!$A$1:$I$89,3,0)*0.475*44/12</f>
        <v>0.99556714964943227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9.7440322610220385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156.02450246371893</v>
      </c>
      <c r="T137" s="59">
        <f t="shared" si="142"/>
        <v>352.46632274450445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8.5769130465754184</v>
      </c>
      <c r="AA137" s="21">
        <f>EXP(-LN(2)/25)*AA136+(1-EXP(-LN(2)/25))/(LN(2)/25)*Calculateur!V137*Calculateur!X137*VLOOKUP('Données projet'!$B$9,Paramètres!$A$1:$I$89,3,0)*0.475*44/12</f>
        <v>0.96834331358766756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9.5452563601630853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156.02450246371893</v>
      </c>
      <c r="T138" s="59">
        <f t="shared" si="142"/>
        <v>352.46632274450445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8.4087250131324751</v>
      </c>
      <c r="AA138" s="21">
        <f>EXP(-LN(2)/25)*AA137+(1-EXP(-LN(2)/25))/(LN(2)/25)*Calculateur!V138*Calculateur!X138*VLOOKUP('Données projet'!$B$9,Paramètres!$A$1:$I$89,3,0)*0.475*44/12</f>
        <v>0.94186391475465114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9.3505889278871255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156.02450246371893</v>
      </c>
      <c r="T139" s="59">
        <f t="shared" si="142"/>
        <v>352.46632274450445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8.2438350444407771</v>
      </c>
      <c r="AA139" s="21">
        <f>EXP(-LN(2)/25)*AA138+(1-EXP(-LN(2)/25))/(LN(2)/25)*Calculateur!V139*Calculateur!X139*VLOOKUP('Données projet'!$B$9,Paramètres!$A$1:$I$89,3,0)*0.475*44/12</f>
        <v>0.91610859647521459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9.1599436409159924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156.02450246371893</v>
      </c>
      <c r="T140" s="59">
        <f t="shared" si="142"/>
        <v>352.46632274450445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8.0821784674621728</v>
      </c>
      <c r="AA140" s="21">
        <f>EXP(-LN(2)/25)*AA139+(1-EXP(-LN(2)/25))/(LN(2)/25)*Calculateur!V140*Calculateur!X140*VLOOKUP('Données projet'!$B$9,Paramètres!$A$1:$I$89,3,0)*0.475*44/12</f>
        <v>0.89105755872854253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8.9732360261907154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156.02450246371893</v>
      </c>
      <c r="T141" s="59">
        <f t="shared" si="142"/>
        <v>352.46632274450445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7.923691877357343</v>
      </c>
      <c r="AA141" s="21">
        <f>EXP(-LN(2)/25)*AA140+(1-EXP(-LN(2)/25))/(LN(2)/25)*Calculateur!V141*Calculateur!X141*VLOOKUP('Données projet'!$B$9,Paramètres!$A$1:$I$89,3,0)*0.475*44/12</f>
        <v>0.86669154292643003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8.7903834202837725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156.02450246371893</v>
      </c>
      <c r="T142" s="59">
        <f t="shared" si="142"/>
        <v>352.46632274450445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7.7683131126171938</v>
      </c>
      <c r="AA142" s="21">
        <f>EXP(-LN(2)/25)*AA141+(1-EXP(-LN(2)/25))/(LN(2)/25)*Calculateur!V142*Calculateur!X142*VLOOKUP('Données projet'!$B$9,Paramètres!$A$1:$I$89,3,0)*0.475*44/12</f>
        <v>0.84299181710777937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8.6113049297249731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156.02450246371893</v>
      </c>
      <c r="T143" s="59">
        <f t="shared" si="142"/>
        <v>352.46632274450445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7.6159812306819106</v>
      </c>
      <c r="AA143" s="21">
        <f>EXP(-LN(2)/25)*AA142+(1-EXP(-LN(2)/25))/(LN(2)/25)*Calculateur!V143*Calculateur!X143*VLOOKUP('Données projet'!$B$9,Paramètres!$A$1:$I$89,3,0)*0.475*44/12</f>
        <v>0.81994016153795413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8.4359213922198641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156.02450246371893</v>
      </c>
      <c r="T144" s="59">
        <f t="shared" si="142"/>
        <v>352.46632274450445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7.466636484038105</v>
      </c>
      <c r="AA144" s="21">
        <f>EXP(-LN(2)/25)*AA143+(1-EXP(-LN(2)/25))/(LN(2)/25)*Calculateur!V144*Calculateur!X144*VLOOKUP('Données projet'!$B$9,Paramètres!$A$1:$I$89,3,0)*0.475*44/12</f>
        <v>0.79751885470191963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8.2641553387400251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156.02450246371893</v>
      </c>
      <c r="T145" s="59">
        <f t="shared" si="142"/>
        <v>352.46632274450445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7.320220296784683</v>
      </c>
      <c r="AA145" s="21">
        <f>EXP(-LN(2)/25)*AA144+(1-EXP(-LN(2)/25))/(LN(2)/25)*Calculateur!V145*Calculateur!X145*VLOOKUP('Données projet'!$B$9,Paramètres!$A$1:$I$89,3,0)*0.475*44/12</f>
        <v>0.77571065968040187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8.0959309564650841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156.02450246371893</v>
      </c>
      <c r="T146" s="59">
        <f t="shared" si="142"/>
        <v>352.46632274450445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7.1766752416582449</v>
      </c>
      <c r="AA146" s="21">
        <f>EXP(-LN(2)/25)*AA145+(1-EXP(-LN(2)/25))/(LN(2)/25)*Calculateur!V146*Calculateur!X146*VLOOKUP('Données projet'!$B$9,Paramètres!$A$1:$I$89,3,0)*0.475*44/12</f>
        <v>0.75449881089859061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7.9311740525568357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156.02450246371893</v>
      </c>
      <c r="T147" s="59">
        <f t="shared" si="142"/>
        <v>352.46632274450445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7.0359450175089977</v>
      </c>
      <c r="AA147" s="21">
        <f>EXP(-LN(2)/25)*AA146+(1-EXP(-LN(2)/25))/(LN(2)/25)*Calculateur!V147*Calculateur!X147*VLOOKUP('Données projet'!$B$9,Paramètres!$A$1:$I$89,3,0)*0.475*44/12</f>
        <v>0.73386700123720061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7.7698120187461983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156.02450246371893</v>
      </c>
      <c r="T148" s="59">
        <f t="shared" si="142"/>
        <v>352.46632274450445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6.8979744272183563</v>
      </c>
      <c r="AA148" s="21">
        <f>EXP(-LN(2)/25)*AA147+(1-EXP(-LN(2)/25))/(LN(2)/25)*Calculateur!V148*Calculateur!X148*VLOOKUP('Données projet'!$B$9,Paramètres!$A$1:$I$89,3,0)*0.475*44/12</f>
        <v>0.713799369495981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7.6117737967143375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156.02450246371893</v>
      </c>
      <c r="T149" s="59">
        <f t="shared" si="142"/>
        <v>352.46632274450445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6.7627093560495641</v>
      </c>
      <c r="AA149" s="21">
        <f>EXP(-LN(2)/25)*AA148+(1-EXP(-LN(2)/25))/(LN(2)/25)*Calculateur!V149*Calculateur!X149*VLOOKUP('Données projet'!$B$9,Paramètres!$A$1:$I$89,3,0)*0.475*44/12</f>
        <v>0.69428048820003596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7.4569898442496001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156.02450246371893</v>
      </c>
      <c r="T150" s="59">
        <f t="shared" si="142"/>
        <v>352.46632274450445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6.6300967504228447</v>
      </c>
      <c r="AA150" s="21">
        <f>EXP(-LN(2)/25)*AA149+(1-EXP(-LN(2)/25))/(LN(2)/25)*Calculateur!V150*Calculateur!X150*VLOOKUP('Données projet'!$B$9,Paramètres!$A$1:$I$89,3,0)*0.475*44/12</f>
        <v>0.67529535173958188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7.3053921021624264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156.02450246371893</v>
      </c>
      <c r="T151" s="59">
        <f t="shared" si="142"/>
        <v>352.46632274450445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6.5000845971067625</v>
      </c>
      <c r="AA151" s="21">
        <f>EXP(-LN(2)/25)*AA150+(1-EXP(-LN(2)/25))/(LN(2)/25)*Calculateur!V151*Calculateur!X151*VLOOKUP('Données projet'!$B$9,Paramètres!$A$1:$I$89,3,0)*0.475*44/12</f>
        <v>0.65682936483402388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7.156913961940786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156.02450246371893</v>
      </c>
      <c r="T152" s="59">
        <f t="shared" si="142"/>
        <v>352.46632274450445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6.3726219028176256</v>
      </c>
      <c r="AA152" s="21">
        <f>EXP(-LN(2)/25)*AA151+(1-EXP(-LN(2)/25))/(LN(2)/25)*Calculateur!V152*Calculateur!X152*VLOOKUP('Données projet'!$B$9,Paramètres!$A$1:$I$89,3,0)*0.475*44/12</f>
        <v>0.63886833131148235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7.0114902341291083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156.02450246371893</v>
      </c>
      <c r="T153" s="59">
        <f t="shared" si="142"/>
        <v>352.46632274450445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6.2476586742189317</v>
      </c>
      <c r="AA153" s="21">
        <f>EXP(-LN(2)/25)*AA152+(1-EXP(-LN(2)/25))/(LN(2)/25)*Calculateur!V153*Calculateur!X153*VLOOKUP('Données projet'!$B$9,Paramètres!$A$1:$I$89,3,0)*0.475*44/12</f>
        <v>0.62139844319514448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6.8690571174140764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156.02450246371893</v>
      </c>
      <c r="T154" s="59">
        <f t="shared" si="142"/>
        <v>352.46632274450445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6.1251458983130149</v>
      </c>
      <c r="AA154" s="21">
        <f>EXP(-LN(2)/25)*AA153+(1-EXP(-LN(2)/25))/(LN(2)/25)*Calculateur!V154*Calculateur!X154*VLOOKUP('Données projet'!$B$9,Paramètres!$A$1:$I$89,3,0)*0.475*44/12</f>
        <v>0.60440627008804937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6.7295521684010646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156.02450246371893</v>
      </c>
      <c r="T155" s="59">
        <f t="shared" si="142"/>
        <v>352.46632274450445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6.0050355232171979</v>
      </c>
      <c r="AA155" s="21">
        <f>EXP(-LN(2)/25)*AA154+(1-EXP(-LN(2)/25))/(LN(2)/25)*Calculateur!V155*Calculateur!X155*VLOOKUP('Données projet'!$B$9,Paramètres!$A$1:$I$89,3,0)*0.475*44/12</f>
        <v>0.58787874884814728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6.5929142720653449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156.02450246371893</v>
      </c>
      <c r="T156" s="59">
        <f t="shared" si="142"/>
        <v>352.46632274450445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5.8872804393169149</v>
      </c>
      <c r="AA156" s="21">
        <f>EXP(-LN(2)/25)*AA155+(1-EXP(-LN(2)/25))/(LN(2)/25)*Calculateur!V156*Calculateur!X156*VLOOKUP('Données projet'!$B$9,Paramètres!$A$1:$I$89,3,0)*0.475*44/12</f>
        <v>0.57180317354569488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6.4590836128626101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156.02450246371893</v>
      </c>
      <c r="T157" s="59">
        <f t="shared" si="142"/>
        <v>352.46632274450445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5.7718344607884076</v>
      </c>
      <c r="AA157" s="21">
        <f>EXP(-LN(2)/25)*AA156+(1-EXP(-LN(2)/25))/(LN(2)/25)*Calculateur!V157*Calculateur!X157*VLOOKUP('Données projet'!$B$9,Paramètres!$A$1:$I$89,3,0)*0.475*44/12</f>
        <v>0.5561671856952658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6.3280016464836732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156.02450246371893</v>
      </c>
      <c r="T158" s="59">
        <f t="shared" si="142"/>
        <v>352.46632274450445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5.6586523074837505</v>
      </c>
      <c r="AA158" s="21">
        <f>EXP(-LN(2)/25)*AA157+(1-EXP(-LN(2)/25))/(LN(2)/25)*Calculateur!V158*Calculateur!X158*VLOOKUP('Données projet'!$B$9,Paramètres!$A$1:$I$89,3,0)*0.475*44/12</f>
        <v>0.54095876475486759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6.1996110722386177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156.02450246371893</v>
      </c>
      <c r="T159" s="59">
        <f t="shared" si="142"/>
        <v>352.46632274450445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5.5476895871711003</v>
      </c>
      <c r="AA159" s="21">
        <f>EXP(-LN(2)/25)*AA158+(1-EXP(-LN(2)/25))/(LN(2)/25)*Calculateur!V159*Calculateur!X159*VLOOKUP('Données projet'!$B$9,Paramètres!$A$1:$I$89,3,0)*0.475*44/12</f>
        <v>0.5261662188848607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6.0738558060559606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156.02450246371893</v>
      </c>
      <c r="T160" s="59">
        <f t="shared" si="142"/>
        <v>352.46632274450445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5.4389027781232047</v>
      </c>
      <c r="AA160" s="21">
        <f>EXP(-LN(2)/25)*AA159+(1-EXP(-LN(2)/25))/(LN(2)/25)*Calculateur!V160*Calculateur!X160*VLOOKUP('Données projet'!$B$9,Paramètres!$A$1:$I$89,3,0)*0.475*44/12</f>
        <v>0.51177817595957531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5.9506809540827801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156.02450246371893</v>
      </c>
      <c r="T161" s="59">
        <f t="shared" si="142"/>
        <v>352.46632274450445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5.332249212047337</v>
      </c>
      <c r="AA161" s="21">
        <f>EXP(-LN(2)/25)*AA160+(1-EXP(-LN(2)/25))/(LN(2)/25)*Calculateur!V161*Calculateur!X161*VLOOKUP('Données projet'!$B$9,Paramètres!$A$1:$I$89,3,0)*0.475*44/12</f>
        <v>0.49778357482471614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5.830032786872053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156.02450246371893</v>
      </c>
      <c r="T162" s="59">
        <f t="shared" si="142"/>
        <v>352.46632274450445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5.2276870573499652</v>
      </c>
      <c r="AA162" s="21">
        <f>EXP(-LN(2)/25)*AA161+(1-EXP(-LN(2)/25))/(LN(2)/25)*Calculateur!V162*Calculateur!X162*VLOOKUP('Données projet'!$B$9,Paramètres!$A$1:$I$89,3,0)*0.475*44/12</f>
        <v>0.48417165679383378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5.7118587141437986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156.02450246371893</v>
      </c>
      <c r="T163" s="59">
        <f t="shared" si="142"/>
        <v>352.46632274450445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5.1251753027295921</v>
      </c>
      <c r="AA163" s="21">
        <f>EXP(-LN(2)/25)*AA162+(1-EXP(-LN(2)/25))/(LN(2)/25)*Calculateur!V163*Calculateur!X163*VLOOKUP('Données projet'!$B$9,Paramètres!$A$1:$I$89,3,0)*0.475*44/12</f>
        <v>0.47093195737732557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5.5961072601069173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156.02450246371893</v>
      </c>
      <c r="T164" s="59">
        <f t="shared" si="142"/>
        <v>352.46632274450445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5.0246737410913278</v>
      </c>
      <c r="AA164" s="21">
        <f>EXP(-LN(2)/25)*AA163+(1-EXP(-LN(2)/25))/(LN(2)/25)*Calculateur!V164*Calculateur!X164*VLOOKUP('Données projet'!$B$9,Paramètres!$A$1:$I$89,3,0)*0.475*44/12</f>
        <v>0.45805429823760729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5.4827280393289355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156.02450246371893</v>
      </c>
      <c r="T165" s="59">
        <f t="shared" si="142"/>
        <v>352.46632274450445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4.9261429537768899</v>
      </c>
      <c r="AA165" s="21">
        <f>EXP(-LN(2)/25)*AA164+(1-EXP(-LN(2)/25))/(LN(2)/25)*Calculateur!V165*Calculateur!X165*VLOOKUP('Données projet'!$B$9,Paramètres!$A$1:$I$89,3,0)*0.475*44/12</f>
        <v>0.44552877936427127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5.3716717331411612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156.02450246371893</v>
      </c>
      <c r="T166" s="59">
        <f t="shared" si="142"/>
        <v>352.46632274450445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4.8295442951038421</v>
      </c>
      <c r="AA166" s="21">
        <f>EXP(-LN(2)/25)*AA165+(1-EXP(-LN(2)/25))/(LN(2)/25)*Calculateur!V166*Calculateur!X166*VLOOKUP('Données projet'!$B$9,Paramètres!$A$1:$I$89,3,0)*0.475*44/12</f>
        <v>0.43334577146321501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5.2628900665670573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156.02450246371893</v>
      </c>
      <c r="T167" s="59">
        <f t="shared" si="142"/>
        <v>352.46632274450445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4.7348398772080094</v>
      </c>
      <c r="AA167" s="21">
        <f>EXP(-LN(2)/25)*AA166+(1-EXP(-LN(2)/25))/(LN(2)/25)*Calculateur!V167*Calculateur!X167*VLOOKUP('Données projet'!$B$9,Paramètres!$A$1:$I$89,3,0)*0.475*44/12</f>
        <v>0.42149590855388969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5.1563357857618994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156.02450246371893</v>
      </c>
      <c r="T168" s="59">
        <f t="shared" si="142"/>
        <v>352.46632274450445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4.6419925551831227</v>
      </c>
      <c r="AA168" s="21">
        <f>EXP(-LN(2)/25)*AA167+(1-EXP(-LN(2)/25))/(LN(2)/25)*Calculateur!V168*Calculateur!X168*VLOOKUP('Données projet'!$B$9,Paramètres!$A$1:$I$89,3,0)*0.475*44/12</f>
        <v>0.40997008076897706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5.0519626359520995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156.02450246371893</v>
      </c>
      <c r="T169" s="59">
        <f t="shared" si="142"/>
        <v>352.46632274450445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4.5509659125118693</v>
      </c>
      <c r="AA169" s="21">
        <f>EXP(-LN(2)/25)*AA168+(1-EXP(-LN(2)/25))/(LN(2)/25)*Calculateur!V169*Calculateur!X169*VLOOKUP('Données projet'!$B$9,Paramètres!$A$1:$I$89,3,0)*0.475*44/12</f>
        <v>0.39875942735095982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4.9497253398628294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156.02450246371893</v>
      </c>
      <c r="T170" s="59">
        <f t="shared" si="142"/>
        <v>352.46632274450445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4.4617242467826292</v>
      </c>
      <c r="AA170" s="21">
        <f>EXP(-LN(2)/25)*AA169+(1-EXP(-LN(2)/25))/(LN(2)/25)*Calculateur!V170*Calculateur!X170*VLOOKUP('Données projet'!$B$9,Paramètres!$A$1:$I$89,3,0)*0.475*44/12</f>
        <v>0.38785532984020094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4.8495795766228298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156.02450246371893</v>
      </c>
      <c r="T171" s="59">
        <f t="shared" si="142"/>
        <v>352.46632274450445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4.374232555686298</v>
      </c>
      <c r="AA171" s="21">
        <f>EXP(-LN(2)/25)*AA170+(1-EXP(-LN(2)/25))/(LN(2)/25)*Calculateur!V171*Calculateur!X171*VLOOKUP('Données projet'!$B$9,Paramètres!$A$1:$I$89,3,0)*0.475*44/12</f>
        <v>0.37724940544929531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4.7514819611355934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156.02450246371893</v>
      </c>
      <c r="T172" s="59">
        <f t="shared" si="142"/>
        <v>352.46632274450445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4.2884565232877039</v>
      </c>
      <c r="AA172" s="21">
        <f>EXP(-LN(2)/25)*AA171+(1-EXP(-LN(2)/25))/(LN(2)/25)*Calculateur!V172*Calculateur!X172*VLOOKUP('Données projet'!$B$9,Paramètres!$A$1:$I$89,3,0)*0.475*44/12</f>
        <v>0.36693350061860031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4.6553900239063042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156.02450246371893</v>
      </c>
      <c r="T173" s="59">
        <f t="shared" si="142"/>
        <v>352.46632274450445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4.2043625065662322</v>
      </c>
      <c r="AA173" s="21">
        <f>EXP(-LN(2)/25)*AA172+(1-EXP(-LN(2)/25))/(LN(2)/25)*Calculateur!V173*Calculateur!X173*VLOOKUP('Données projet'!$B$9,Paramètres!$A$1:$I$89,3,0)*0.475*44/12</f>
        <v>0.3568996847479905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4.5612621913142224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156.02450246371893</v>
      </c>
      <c r="T174" s="59">
        <f t="shared" si="142"/>
        <v>352.46632274450445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4.1219175222203832</v>
      </c>
      <c r="AA174" s="21">
        <f>EXP(-LN(2)/25)*AA173+(1-EXP(-LN(2)/25))/(LN(2)/25)*Calculateur!V174*Calculateur!X174*VLOOKUP('Données projet'!$B$9,Paramètres!$A$1:$I$89,3,0)*0.475*44/12</f>
        <v>0.34714024410001798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4.4690577663204012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156.02450246371893</v>
      </c>
      <c r="T175" s="59">
        <f t="shared" si="142"/>
        <v>352.46632274450445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4.0410892337310811</v>
      </c>
      <c r="AA175" s="21">
        <f>EXP(-LN(2)/25)*AA174+(1-EXP(-LN(2)/25))/(LN(2)/25)*Calculateur!V175*Calculateur!X175*VLOOKUP('Données projet'!$B$9,Paramètres!$A$1:$I$89,3,0)*0.475*44/12</f>
        <v>0.33764767586979094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4.3787369096008719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156.02450246371893</v>
      </c>
      <c r="T176" s="59">
        <f t="shared" si="142"/>
        <v>352.46632274450445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3.9618459386786662</v>
      </c>
      <c r="AA176" s="21">
        <f>EXP(-LN(2)/25)*AA175+(1-EXP(-LN(2)/25))/(LN(2)/25)*Calculateur!V176*Calculateur!X176*VLOOKUP('Données projet'!$B$9,Paramètres!$A$1:$I$89,3,0)*0.475*44/12</f>
        <v>0.32841468241701194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4.290260621095678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156.02450246371893</v>
      </c>
      <c r="T177" s="59">
        <f t="shared" si="142"/>
        <v>352.46632274450445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3.884156556308592</v>
      </c>
      <c r="AA177" s="21">
        <f>EXP(-LN(2)/25)*AA176+(1-EXP(-LN(2)/25))/(LN(2)/25)*Calculateur!V177*Calculateur!X177*VLOOKUP('Données projet'!$B$9,Paramètres!$A$1:$I$89,3,0)*0.475*44/12</f>
        <v>0.31943416565574118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4.2035907219643329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156.02450246371893</v>
      </c>
      <c r="T178" s="59">
        <f t="shared" si="142"/>
        <v>352.46632274450445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3.8079906153409504</v>
      </c>
      <c r="AA178" s="21">
        <f>EXP(-LN(2)/25)*AA177+(1-EXP(-LN(2)/25))/(LN(2)/25)*Calculateur!V178*Calculateur!X178*VLOOKUP('Données projet'!$B$9,Paramètres!$A$1:$I$89,3,0)*0.475*44/12</f>
        <v>0.31069922159757224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4.1186898369385228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156.02450246371893</v>
      </c>
      <c r="T179" s="59">
        <f t="shared" si="142"/>
        <v>352.46632274450445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3.7333182420190476</v>
      </c>
      <c r="AA179" s="21">
        <f>EXP(-LN(2)/25)*AA178+(1-EXP(-LN(2)/25))/(LN(2)/25)*Calculateur!V179*Calculateur!X179*VLOOKUP('Données projet'!$B$9,Paramètres!$A$1:$I$89,3,0)*0.475*44/12</f>
        <v>0.30220313504402468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4.0355213770630725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156.02450246371893</v>
      </c>
      <c r="T180" s="59">
        <f t="shared" si="142"/>
        <v>352.46632274450445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3.6601101483923366</v>
      </c>
      <c r="AA180" s="21">
        <f>EXP(-LN(2)/25)*AA179+(1-EXP(-LN(2)/25))/(LN(2)/25)*Calculateur!V180*Calculateur!X180*VLOOKUP('Données projet'!$B$9,Paramètres!$A$1:$I$89,3,0)*0.475*44/12</f>
        <v>0.29393937442407364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3.9540495228164101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156.02450246371893</v>
      </c>
      <c r="T181" s="59">
        <f t="shared" si="142"/>
        <v>352.46632274450445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3.5883376208291176</v>
      </c>
      <c r="AA181" s="21">
        <f>EXP(-LN(2)/25)*AA180+(1-EXP(-LN(2)/25))/(LN(2)/25)*Calculateur!V181*Calculateur!X181*VLOOKUP('Données projet'!$B$9,Paramètres!$A$1:$I$89,3,0)*0.475*44/12</f>
        <v>0.28590158677284744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3.8742392076019652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156.02450246371893</v>
      </c>
      <c r="T182" s="59">
        <f t="shared" si="142"/>
        <v>352.46632274450445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3.517972508754494</v>
      </c>
      <c r="AA182" s="21">
        <f>EXP(-LN(2)/25)*AA181+(1-EXP(-LN(2)/25))/(LN(2)/25)*Calculateur!V182*Calculateur!X182*VLOOKUP('Données projet'!$B$9,Paramètres!$A$1:$I$89,3,0)*0.475*44/12</f>
        <v>0.2780835928476329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3.7960561016021268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156.02450246371893</v>
      </c>
      <c r="T183" s="59">
        <f t="shared" si="142"/>
        <v>352.46632274450445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3.4489872136091733</v>
      </c>
      <c r="AA183" s="21">
        <f>EXP(-LN(2)/25)*AA182+(1-EXP(-LN(2)/25))/(LN(2)/25)*Calculateur!V183*Calculateur!X183*VLOOKUP('Données projet'!$B$9,Paramètres!$A$1:$I$89,3,0)*0.475*44/12</f>
        <v>0.2704793823774338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3.7194665959866069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156.02450246371893</v>
      </c>
      <c r="T184" s="59">
        <f t="shared" si="142"/>
        <v>352.46632274450445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3.3813546780247772</v>
      </c>
      <c r="AA184" s="21">
        <f>EXP(-LN(2)/25)*AA183+(1-EXP(-LN(2)/25))/(LN(2)/25)*Calculateur!V184*Calculateur!X184*VLOOKUP('Données projet'!$B$9,Paramètres!$A$1:$I$89,3,0)*0.475*44/12</f>
        <v>0.26308310944243035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3.6444377874672074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156.02450246371893</v>
      </c>
      <c r="T185" s="59">
        <f t="shared" si="142"/>
        <v>352.46632274450445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3.3150483752114175</v>
      </c>
      <c r="AA185" s="21">
        <f>EXP(-LN(2)/25)*AA184+(1-EXP(-LN(2)/25))/(LN(2)/25)*Calculateur!V185*Calculateur!X185*VLOOKUP('Données projet'!$B$9,Paramètres!$A$1:$I$89,3,0)*0.475*44/12</f>
        <v>0.25588908797978765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3.5709374631912052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156.02450246371893</v>
      </c>
      <c r="T186" s="59">
        <f t="shared" si="142"/>
        <v>352.46632274450445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3.2500422985533763</v>
      </c>
      <c r="AA186" s="21">
        <f>EXP(-LN(2)/25)*AA185+(1-EXP(-LN(2)/25))/(LN(2)/25)*Calculateur!V186*Calculateur!X186*VLOOKUP('Données projet'!$B$9,Paramètres!$A$1:$I$89,3,0)*0.475*44/12</f>
        <v>0.24889178741235807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3.4989340859657343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156.02450246371893</v>
      </c>
      <c r="T187" s="59">
        <f t="shared" si="142"/>
        <v>352.46632274450445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3.1863109514088079</v>
      </c>
      <c r="AA187" s="21">
        <f>EXP(-LN(2)/25)*AA186+(1-EXP(-LN(2)/25))/(LN(2)/25)*Calculateur!V187*Calculateur!X187*VLOOKUP('Données projet'!$B$9,Paramètres!$A$1:$I$89,3,0)*0.475*44/12</f>
        <v>0.24208582839691689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3.4283967798057247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156.02450246371893</v>
      </c>
      <c r="T188" s="59">
        <f t="shared" si="142"/>
        <v>352.46632274450445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3.123829337109461</v>
      </c>
      <c r="AA188" s="21">
        <f>EXP(-LN(2)/25)*AA187+(1-EXP(-LN(2)/25))/(LN(2)/25)*Calculateur!V188*Calculateur!X188*VLOOKUP('Données projet'!$B$9,Paramètres!$A$1:$I$89,3,0)*0.475*44/12</f>
        <v>0.23546597868866279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3.3592953157981236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156.02450246371893</v>
      </c>
      <c r="T189" s="59">
        <f t="shared" si="142"/>
        <v>352.46632274450445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3.0625729491565026</v>
      </c>
      <c r="AA189" s="21">
        <f>EXP(-LN(2)/25)*AA188+(1-EXP(-LN(2)/25))/(LN(2)/25)*Calculateur!V189*Calculateur!X189*VLOOKUP('Données projet'!$B$9,Paramètres!$A$1:$I$89,3,0)*0.475*44/12</f>
        <v>0.22902714911880365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3.2916000982753064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156.02450246371893</v>
      </c>
      <c r="T190" s="59">
        <f t="shared" si="142"/>
        <v>352.46632274450445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3.0025177616085945</v>
      </c>
      <c r="AA190" s="21">
        <f>EXP(-LN(2)/25)*AA189+(1-EXP(-LN(2)/25))/(LN(2)/25)*Calculateur!V190*Calculateur!X190*VLOOKUP('Données projet'!$B$9,Paramètres!$A$1:$I$89,3,0)*0.475*44/12</f>
        <v>0.22276438968213563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3.2252821512907301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156.02450246371893</v>
      </c>
      <c r="T191" s="59">
        <f t="shared" si="142"/>
        <v>352.46632274450445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2.9436402196584535</v>
      </c>
      <c r="AA191" s="21">
        <f>EXP(-LN(2)/25)*AA190+(1-EXP(-LN(2)/25))/(LN(2)/25)*Calculateur!V191*Calculateur!X191*VLOOKUP('Données projet'!$B$9,Paramètres!$A$1:$I$89,3,0)*0.475*44/12</f>
        <v>0.21667288573160751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3.1603131053900611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156.02450246371893</v>
      </c>
      <c r="T192" s="59">
        <f t="shared" si="142"/>
        <v>352.46632274450445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2.8859172303941998</v>
      </c>
      <c r="AA192" s="21">
        <f>EXP(-LN(2)/25)*AA191+(1-EXP(-LN(2)/25))/(LN(2)/25)*Calculateur!V192*Calculateur!X192*VLOOKUP('Données projet'!$B$9,Paramètres!$A$1:$I$89,3,0)*0.475*44/12</f>
        <v>0.21074795427694484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3.0966651846711448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156.02450246371893</v>
      </c>
      <c r="T193" s="59">
        <f t="shared" si="142"/>
        <v>352.46632274450445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2.8293261537418712</v>
      </c>
      <c r="AA193" s="21">
        <f>EXP(-LN(2)/25)*AA192+(1-EXP(-LN(2)/25))/(LN(2)/25)*Calculateur!V193*Calculateur!X193*VLOOKUP('Données projet'!$B$9,Paramètres!$A$1:$I$89,3,0)*0.475*44/12</f>
        <v>0.20498504038448853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3.0343111941263596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156.02450246371893</v>
      </c>
      <c r="T194" s="59">
        <f t="shared" si="142"/>
        <v>352.46632274450445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2.7738447935855466</v>
      </c>
      <c r="AA194" s="21">
        <f>EXP(-LN(2)/25)*AA193+(1-EXP(-LN(2)/25))/(LN(2)/25)*Calculateur!V194*Calculateur!X194*VLOOKUP('Données projet'!$B$9,Paramètres!$A$1:$I$89,3,0)*0.475*44/12</f>
        <v>0.19937971367547991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2.9732245072610266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156.02450246371893</v>
      </c>
      <c r="T195" s="59">
        <f t="shared" si="142"/>
        <v>352.46632274450445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2.7194513890615992</v>
      </c>
      <c r="AA195" s="21">
        <f>EXP(-LN(2)/25)*AA194+(1-EXP(-LN(2)/25))/(LN(2)/25)*Calculateur!V195*Calculateur!X195*VLOOKUP('Données projet'!$B$9,Paramètres!$A$1:$I$89,3,0)*0.475*44/12</f>
        <v>0.19392766492010047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2.9133790539816995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156.02450246371893</v>
      </c>
      <c r="T196" s="59">
        <f t="shared" si="142"/>
        <v>352.46632274450445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2.6661246060236654</v>
      </c>
      <c r="AA196" s="21">
        <f>EXP(-LN(2)/25)*AA195+(1-EXP(-LN(2)/25))/(LN(2)/25)*Calculateur!V196*Calculateur!X196*VLOOKUP('Données projet'!$B$9,Paramètres!$A$1:$I$89,3,0)*0.475*44/12</f>
        <v>0.18862470272464765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2.8547493087483131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156.02450246371893</v>
      </c>
      <c r="T197" s="59">
        <f t="shared" ref="T197:T203" si="204">$T$3</f>
        <v>352.46632274450445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2.6138435286749795</v>
      </c>
      <c r="AA197" s="21">
        <f>EXP(-LN(2)/25)*AA196+(1-EXP(-LN(2)/25))/(LN(2)/25)*Calculateur!V197*Calculateur!X197*VLOOKUP('Données projet'!$B$9,Paramètres!$A$1:$I$89,3,0)*0.475*44/12</f>
        <v>0.18346675030930015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2.7973102789842796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156.02450246371893</v>
      </c>
      <c r="T198" s="59">
        <f t="shared" si="204"/>
        <v>352.46632274450445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2.5625876513647929</v>
      </c>
      <c r="AA198" s="21">
        <f>EXP(-LN(2)/25)*AA197+(1-EXP(-LN(2)/25))/(LN(2)/25)*Calculateur!V198*Calculateur!X198*VLOOKUP('Données projet'!$B$9,Paramètres!$A$1:$I$89,3,0)*0.475*44/12</f>
        <v>0.17844984237399525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2.741037493738788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156.02450246371893</v>
      </c>
      <c r="T199" s="59">
        <f t="shared" si="204"/>
        <v>352.46632274450445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2.5123368705456608</v>
      </c>
      <c r="AA199" s="21">
        <f>EXP(-LN(2)/25)*AA198+(1-EXP(-LN(2)/25))/(LN(2)/25)*Calculateur!V199*Calculateur!X199*VLOOKUP('Données projet'!$B$9,Paramètres!$A$1:$I$89,3,0)*0.475*44/12</f>
        <v>0.17357012205000899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2.6859069925956698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156.02450246371893</v>
      </c>
      <c r="T200" s="59">
        <f t="shared" si="204"/>
        <v>352.46632274450445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2.4630714768884419</v>
      </c>
      <c r="AA200" s="21">
        <f>EXP(-LN(2)/25)*AA199+(1-EXP(-LN(2)/25))/(LN(2)/25)*Calculateur!V200*Calculateur!X200*VLOOKUP('Données projet'!$B$9,Paramètres!$A$1:$I$89,3,0)*0.475*44/12</f>
        <v>0.16882383793489547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2.6318953148233373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156.02450246371893</v>
      </c>
      <c r="T201" s="59">
        <f t="shared" si="204"/>
        <v>352.46632274450445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2.4147721475519179</v>
      </c>
      <c r="AA201" s="21">
        <f>EXP(-LN(2)/25)*AA200+(1-EXP(-LN(2)/25))/(LN(2)/25)*Calculateur!V201*Calculateur!X201*VLOOKUP('Données projet'!$B$9,Paramètres!$A$1:$I$89,3,0)*0.475*44/12</f>
        <v>0.16420734120850597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2.578979488760424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156.02450246371893</v>
      </c>
      <c r="T202" s="59">
        <f t="shared" si="204"/>
        <v>352.46632274450445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2.3674199386040016</v>
      </c>
      <c r="AA202" s="21">
        <f>EXP(-LN(2)/25)*AA201+(1-EXP(-LN(2)/25))/(LN(2)/25)*Calculateur!V202*Calculateur!X202*VLOOKUP('Données projet'!$B$9,Paramètres!$A$1:$I$89,3,0)*0.475*44/12</f>
        <v>0.15971708282787059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2.527137021431872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156.02450246371893</v>
      </c>
      <c r="T203" s="59">
        <f t="shared" si="204"/>
        <v>352.46632274450445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2.3209962775915582</v>
      </c>
      <c r="AA203" s="21">
        <f>EXP(-LN(2)/25)*AA202+(1-EXP(-LN(2)/25))/(LN(2)/25)*Calculateur!V203*Calculateur!X203*VLOOKUP('Données projet'!$B$9,Paramètres!$A$1:$I$89,3,0)*0.475*44/12</f>
        <v>0.15534961079878612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2.4763458883903442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1.5501671930596579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554687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5546875" style="4" bestFit="1" customWidth="1"/>
    <col min="7" max="7" width="11.44140625" style="4" bestFit="1" customWidth="1"/>
    <col min="8" max="8" width="39" style="4" bestFit="1" customWidth="1"/>
    <col min="9" max="9" width="16.554687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8" t="s">
        <v>112</v>
      </c>
      <c r="P2" s="121">
        <v>0</v>
      </c>
    </row>
    <row r="3" spans="1:16" ht="15" thickBot="1" x14ac:dyDescent="0.35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8" t="s">
        <v>119</v>
      </c>
      <c r="P5" s="121">
        <v>0</v>
      </c>
    </row>
    <row r="6" spans="1:16" x14ac:dyDescent="0.3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8" t="s">
        <v>131</v>
      </c>
      <c r="P10" s="121">
        <v>0</v>
      </c>
    </row>
    <row r="11" spans="1:16" ht="15" thickBot="1" x14ac:dyDescent="0.35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159</v>
      </c>
      <c r="B23" s="123" t="s">
        <v>160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161</v>
      </c>
      <c r="B24" s="123" t="s">
        <v>162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163</v>
      </c>
      <c r="B25" s="123" t="s">
        <v>164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165</v>
      </c>
      <c r="B26" s="123" t="s">
        <v>166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168</v>
      </c>
      <c r="B27" s="123" t="s">
        <v>169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170</v>
      </c>
      <c r="B28" s="123" t="s">
        <v>171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172</v>
      </c>
      <c r="B29" s="123" t="s">
        <v>172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173</v>
      </c>
      <c r="B30" s="123" t="s">
        <v>174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175</v>
      </c>
      <c r="B31" s="123" t="s">
        <v>176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177</v>
      </c>
      <c r="B32" s="123" t="s">
        <v>178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180</v>
      </c>
      <c r="B33" s="123" t="s">
        <v>181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110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186</v>
      </c>
      <c r="B35" s="123" t="s">
        <v>187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188</v>
      </c>
      <c r="B36" s="123" t="s">
        <v>189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190</v>
      </c>
      <c r="B37" s="123" t="s">
        <v>191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192</v>
      </c>
      <c r="B38" s="123" t="s">
        <v>193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110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110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110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110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110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110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110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110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110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110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110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110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17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110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209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110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210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110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211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110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212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110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213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110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214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110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215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110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216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110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217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110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218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110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228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230</v>
      </c>
      <c r="B67" s="123" t="s">
        <v>231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232</v>
      </c>
      <c r="B68" s="123" t="s">
        <v>233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234</v>
      </c>
      <c r="B69" s="123" t="s">
        <v>235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236</v>
      </c>
      <c r="B70" s="123" t="s">
        <v>237</v>
      </c>
      <c r="C70" s="124">
        <v>0.48</v>
      </c>
      <c r="D70" s="124" t="s">
        <v>109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242</v>
      </c>
      <c r="B72" s="123" t="s">
        <v>243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251</v>
      </c>
      <c r="B76" s="123" t="s">
        <v>252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254</v>
      </c>
      <c r="B77" s="123" t="s">
        <v>255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256</v>
      </c>
      <c r="B78" s="123" t="s">
        <v>257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258</v>
      </c>
      <c r="B79" s="123" t="s">
        <v>259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260</v>
      </c>
      <c r="B80" s="123" t="s">
        <v>261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262</v>
      </c>
      <c r="B81" s="123" t="s">
        <v>263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267</v>
      </c>
      <c r="B83" s="123" t="s">
        <v>268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269</v>
      </c>
      <c r="B84" s="123" t="s">
        <v>270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271</v>
      </c>
      <c r="B85" s="123" t="s">
        <v>272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273</v>
      </c>
      <c r="B86" s="123" t="s">
        <v>274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69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35">
      <c r="A89" s="133" t="s">
        <v>279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">
      <c r="A93" s="122" t="s">
        <v>70</v>
      </c>
    </row>
    <row r="94" spans="1:14" x14ac:dyDescent="0.3">
      <c r="A94" s="122" t="s">
        <v>71</v>
      </c>
    </row>
    <row r="95" spans="1:14" x14ac:dyDescent="0.3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16" sqref="N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280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Peuplier Koster</v>
      </c>
      <c r="B6" s="146">
        <f>'Données projet'!D9</f>
        <v>1.04</v>
      </c>
      <c r="C6" s="147">
        <f ca="1">IF(OR('Données projet'!B9="",'Données projet'!C9="",'Données projet'!C9=0%),0,Calculateur!S3)</f>
        <v>156.02450246371893</v>
      </c>
      <c r="D6" s="147">
        <f>IF(OR('Données projet'!B9="",'Données projet'!C9="",'Données projet'!C9=0%),0,Calculateur!T3)</f>
        <v>352.46632274450445</v>
      </c>
      <c r="E6" s="147">
        <f ca="1">MIN(C6,D6)</f>
        <v>156.02450246371893</v>
      </c>
      <c r="F6" s="147">
        <f ca="1">E6*B6</f>
        <v>162.26548256226769</v>
      </c>
      <c r="G6" s="147">
        <f ca="1">F6*(100%-'Données projet'!$C$24)*(100%-'Données projet'!$C$25)*(100%-'Données projet'!$C$26)*(100%-'Données projet'!$C$27)</f>
        <v>138.73698759073886</v>
      </c>
      <c r="H6" s="148">
        <f>IF(OR('Données projet'!B9="",'Données projet'!C9="",'Données projet'!C9=0%),0,AVERAGE(Calculateur!$AC$3:$AC$33)*B6)</f>
        <v>14.816132558413852</v>
      </c>
      <c r="I6" s="149">
        <f>H6*(100%-'Données projet'!$C$24)*(100%-'Données projet'!$C$25)*(100%-'Données projet'!$C$26)*(100%-'Données projet'!$C$27)</f>
        <v>12.667793337443843</v>
      </c>
      <c r="J6" s="150">
        <f>IF(OR('Données projet'!B9="",'Données projet'!C9="",'Données projet'!C9=0%),0,SUM(Calculateur!$V$3:$V$33)*VLOOKUP('Données projet'!$B$9,Paramètres!$A$1:$I$89,9,0)*B6)</f>
        <v>308.31333333333339</v>
      </c>
      <c r="K6" s="151">
        <f>J6*(100%-'Données projet'!$C$24)*(100%-'Données projet'!$C$25)*(100%-'Données projet'!$C$26)*(100%-'Données projet'!$C$27)</f>
        <v>263.60790000000009</v>
      </c>
      <c r="L6" s="152">
        <f ca="1">G6+I6+K6</f>
        <v>415.01268092818282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162.26548256226769</v>
      </c>
      <c r="G16" s="166">
        <f t="shared" ca="1" si="3"/>
        <v>138.73698759073886</v>
      </c>
      <c r="H16" s="167">
        <f t="shared" si="3"/>
        <v>14.816132558413852</v>
      </c>
      <c r="I16" s="167">
        <f t="shared" si="3"/>
        <v>12.667793337443843</v>
      </c>
      <c r="J16" s="168">
        <f t="shared" si="3"/>
        <v>308.31333333333339</v>
      </c>
      <c r="K16" s="168">
        <f t="shared" si="3"/>
        <v>263.60790000000009</v>
      </c>
      <c r="L16" s="169">
        <f t="shared" ca="1" si="3"/>
        <v>415.01268092818282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1" t="s">
        <v>291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" zoomScale="80" zoomScaleNormal="80" workbookViewId="0">
      <selection activeCell="X36" sqref="X3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554687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292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5" t="s">
        <v>293</v>
      </c>
      <c r="I4" s="265"/>
      <c r="K4" s="307" t="s">
        <v>294</v>
      </c>
      <c r="L4" s="30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9" t="s">
        <v>295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296</v>
      </c>
      <c r="C9" s="23"/>
      <c r="D9" s="23"/>
      <c r="E9" s="23"/>
      <c r="F9" s="230"/>
      <c r="G9" s="93" t="s">
        <v>297</v>
      </c>
      <c r="I9" s="195"/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-1775.0640909329713</v>
      </c>
      <c r="U10" s="178">
        <f>'Données projet'!D9</f>
        <v>1.04</v>
      </c>
      <c r="V10" s="177">
        <f>U10*T10</f>
        <v>-1846.0666545702902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74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10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46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10"/>
      <c r="H16" s="190"/>
      <c r="I16" s="191"/>
      <c r="J16" s="202"/>
      <c r="K16" s="208"/>
      <c r="L16" s="307" t="s">
        <v>312</v>
      </c>
      <c r="M16" s="30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195</v>
      </c>
      <c r="C17" s="198" t="s">
        <v>195</v>
      </c>
      <c r="D17" s="197" t="s">
        <v>195</v>
      </c>
      <c r="E17" s="193">
        <v>3402</v>
      </c>
      <c r="F17" s="230"/>
      <c r="G17" s="310"/>
      <c r="I17" s="195"/>
      <c r="J17" s="202"/>
      <c r="K17" s="208"/>
      <c r="L17" s="267" t="s">
        <v>313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195</v>
      </c>
      <c r="C18" s="198" t="s">
        <v>195</v>
      </c>
      <c r="D18" s="197" t="s">
        <v>195</v>
      </c>
      <c r="E18" s="193">
        <f>220</f>
        <v>220</v>
      </c>
      <c r="F18" s="230"/>
      <c r="G18" s="310"/>
      <c r="J18" s="202"/>
      <c r="K18" s="208"/>
      <c r="L18" s="267" t="s">
        <v>309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195</v>
      </c>
      <c r="C19" s="198" t="s">
        <v>195</v>
      </c>
      <c r="D19" s="197" t="s">
        <v>195</v>
      </c>
      <c r="E19" s="193">
        <f>400+15%*E17</f>
        <v>910.3</v>
      </c>
      <c r="F19" s="230"/>
      <c r="G19" s="310"/>
      <c r="H19" s="212" t="s">
        <v>74</v>
      </c>
      <c r="I19" s="212" t="s">
        <v>314</v>
      </c>
      <c r="J19" s="93"/>
      <c r="K19" s="173"/>
      <c r="L19" s="307" t="s">
        <v>315</v>
      </c>
      <c r="M19" s="30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195</v>
      </c>
      <c r="C20" s="198" t="s">
        <v>195</v>
      </c>
      <c r="D20" s="197" t="s">
        <v>195</v>
      </c>
      <c r="E20" s="193">
        <f>220</f>
        <v>220</v>
      </c>
      <c r="F20" s="230"/>
      <c r="G20" s="310"/>
      <c r="H20" s="190">
        <v>1</v>
      </c>
      <c r="I20" s="191">
        <f>20+(400/'Données projet'!C5+20)+(200/'Données projet'!C5+10)</f>
        <v>626.92307692307691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>
        <v>3</v>
      </c>
      <c r="I22" s="191">
        <f>20+200/'Données projet'!C5+10</f>
        <v>222.30769230769229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>
        <v>31.25</v>
      </c>
      <c r="D23" s="182">
        <f>B23*C23</f>
        <v>0</v>
      </c>
      <c r="E23" s="193"/>
      <c r="F23" s="230"/>
      <c r="H23" s="190">
        <v>4</v>
      </c>
      <c r="I23" s="191">
        <v>20</v>
      </c>
      <c r="K23" s="208"/>
      <c r="L23" s="309" t="s">
        <v>316</v>
      </c>
      <c r="M23" s="309"/>
      <c r="N23" s="309"/>
      <c r="O23" s="23"/>
      <c r="P23" s="23"/>
      <c r="Q23" s="234"/>
      <c r="R23" s="23"/>
      <c r="S23" s="36" t="s">
        <v>317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-3266.7903275382487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0</v>
      </c>
      <c r="C24" s="193">
        <v>31.25</v>
      </c>
      <c r="D24" s="182">
        <f t="shared" ref="D24:D42" si="2">B24*C24</f>
        <v>0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400.18400000000008</v>
      </c>
      <c r="K24" s="208"/>
      <c r="O24" s="23"/>
      <c r="P24" s="23"/>
      <c r="Q24" s="234"/>
      <c r="R24" s="23"/>
      <c r="S24" s="36" t="s">
        <v>318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0</v>
      </c>
      <c r="C25" s="193">
        <v>31.25</v>
      </c>
      <c r="D25" s="182">
        <f t="shared" si="2"/>
        <v>0</v>
      </c>
      <c r="E25" s="193"/>
      <c r="F25" s="233"/>
      <c r="H25" s="190">
        <v>6</v>
      </c>
      <c r="I25" s="191">
        <v>20</v>
      </c>
      <c r="K25" s="208"/>
      <c r="L25" s="130" t="s">
        <v>319</v>
      </c>
      <c r="M25" s="130"/>
      <c r="N25" s="130"/>
      <c r="O25" s="130"/>
      <c r="P25" s="192">
        <v>0</v>
      </c>
      <c r="Q25" s="234"/>
      <c r="R25" s="23"/>
      <c r="S25" s="186" t="s">
        <v>320</v>
      </c>
      <c r="T25" s="306">
        <f ca="1">T23-T24</f>
        <v>-3266.7903275382487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22</v>
      </c>
      <c r="B26" s="181">
        <f>'Données projet'!D39</f>
        <v>0</v>
      </c>
      <c r="C26" s="193">
        <v>31.25</v>
      </c>
      <c r="D26" s="182">
        <f t="shared" si="2"/>
        <v>0</v>
      </c>
      <c r="E26" s="193"/>
      <c r="F26" s="233"/>
      <c r="G26" s="229"/>
      <c r="H26" s="190">
        <v>7</v>
      </c>
      <c r="I26" s="191">
        <v>20</v>
      </c>
      <c r="K26" s="208"/>
      <c r="L26" s="293" t="s">
        <v>321</v>
      </c>
      <c r="M26" s="294"/>
      <c r="N26" s="294"/>
      <c r="O26" s="294"/>
      <c r="P26" s="295"/>
      <c r="Q26" s="234"/>
      <c r="R26" s="23"/>
      <c r="S26" s="186" t="s">
        <v>322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24</v>
      </c>
      <c r="B27" s="181">
        <f>'Données projet'!D40</f>
        <v>0</v>
      </c>
      <c r="C27" s="193">
        <v>31.25</v>
      </c>
      <c r="D27" s="182">
        <f t="shared" si="2"/>
        <v>0</v>
      </c>
      <c r="E27" s="193"/>
      <c r="F27" s="233"/>
      <c r="G27" s="229"/>
      <c r="H27" s="190">
        <v>8</v>
      </c>
      <c r="I27" s="191">
        <v>20</v>
      </c>
      <c r="K27" s="208"/>
      <c r="L27" s="296"/>
      <c r="M27" s="297"/>
      <c r="N27" s="297"/>
      <c r="O27" s="297"/>
      <c r="P27" s="298"/>
      <c r="Q27" s="234"/>
      <c r="R27" s="23"/>
      <c r="S27" s="302" t="s">
        <v>323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26</v>
      </c>
      <c r="B28" s="181">
        <f>'Données projet'!D41</f>
        <v>287.82051282051282</v>
      </c>
      <c r="C28" s="193">
        <v>31.25</v>
      </c>
      <c r="D28" s="182">
        <f t="shared" si="2"/>
        <v>8994.3910256410254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324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4942.3920000000007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924.8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74</v>
      </c>
      <c r="P32" s="85" t="s">
        <v>310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28</v>
      </c>
      <c r="U33" s="1">
        <f>SUM(U30:U32)</f>
        <v>7367.1920000000009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19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46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>
        <v>28</v>
      </c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>
        <v>29</v>
      </c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>
        <v>30</v>
      </c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>
        <v>31</v>
      </c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>
        <v>32</v>
      </c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>
        <v>33</v>
      </c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>
        <v>34</v>
      </c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/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46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>
        <v>59</v>
      </c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>
        <v>60</v>
      </c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46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46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46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46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46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46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46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Nathan AMIENS</cp:lastModifiedBy>
  <cp:revision/>
  <dcterms:created xsi:type="dcterms:W3CDTF">2021-02-01T08:22:39Z</dcterms:created>
  <dcterms:modified xsi:type="dcterms:W3CDTF">2025-02-18T13:56:26Z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